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360" yWindow="-135" windowWidth="12390" windowHeight="8640" tabRatio="548" firstSheet="4" activeTab="4"/>
  </bookViews>
  <sheets>
    <sheet name="ППП" sheetId="12" state="hidden" r:id="rId1"/>
    <sheet name="Раздел" sheetId="10" state="hidden" r:id="rId2"/>
    <sheet name="КЦСР" sheetId="7" state="hidden" r:id="rId3"/>
    <sheet name="КВР" sheetId="9" state="hidden" r:id="rId4"/>
    <sheet name="прил.4" sheetId="1" r:id="rId5"/>
    <sheet name="прил. 5" sheetId="6" r:id="rId6"/>
    <sheet name="прил.6" sheetId="5" r:id="rId7"/>
  </sheets>
  <definedNames>
    <definedName name="_xlnm._FilterDatabase" localSheetId="6" hidden="1">прил.6!$A$20:$AD$1742</definedName>
    <definedName name="sub_3870" localSheetId="3">КВР!$A$44</definedName>
    <definedName name="_xlnm.Print_Titles" localSheetId="5">'прил. 5'!$17:$17</definedName>
    <definedName name="_xlnm.Print_Titles" localSheetId="4">прил.4!$17:$18</definedName>
    <definedName name="_xlnm.Print_Titles" localSheetId="6">прил.6!$20:$20</definedName>
    <definedName name="Код_КВР">КВР!$A$2:$A$44</definedName>
    <definedName name="Код_КЦСР">КЦСР!$A$2:$A$366</definedName>
    <definedName name="Код_ППП">ППП!$A$2:$A$14</definedName>
    <definedName name="Код_ПР">#REF!</definedName>
    <definedName name="Код_Раздел">Раздел!$A$2:$A$13</definedName>
    <definedName name="_xlnm.Print_Area" localSheetId="3">КВР!$A$1:$B$24</definedName>
    <definedName name="_xlnm.Print_Area" localSheetId="5">'прил. 5'!$A$1:$T$1812</definedName>
    <definedName name="_xlnm.Print_Area" localSheetId="4">прил.4!$A$1:$R$67</definedName>
    <definedName name="_xlnm.Print_Area" localSheetId="6">прил.6!$A$1:$U$1742</definedName>
  </definedNames>
  <calcPr calcId="124519"/>
</workbook>
</file>

<file path=xl/calcChain.xml><?xml version="1.0" encoding="utf-8"?>
<calcChain xmlns="http://schemas.openxmlformats.org/spreadsheetml/2006/main">
  <c r="T606" i="5"/>
  <c r="S946" i="6"/>
  <c r="T1438" i="5"/>
  <c r="T1437"/>
  <c r="S818" i="6"/>
  <c r="S817" s="1"/>
  <c r="S816" s="1"/>
  <c r="T816" s="1"/>
  <c r="A1292" i="5"/>
  <c r="A1291"/>
  <c r="A818" i="6"/>
  <c r="A685" i="5"/>
  <c r="A686"/>
  <c r="A817" i="6"/>
  <c r="A816"/>
  <c r="T817" l="1"/>
  <c r="T818"/>
  <c r="S804"/>
  <c r="S803" s="1"/>
  <c r="S802" s="1"/>
  <c r="T802" s="1"/>
  <c r="A803"/>
  <c r="A804"/>
  <c r="A802"/>
  <c r="T804" l="1"/>
  <c r="T803"/>
  <c r="U1358" i="5"/>
  <c r="T1357"/>
  <c r="T1356" s="1"/>
  <c r="A1356"/>
  <c r="A1358"/>
  <c r="A1357"/>
  <c r="U1356" l="1"/>
  <c r="U1357"/>
  <c r="T1183"/>
  <c r="T45"/>
  <c r="T48"/>
  <c r="T448"/>
  <c r="T519"/>
  <c r="S1800" i="6"/>
  <c r="S1799" s="1"/>
  <c r="A1799"/>
  <c r="A1797"/>
  <c r="A1800"/>
  <c r="A1796"/>
  <c r="S1798" l="1"/>
  <c r="S1797" s="1"/>
  <c r="S1796" s="1"/>
  <c r="T1796" s="1"/>
  <c r="T1799"/>
  <c r="T1800"/>
  <c r="U690" i="5"/>
  <c r="T689"/>
  <c r="T688" s="1"/>
  <c r="U688" s="1"/>
  <c r="A688"/>
  <c r="A690"/>
  <c r="A689"/>
  <c r="A687"/>
  <c r="U689" l="1"/>
  <c r="T687"/>
  <c r="T686" s="1"/>
  <c r="T1797" i="6"/>
  <c r="T1798"/>
  <c r="T600" i="5"/>
  <c r="T598"/>
  <c r="T1345"/>
  <c r="T1353"/>
  <c r="T505"/>
  <c r="T685" l="1"/>
  <c r="U685" s="1"/>
  <c r="U686"/>
  <c r="U687"/>
  <c r="S225" i="6"/>
  <c r="T1626" i="5"/>
  <c r="T1499"/>
  <c r="T1683"/>
  <c r="T1658"/>
  <c r="T1646"/>
  <c r="T1619"/>
  <c r="T1612"/>
  <c r="T1545"/>
  <c r="T1522"/>
  <c r="T858" l="1"/>
  <c r="T855"/>
  <c r="T736"/>
  <c r="T654"/>
  <c r="T646"/>
  <c r="A1659" i="6"/>
  <c r="T1575" i="5" l="1"/>
  <c r="T751"/>
  <c r="T831"/>
  <c r="T716"/>
  <c r="S1317" i="6"/>
  <c r="S1316" s="1"/>
  <c r="S1315" s="1"/>
  <c r="S1314" s="1"/>
  <c r="S1313" s="1"/>
  <c r="S1312" s="1"/>
  <c r="A1315"/>
  <c r="A1313"/>
  <c r="A1312"/>
  <c r="A1316"/>
  <c r="A1317"/>
  <c r="T1317" l="1"/>
  <c r="T1312"/>
  <c r="T1315"/>
  <c r="T1313"/>
  <c r="T1316"/>
  <c r="T1314"/>
  <c r="S1311"/>
  <c r="S1310" s="1"/>
  <c r="S1309" s="1"/>
  <c r="A1307"/>
  <c r="A1309"/>
  <c r="A1310"/>
  <c r="A1311"/>
  <c r="A1306"/>
  <c r="T1311" l="1"/>
  <c r="T1310"/>
  <c r="S1305"/>
  <c r="T1305" s="1"/>
  <c r="A1303"/>
  <c r="A1300"/>
  <c r="A1301"/>
  <c r="A1304"/>
  <c r="A1305"/>
  <c r="S1304" l="1"/>
  <c r="S1303" s="1"/>
  <c r="S1308"/>
  <c r="T1309"/>
  <c r="U1166" i="5"/>
  <c r="T1165"/>
  <c r="T1164" s="1"/>
  <c r="T1163" s="1"/>
  <c r="U1163" s="1"/>
  <c r="A1166"/>
  <c r="A1165"/>
  <c r="A1164"/>
  <c r="A1163"/>
  <c r="T1304" i="6" l="1"/>
  <c r="S1307"/>
  <c r="S1306" s="1"/>
  <c r="T1308"/>
  <c r="U1165" i="5"/>
  <c r="U1164"/>
  <c r="U1162"/>
  <c r="T1161"/>
  <c r="T1160" s="1"/>
  <c r="T1159" s="1"/>
  <c r="U1159" s="1"/>
  <c r="A1159"/>
  <c r="A1160"/>
  <c r="A1162"/>
  <c r="A1161"/>
  <c r="U1160" l="1"/>
  <c r="U1161"/>
  <c r="T1307" i="6"/>
  <c r="U1158" i="5"/>
  <c r="T1157"/>
  <c r="T1156" s="1"/>
  <c r="T1155" s="1"/>
  <c r="U1155" s="1"/>
  <c r="A1158"/>
  <c r="A1156"/>
  <c r="A1157"/>
  <c r="A1155"/>
  <c r="T1306" i="6" l="1"/>
  <c r="U1157" i="5"/>
  <c r="U1156"/>
  <c r="T250"/>
  <c r="T255"/>
  <c r="T715" i="6"/>
  <c r="S714"/>
  <c r="S713" s="1"/>
  <c r="S712" s="1"/>
  <c r="S711" s="1"/>
  <c r="T711" s="1"/>
  <c r="A714"/>
  <c r="A715"/>
  <c r="A1416" i="5"/>
  <c r="A711" i="6"/>
  <c r="A1414" i="5"/>
  <c r="A1415"/>
  <c r="A713" i="6"/>
  <c r="A1413" i="5"/>
  <c r="S1302" i="6" l="1"/>
  <c r="T1303"/>
  <c r="T714"/>
  <c r="T712"/>
  <c r="T713"/>
  <c r="U1416" i="5"/>
  <c r="T1415"/>
  <c r="T1414" s="1"/>
  <c r="T1413" s="1"/>
  <c r="U1413" s="1"/>
  <c r="U1414" l="1"/>
  <c r="U1415"/>
  <c r="S1301" i="6"/>
  <c r="S1300" s="1"/>
  <c r="T1302"/>
  <c r="T1301" l="1"/>
  <c r="T1300" l="1"/>
  <c r="T1406" i="5" l="1"/>
  <c r="T1405"/>
  <c r="T1663" i="6"/>
  <c r="S1662"/>
  <c r="T1662" s="1"/>
  <c r="A1663"/>
  <c r="A1662"/>
  <c r="T1294" i="5" l="1"/>
  <c r="U1294" s="1"/>
  <c r="U1295"/>
  <c r="S793" i="6"/>
  <c r="S792" s="1"/>
  <c r="T792" s="1"/>
  <c r="T794"/>
  <c r="S784"/>
  <c r="S783" s="1"/>
  <c r="S782" s="1"/>
  <c r="T782" s="1"/>
  <c r="A1295" i="5"/>
  <c r="A784" i="6"/>
  <c r="A793"/>
  <c r="A851"/>
  <c r="A850"/>
  <c r="A1293" i="5"/>
  <c r="A794" i="6"/>
  <c r="A792"/>
  <c r="A782"/>
  <c r="A1294" i="5"/>
  <c r="A783" i="6"/>
  <c r="A1289" i="5"/>
  <c r="A849" i="6"/>
  <c r="T793" l="1"/>
  <c r="T1293" i="5"/>
  <c r="T784" i="6"/>
  <c r="T783"/>
  <c r="S851"/>
  <c r="S850" s="1"/>
  <c r="T1326" i="5"/>
  <c r="U1350"/>
  <c r="T1348"/>
  <c r="U1348" s="1"/>
  <c r="T1349"/>
  <c r="U1349" s="1"/>
  <c r="A1349"/>
  <c r="A1350"/>
  <c r="A1348"/>
  <c r="U1293" l="1"/>
  <c r="T1292"/>
  <c r="S849" i="6"/>
  <c r="T850"/>
  <c r="T851"/>
  <c r="U1342" i="5"/>
  <c r="T1341"/>
  <c r="U1341" s="1"/>
  <c r="A1341"/>
  <c r="A1340"/>
  <c r="A1342"/>
  <c r="T1291" l="1"/>
  <c r="U1292"/>
  <c r="T1340"/>
  <c r="T849" i="6"/>
  <c r="T1386" i="5"/>
  <c r="U1386" s="1"/>
  <c r="U1387"/>
  <c r="T1391"/>
  <c r="S231" i="6"/>
  <c r="S230" s="1"/>
  <c r="S229" s="1"/>
  <c r="T229" s="1"/>
  <c r="A233"/>
  <c r="A1386" i="5"/>
  <c r="A1385"/>
  <c r="A230" i="6"/>
  <c r="A229"/>
  <c r="A1387" i="5"/>
  <c r="A1336"/>
  <c r="A232" i="6"/>
  <c r="A231"/>
  <c r="A234"/>
  <c r="U1291" i="5" l="1"/>
  <c r="T1290"/>
  <c r="T1385"/>
  <c r="U1385" s="1"/>
  <c r="U1340"/>
  <c r="T230" i="6"/>
  <c r="T231"/>
  <c r="F234"/>
  <c r="F233" s="1"/>
  <c r="G234"/>
  <c r="G233" s="1"/>
  <c r="G232" s="1"/>
  <c r="I234"/>
  <c r="I233" s="1"/>
  <c r="I232" s="1"/>
  <c r="K234"/>
  <c r="K233" s="1"/>
  <c r="K232" s="1"/>
  <c r="M234"/>
  <c r="M233" s="1"/>
  <c r="M232" s="1"/>
  <c r="O234"/>
  <c r="O233" s="1"/>
  <c r="O232" s="1"/>
  <c r="Q234"/>
  <c r="Q233" s="1"/>
  <c r="Q232" s="1"/>
  <c r="S234"/>
  <c r="S233" s="1"/>
  <c r="S232" s="1"/>
  <c r="S228" s="1"/>
  <c r="A942"/>
  <c r="A941"/>
  <c r="A940"/>
  <c r="T1289" i="5" l="1"/>
  <c r="U1289" s="1"/>
  <c r="U1290"/>
  <c r="F232" i="6"/>
  <c r="H232" s="1"/>
  <c r="J232" s="1"/>
  <c r="L232" s="1"/>
  <c r="N232" s="1"/>
  <c r="P232" s="1"/>
  <c r="R232" s="1"/>
  <c r="T232" s="1"/>
  <c r="H233"/>
  <c r="J233" s="1"/>
  <c r="L233" s="1"/>
  <c r="N233" s="1"/>
  <c r="P233" s="1"/>
  <c r="R233" s="1"/>
  <c r="T233" s="1"/>
  <c r="H234"/>
  <c r="J234" s="1"/>
  <c r="L234" s="1"/>
  <c r="N234" s="1"/>
  <c r="P234" s="1"/>
  <c r="R234" s="1"/>
  <c r="T234" s="1"/>
  <c r="S942"/>
  <c r="S941" s="1"/>
  <c r="T946"/>
  <c r="A946"/>
  <c r="T942" l="1"/>
  <c r="T941"/>
  <c r="S940"/>
  <c r="A824"/>
  <c r="A823"/>
  <c r="A825"/>
  <c r="T940" l="1"/>
  <c r="S807"/>
  <c r="S821"/>
  <c r="T1433" i="5"/>
  <c r="U1438"/>
  <c r="U1434"/>
  <c r="T1436"/>
  <c r="U1366"/>
  <c r="T1365"/>
  <c r="T1364" s="1"/>
  <c r="U1364" s="1"/>
  <c r="A1365"/>
  <c r="A810" i="6"/>
  <c r="A1440" i="5"/>
  <c r="A1441"/>
  <c r="A1432"/>
  <c r="A1442"/>
  <c r="A809" i="6"/>
  <c r="A1433" i="5"/>
  <c r="A1366"/>
  <c r="A1439"/>
  <c r="A1438"/>
  <c r="A811" i="6"/>
  <c r="A1443" i="5"/>
  <c r="A1434"/>
  <c r="A1364"/>
  <c r="U1365" l="1"/>
  <c r="U855"/>
  <c r="T854"/>
  <c r="T853" s="1"/>
  <c r="U853" s="1"/>
  <c r="A855"/>
  <c r="A853"/>
  <c r="A854"/>
  <c r="U854" l="1"/>
  <c r="T902" i="6"/>
  <c r="S892"/>
  <c r="S891" s="1"/>
  <c r="S890" s="1"/>
  <c r="S212"/>
  <c r="S211" s="1"/>
  <c r="S210" s="1"/>
  <c r="T1401" i="5"/>
  <c r="U1402"/>
  <c r="A902" i="6"/>
  <c r="A892"/>
  <c r="A890"/>
  <c r="A891"/>
  <c r="A1401" i="5"/>
  <c r="A1400"/>
  <c r="A1402"/>
  <c r="T890" i="6" l="1"/>
  <c r="T891"/>
  <c r="T892"/>
  <c r="T1394" i="5"/>
  <c r="T1393" s="1"/>
  <c r="U1393" s="1"/>
  <c r="U1395"/>
  <c r="A1395"/>
  <c r="A1393"/>
  <c r="A1394"/>
  <c r="U1394" l="1"/>
  <c r="T1334"/>
  <c r="T1333" s="1"/>
  <c r="T1332" s="1"/>
  <c r="U1336"/>
  <c r="S1510" i="6"/>
  <c r="T1510" s="1"/>
  <c r="T1511"/>
  <c r="A1511"/>
  <c r="A1505"/>
  <c r="A1510"/>
  <c r="A1507"/>
  <c r="A1509"/>
  <c r="A1506"/>
  <c r="S1509" l="1"/>
  <c r="T1176" i="5"/>
  <c r="T1175" s="1"/>
  <c r="U1177"/>
  <c r="A1177"/>
  <c r="A1173"/>
  <c r="A1176"/>
  <c r="A1175"/>
  <c r="A1174"/>
  <c r="T1174" l="1"/>
  <c r="U1175"/>
  <c r="U1176"/>
  <c r="S1508" i="6"/>
  <c r="T1509"/>
  <c r="S1256"/>
  <c r="T1256" s="1"/>
  <c r="R1256"/>
  <c r="R1255"/>
  <c r="R1254"/>
  <c r="R1253"/>
  <c r="R1252"/>
  <c r="R1251"/>
  <c r="A1254"/>
  <c r="A1252"/>
  <c r="A1256"/>
  <c r="A1255"/>
  <c r="A1251"/>
  <c r="T1173" i="5" l="1"/>
  <c r="U1173" s="1"/>
  <c r="U1174"/>
  <c r="S1507" i="6"/>
  <c r="T1508"/>
  <c r="T1578" i="5"/>
  <c r="S1255" i="6" s="1"/>
  <c r="T1255" s="1"/>
  <c r="S1579" i="5"/>
  <c r="U1579" s="1"/>
  <c r="S1578"/>
  <c r="S1577"/>
  <c r="S1576"/>
  <c r="A1578"/>
  <c r="A1579"/>
  <c r="A1577"/>
  <c r="A1576"/>
  <c r="U1578" l="1"/>
  <c r="S1254" i="6"/>
  <c r="S1253" s="1"/>
  <c r="S1252" s="1"/>
  <c r="S1251" s="1"/>
  <c r="T1251" s="1"/>
  <c r="T1577" i="5"/>
  <c r="T1576" s="1"/>
  <c r="U1576" s="1"/>
  <c r="T1507" i="6"/>
  <c r="S1506"/>
  <c r="S1244"/>
  <c r="S1250"/>
  <c r="R1250"/>
  <c r="R1249"/>
  <c r="R1248"/>
  <c r="R1247"/>
  <c r="R1246"/>
  <c r="R1245"/>
  <c r="A1248"/>
  <c r="A1245"/>
  <c r="A1250"/>
  <c r="A1249"/>
  <c r="A1246"/>
  <c r="U1577" i="5" l="1"/>
  <c r="T1252" i="6"/>
  <c r="T1254"/>
  <c r="T1253"/>
  <c r="T1506"/>
  <c r="S1505"/>
  <c r="T1505" s="1"/>
  <c r="T1250"/>
  <c r="T1502" i="5"/>
  <c r="S1503"/>
  <c r="U1503" s="1"/>
  <c r="S1502"/>
  <c r="S1501"/>
  <c r="S1500"/>
  <c r="A1502"/>
  <c r="A1503"/>
  <c r="A1501"/>
  <c r="A1500"/>
  <c r="T1501" l="1"/>
  <c r="T1500" s="1"/>
  <c r="U1500" s="1"/>
  <c r="S1249" i="6"/>
  <c r="U1502" i="5"/>
  <c r="U1501" l="1"/>
  <c r="T1249" i="6"/>
  <c r="S1248"/>
  <c r="S1247" l="1"/>
  <c r="T1248"/>
  <c r="S1246" l="1"/>
  <c r="T1247"/>
  <c r="S1245" l="1"/>
  <c r="T1245" s="1"/>
  <c r="T1246"/>
  <c r="S1415" l="1"/>
  <c r="T1415" s="1"/>
  <c r="U140" i="5"/>
  <c r="T139"/>
  <c r="U139" s="1"/>
  <c r="U980"/>
  <c r="S257" i="6"/>
  <c r="T257" s="1"/>
  <c r="T979" i="5"/>
  <c r="U979" s="1"/>
  <c r="A137"/>
  <c r="A1413" i="6"/>
  <c r="A140" i="5"/>
  <c r="A257" i="6"/>
  <c r="A978" i="5"/>
  <c r="A256" i="6"/>
  <c r="A1410"/>
  <c r="A980" i="5"/>
  <c r="A1415" i="6"/>
  <c r="A252"/>
  <c r="A982" i="5"/>
  <c r="A255" i="6"/>
  <c r="A138" i="5"/>
  <c r="A981"/>
  <c r="A977"/>
  <c r="A983"/>
  <c r="A139"/>
  <c r="A1414" i="6"/>
  <c r="A253"/>
  <c r="A1411"/>
  <c r="A979" i="5"/>
  <c r="T138" l="1"/>
  <c r="U138" s="1"/>
  <c r="S256" i="6"/>
  <c r="T256" s="1"/>
  <c r="T978" i="5"/>
  <c r="U978" s="1"/>
  <c r="S1414" i="6"/>
  <c r="S294"/>
  <c r="S1811"/>
  <c r="S1810" s="1"/>
  <c r="S1809" s="1"/>
  <c r="S1808" s="1"/>
  <c r="S1807" s="1"/>
  <c r="S1806"/>
  <c r="S1805" s="1"/>
  <c r="S1804" s="1"/>
  <c r="S1803" s="1"/>
  <c r="S1802" s="1"/>
  <c r="S1801" s="1"/>
  <c r="S1795"/>
  <c r="S1794" s="1"/>
  <c r="S1793" s="1"/>
  <c r="S1792" s="1"/>
  <c r="S1791" s="1"/>
  <c r="S1790"/>
  <c r="S1789" s="1"/>
  <c r="S1788" s="1"/>
  <c r="S1787" s="1"/>
  <c r="S1786" s="1"/>
  <c r="S1785"/>
  <c r="S1784" s="1"/>
  <c r="S1783" s="1"/>
  <c r="S1782" s="1"/>
  <c r="S1781" s="1"/>
  <c r="S1780"/>
  <c r="S1779" s="1"/>
  <c r="S1778" s="1"/>
  <c r="S1777"/>
  <c r="S1776" s="1"/>
  <c r="S1772"/>
  <c r="S1771" s="1"/>
  <c r="S1770" s="1"/>
  <c r="S1769"/>
  <c r="S1768" s="1"/>
  <c r="S1765"/>
  <c r="S1764" s="1"/>
  <c r="S1763" s="1"/>
  <c r="S1762"/>
  <c r="S1761" s="1"/>
  <c r="S1757"/>
  <c r="S1756" s="1"/>
  <c r="S1755" s="1"/>
  <c r="S1754" s="1"/>
  <c r="S1753" s="1"/>
  <c r="S1752"/>
  <c r="S1751" s="1"/>
  <c r="S1750" s="1"/>
  <c r="S1749" s="1"/>
  <c r="S1748" s="1"/>
  <c r="S1747"/>
  <c r="S1746" s="1"/>
  <c r="S1745" s="1"/>
  <c r="S1744"/>
  <c r="S1743" s="1"/>
  <c r="S1739"/>
  <c r="S1738" s="1"/>
  <c r="S1737" s="1"/>
  <c r="S1736"/>
  <c r="S1735" s="1"/>
  <c r="S1731"/>
  <c r="S1730"/>
  <c r="S1728"/>
  <c r="S1727" s="1"/>
  <c r="S1725"/>
  <c r="S1724" s="1"/>
  <c r="S1723" s="1"/>
  <c r="S1722"/>
  <c r="S1721" s="1"/>
  <c r="S1717"/>
  <c r="S1716" s="1"/>
  <c r="S1715" s="1"/>
  <c r="S1714"/>
  <c r="S1713" s="1"/>
  <c r="S1709"/>
  <c r="S1708" s="1"/>
  <c r="S1707" s="1"/>
  <c r="S1706" s="1"/>
  <c r="S1705"/>
  <c r="S1704" s="1"/>
  <c r="S1703" s="1"/>
  <c r="S1701"/>
  <c r="S1700" s="1"/>
  <c r="S1699" s="1"/>
  <c r="S1698" s="1"/>
  <c r="S1697"/>
  <c r="S1696" s="1"/>
  <c r="S1695" s="1"/>
  <c r="S1694" s="1"/>
  <c r="S1692"/>
  <c r="S1691" s="1"/>
  <c r="S1690" s="1"/>
  <c r="S1689" s="1"/>
  <c r="S1688"/>
  <c r="S1687" s="1"/>
  <c r="S1686" s="1"/>
  <c r="S1685" s="1"/>
  <c r="S1684"/>
  <c r="S1683" s="1"/>
  <c r="S1682"/>
  <c r="S1681" s="1"/>
  <c r="S1677"/>
  <c r="S1676" s="1"/>
  <c r="S1675" s="1"/>
  <c r="S1674" s="1"/>
  <c r="S1673" s="1"/>
  <c r="S1671"/>
  <c r="S1670" s="1"/>
  <c r="S1669" s="1"/>
  <c r="S1668"/>
  <c r="S1667" s="1"/>
  <c r="S1658"/>
  <c r="S1657" s="1"/>
  <c r="S1656" s="1"/>
  <c r="S1655" s="1"/>
  <c r="S1654" s="1"/>
  <c r="S1653" s="1"/>
  <c r="S1652"/>
  <c r="S1651" s="1"/>
  <c r="S1650" s="1"/>
  <c r="S1649" s="1"/>
  <c r="S1648" s="1"/>
  <c r="S1647" s="1"/>
  <c r="S1646"/>
  <c r="S1645" s="1"/>
  <c r="S1644" s="1"/>
  <c r="S1643" s="1"/>
  <c r="S1642" s="1"/>
  <c r="S1641" s="1"/>
  <c r="S1640"/>
  <c r="S1639" s="1"/>
  <c r="S1638" s="1"/>
  <c r="S1637" s="1"/>
  <c r="S1636" s="1"/>
  <c r="S1635" s="1"/>
  <c r="S1634"/>
  <c r="S1633" s="1"/>
  <c r="S1632" s="1"/>
  <c r="S1631" s="1"/>
  <c r="S1630" s="1"/>
  <c r="S1629" s="1"/>
  <c r="S1628"/>
  <c r="S1627" s="1"/>
  <c r="S1626" s="1"/>
  <c r="S1625" s="1"/>
  <c r="S1624" s="1"/>
  <c r="S1623" s="1"/>
  <c r="S1621"/>
  <c r="S1620" s="1"/>
  <c r="S1619" s="1"/>
  <c r="S1618" s="1"/>
  <c r="S1617" s="1"/>
  <c r="S1616"/>
  <c r="S1615" s="1"/>
  <c r="S1614" s="1"/>
  <c r="S1613" s="1"/>
  <c r="S1612" s="1"/>
  <c r="S1611"/>
  <c r="S1610" s="1"/>
  <c r="S1609" s="1"/>
  <c r="S1608"/>
  <c r="S1607" s="1"/>
  <c r="S1604"/>
  <c r="S1603" s="1"/>
  <c r="S1602" s="1"/>
  <c r="S1601"/>
  <c r="S1600" s="1"/>
  <c r="S1597"/>
  <c r="S1596" s="1"/>
  <c r="S1595" s="1"/>
  <c r="S1594"/>
  <c r="S1593" s="1"/>
  <c r="S1592" s="1"/>
  <c r="S1591"/>
  <c r="S1590" s="1"/>
  <c r="S1587"/>
  <c r="S1586" s="1"/>
  <c r="S1585" s="1"/>
  <c r="S1584"/>
  <c r="S1583" s="1"/>
  <c r="S1580"/>
  <c r="S1579" s="1"/>
  <c r="S1578" s="1"/>
  <c r="S1577"/>
  <c r="S1576" s="1"/>
  <c r="S1575" s="1"/>
  <c r="S1574"/>
  <c r="S1573" s="1"/>
  <c r="S1570"/>
  <c r="S1569" s="1"/>
  <c r="S1568" s="1"/>
  <c r="S1567"/>
  <c r="S1566" s="1"/>
  <c r="S1565" s="1"/>
  <c r="S1564"/>
  <c r="S1563" s="1"/>
  <c r="S1560"/>
  <c r="S1559"/>
  <c r="S1556"/>
  <c r="S1555" s="1"/>
  <c r="S1554" s="1"/>
  <c r="S1553"/>
  <c r="S1552" s="1"/>
  <c r="S1549"/>
  <c r="S1548" s="1"/>
  <c r="S1547" s="1"/>
  <c r="S1546"/>
  <c r="S1545" s="1"/>
  <c r="S1544" s="1"/>
  <c r="S1543"/>
  <c r="S1542" s="1"/>
  <c r="S1540"/>
  <c r="S1539" s="1"/>
  <c r="S1538" s="1"/>
  <c r="S1537"/>
  <c r="S1536" s="1"/>
  <c r="S1535" s="1"/>
  <c r="S1534"/>
  <c r="S1533" s="1"/>
  <c r="S1531"/>
  <c r="S1530"/>
  <c r="S1527"/>
  <c r="S1526" s="1"/>
  <c r="S1525" s="1"/>
  <c r="S1524"/>
  <c r="S1523" s="1"/>
  <c r="S1519"/>
  <c r="S1518" s="1"/>
  <c r="S1517" s="1"/>
  <c r="S1516" s="1"/>
  <c r="S1515" s="1"/>
  <c r="S1504"/>
  <c r="S1503" s="1"/>
  <c r="S1502" s="1"/>
  <c r="S1501" s="1"/>
  <c r="S1500" s="1"/>
  <c r="S1499" s="1"/>
  <c r="S1498" s="1"/>
  <c r="S1497"/>
  <c r="S1496" s="1"/>
  <c r="S1495" s="1"/>
  <c r="S1494" s="1"/>
  <c r="S1493" s="1"/>
  <c r="S1492" s="1"/>
  <c r="S1491"/>
  <c r="S1490" s="1"/>
  <c r="S1489" s="1"/>
  <c r="S1488" s="1"/>
  <c r="S1487"/>
  <c r="S1486" s="1"/>
  <c r="S1485" s="1"/>
  <c r="S1484"/>
  <c r="S1483" s="1"/>
  <c r="S1482" s="1"/>
  <c r="S1481"/>
  <c r="S1480" s="1"/>
  <c r="S1477"/>
  <c r="S1476" s="1"/>
  <c r="S1475" s="1"/>
  <c r="S1474" s="1"/>
  <c r="S1473" s="1"/>
  <c r="S1471"/>
  <c r="S1470" s="1"/>
  <c r="S1469" s="1"/>
  <c r="S1468" s="1"/>
  <c r="S1467" s="1"/>
  <c r="S1466" s="1"/>
  <c r="S1463"/>
  <c r="S1462" s="1"/>
  <c r="S1461" s="1"/>
  <c r="S1460" s="1"/>
  <c r="S1459" s="1"/>
  <c r="S1458" s="1"/>
  <c r="S1457"/>
  <c r="S1456"/>
  <c r="S1453"/>
  <c r="S1452" s="1"/>
  <c r="S1451" s="1"/>
  <c r="S1450"/>
  <c r="S1449" s="1"/>
  <c r="S1445"/>
  <c r="S1444" s="1"/>
  <c r="S1443" s="1"/>
  <c r="S1442" s="1"/>
  <c r="S1441" s="1"/>
  <c r="S1440" s="1"/>
  <c r="S1439"/>
  <c r="S1438" s="1"/>
  <c r="S1437" s="1"/>
  <c r="S1436" s="1"/>
  <c r="S1435" s="1"/>
  <c r="S1434" s="1"/>
  <c r="S1433"/>
  <c r="S1432" s="1"/>
  <c r="S1431" s="1"/>
  <c r="S1430" s="1"/>
  <c r="S1429" s="1"/>
  <c r="S1428"/>
  <c r="S1427" s="1"/>
  <c r="S1426" s="1"/>
  <c r="S1425" s="1"/>
  <c r="S1424" s="1"/>
  <c r="S1422"/>
  <c r="S1421" s="1"/>
  <c r="S1420" s="1"/>
  <c r="S1419" s="1"/>
  <c r="S1418" s="1"/>
  <c r="S1417" s="1"/>
  <c r="S1409"/>
  <c r="S1408"/>
  <c r="S1402"/>
  <c r="S1401" s="1"/>
  <c r="S1400" s="1"/>
  <c r="S1399" s="1"/>
  <c r="S1398" s="1"/>
  <c r="S1397" s="1"/>
  <c r="S1395"/>
  <c r="S1394" s="1"/>
  <c r="S1393" s="1"/>
  <c r="S1392" s="1"/>
  <c r="S1391" s="1"/>
  <c r="S1390"/>
  <c r="S1389" s="1"/>
  <c r="S1388" s="1"/>
  <c r="S1387" s="1"/>
  <c r="S1386" s="1"/>
  <c r="S1385" s="1"/>
  <c r="S1383"/>
  <c r="S1382"/>
  <c r="S1379"/>
  <c r="S1378" s="1"/>
  <c r="S1377" s="1"/>
  <c r="S1376"/>
  <c r="S1375" s="1"/>
  <c r="S1371"/>
  <c r="S1370" s="1"/>
  <c r="S1369" s="1"/>
  <c r="S1368" s="1"/>
  <c r="S1367" s="1"/>
  <c r="S1366" s="1"/>
  <c r="S1363"/>
  <c r="S1362"/>
  <c r="S1359"/>
  <c r="S1358" s="1"/>
  <c r="S1357" s="1"/>
  <c r="S1356"/>
  <c r="S1355" s="1"/>
  <c r="S1354" s="1"/>
  <c r="S1353"/>
  <c r="S1352" s="1"/>
  <c r="S1348"/>
  <c r="S1347" s="1"/>
  <c r="S1346" s="1"/>
  <c r="S1345" s="1"/>
  <c r="S1344" s="1"/>
  <c r="S1343"/>
  <c r="S1342" s="1"/>
  <c r="S1341" s="1"/>
  <c r="S1340" s="1"/>
  <c r="S1339" s="1"/>
  <c r="S1338" s="1"/>
  <c r="S1334"/>
  <c r="S1333" s="1"/>
  <c r="S1332" s="1"/>
  <c r="S1331"/>
  <c r="S1330" s="1"/>
  <c r="S1325"/>
  <c r="S1324" s="1"/>
  <c r="S1323"/>
  <c r="S1322" s="1"/>
  <c r="S1299"/>
  <c r="S1298" s="1"/>
  <c r="S1297"/>
  <c r="S1296" s="1"/>
  <c r="S1292"/>
  <c r="S1291" s="1"/>
  <c r="S1290"/>
  <c r="S1289" s="1"/>
  <c r="S1284"/>
  <c r="S1283" s="1"/>
  <c r="S1282" s="1"/>
  <c r="S1281" s="1"/>
  <c r="S1280" s="1"/>
  <c r="S1279"/>
  <c r="S1278" s="1"/>
  <c r="S1277" s="1"/>
  <c r="S1276" s="1"/>
  <c r="S1275" s="1"/>
  <c r="S1274"/>
  <c r="S1273" s="1"/>
  <c r="S1272"/>
  <c r="S1271" s="1"/>
  <c r="S1269"/>
  <c r="S1268" s="1"/>
  <c r="S1267" s="1"/>
  <c r="S1264"/>
  <c r="S1263" s="1"/>
  <c r="S1262" s="1"/>
  <c r="S1261" s="1"/>
  <c r="S1260" s="1"/>
  <c r="S1238"/>
  <c r="S1237"/>
  <c r="S1234"/>
  <c r="S1233" s="1"/>
  <c r="S1232" s="1"/>
  <c r="S1231"/>
  <c r="S1230" s="1"/>
  <c r="S1226"/>
  <c r="S1225" s="1"/>
  <c r="S1224" s="1"/>
  <c r="S1223" s="1"/>
  <c r="S1222" s="1"/>
  <c r="S1221"/>
  <c r="S1220" s="1"/>
  <c r="S1219" s="1"/>
  <c r="S1218" s="1"/>
  <c r="S1217"/>
  <c r="S1216" s="1"/>
  <c r="S1215" s="1"/>
  <c r="S1214" s="1"/>
  <c r="S1212"/>
  <c r="S1211" s="1"/>
  <c r="S1210" s="1"/>
  <c r="S1209" s="1"/>
  <c r="S1208" s="1"/>
  <c r="S1207"/>
  <c r="S1206" s="1"/>
  <c r="S1205" s="1"/>
  <c r="S1204" s="1"/>
  <c r="S1203" s="1"/>
  <c r="S1202"/>
  <c r="S1201" s="1"/>
  <c r="S1200" s="1"/>
  <c r="S1199" s="1"/>
  <c r="S1198" s="1"/>
  <c r="S1196"/>
  <c r="S1195" s="1"/>
  <c r="S1194" s="1"/>
  <c r="S1193" s="1"/>
  <c r="S1192" s="1"/>
  <c r="S1191" s="1"/>
  <c r="S1190"/>
  <c r="S1189" s="1"/>
  <c r="S1188" s="1"/>
  <c r="S1187" s="1"/>
  <c r="S1186" s="1"/>
  <c r="S1185" s="1"/>
  <c r="S1184"/>
  <c r="S1183" s="1"/>
  <c r="S1182" s="1"/>
  <c r="S1181" s="1"/>
  <c r="S1180" s="1"/>
  <c r="S1179" s="1"/>
  <c r="S1178"/>
  <c r="S1177" s="1"/>
  <c r="S1176" s="1"/>
  <c r="S1175" s="1"/>
  <c r="S1174" s="1"/>
  <c r="S1173" s="1"/>
  <c r="S1172"/>
  <c r="S1171" s="1"/>
  <c r="S1170" s="1"/>
  <c r="S1169" s="1"/>
  <c r="S1168" s="1"/>
  <c r="S1167" s="1"/>
  <c r="S1166"/>
  <c r="S1165" s="1"/>
  <c r="S1164" s="1"/>
  <c r="S1163" s="1"/>
  <c r="S1162" s="1"/>
  <c r="S1161" s="1"/>
  <c r="S1160"/>
  <c r="S1159" s="1"/>
  <c r="S1158" s="1"/>
  <c r="S1157" s="1"/>
  <c r="S1156" s="1"/>
  <c r="S1155" s="1"/>
  <c r="S1154"/>
  <c r="S1153" s="1"/>
  <c r="S1152" s="1"/>
  <c r="S1151" s="1"/>
  <c r="S1150" s="1"/>
  <c r="S1149" s="1"/>
  <c r="S1148"/>
  <c r="S1147" s="1"/>
  <c r="S1146" s="1"/>
  <c r="S1145" s="1"/>
  <c r="S1144" s="1"/>
  <c r="S1143" s="1"/>
  <c r="S1142"/>
  <c r="S1141" s="1"/>
  <c r="S1140" s="1"/>
  <c r="S1139" s="1"/>
  <c r="S1138" s="1"/>
  <c r="S1137" s="1"/>
  <c r="S1136"/>
  <c r="S1135" s="1"/>
  <c r="S1134" s="1"/>
  <c r="S1133" s="1"/>
  <c r="S1132" s="1"/>
  <c r="S1131"/>
  <c r="S1130" s="1"/>
  <c r="S1129" s="1"/>
  <c r="S1128" s="1"/>
  <c r="S1127" s="1"/>
  <c r="S1126"/>
  <c r="S1125" s="1"/>
  <c r="S1124" s="1"/>
  <c r="S1123" s="1"/>
  <c r="S1122" s="1"/>
  <c r="S1121"/>
  <c r="S1120" s="1"/>
  <c r="S1119" s="1"/>
  <c r="S1118" s="1"/>
  <c r="S1117" s="1"/>
  <c r="S1116"/>
  <c r="S1115" s="1"/>
  <c r="S1114" s="1"/>
  <c r="S1113" s="1"/>
  <c r="S1112"/>
  <c r="S1111" s="1"/>
  <c r="S1110" s="1"/>
  <c r="S1109" s="1"/>
  <c r="S1108"/>
  <c r="S1107" s="1"/>
  <c r="S1106" s="1"/>
  <c r="S1105" s="1"/>
  <c r="S1100"/>
  <c r="S1099" s="1"/>
  <c r="S1098" s="1"/>
  <c r="S1097" s="1"/>
  <c r="S1096" s="1"/>
  <c r="S1095" s="1"/>
  <c r="S1094"/>
  <c r="S1093" s="1"/>
  <c r="S1092" s="1"/>
  <c r="S1091" s="1"/>
  <c r="S1090" s="1"/>
  <c r="S1089" s="1"/>
  <c r="S1088"/>
  <c r="S1087" s="1"/>
  <c r="S1086" s="1"/>
  <c r="S1085" s="1"/>
  <c r="S1084" s="1"/>
  <c r="S1083"/>
  <c r="S1082" s="1"/>
  <c r="S1081" s="1"/>
  <c r="S1080" s="1"/>
  <c r="S1079" s="1"/>
  <c r="S1076"/>
  <c r="S1075" s="1"/>
  <c r="S1074" s="1"/>
  <c r="S1073" s="1"/>
  <c r="S1072" s="1"/>
  <c r="S1071" s="1"/>
  <c r="S1070"/>
  <c r="S1069" s="1"/>
  <c r="S1068" s="1"/>
  <c r="S1067" s="1"/>
  <c r="S1066" s="1"/>
  <c r="S1065" s="1"/>
  <c r="S1064"/>
  <c r="S1063" s="1"/>
  <c r="S1062" s="1"/>
  <c r="S1061" s="1"/>
  <c r="S1060" s="1"/>
  <c r="S1059" s="1"/>
  <c r="S1057"/>
  <c r="S1056" s="1"/>
  <c r="S1055" s="1"/>
  <c r="S1054" s="1"/>
  <c r="S1053" s="1"/>
  <c r="S1052" s="1"/>
  <c r="S1051"/>
  <c r="S1050" s="1"/>
  <c r="S1049" s="1"/>
  <c r="S1048" s="1"/>
  <c r="S1047" s="1"/>
  <c r="S1046" s="1"/>
  <c r="S1045"/>
  <c r="S1044" s="1"/>
  <c r="S1043" s="1"/>
  <c r="S1042" s="1"/>
  <c r="S1041" s="1"/>
  <c r="S1040"/>
  <c r="S1039" s="1"/>
  <c r="S1038" s="1"/>
  <c r="S1037" s="1"/>
  <c r="S1036" s="1"/>
  <c r="S1034"/>
  <c r="S1033" s="1"/>
  <c r="S1032" s="1"/>
  <c r="S1031"/>
  <c r="S1030"/>
  <c r="S1027"/>
  <c r="S1026" s="1"/>
  <c r="S1022"/>
  <c r="S1021" s="1"/>
  <c r="S1020"/>
  <c r="S1019" s="1"/>
  <c r="S1018" s="1"/>
  <c r="S1012"/>
  <c r="S1011" s="1"/>
  <c r="S1010" s="1"/>
  <c r="S1009" s="1"/>
  <c r="S1008" s="1"/>
  <c r="S1007" s="1"/>
  <c r="S1006"/>
  <c r="S1005" s="1"/>
  <c r="S1004" s="1"/>
  <c r="S1003" s="1"/>
  <c r="S1002" s="1"/>
  <c r="S1001" s="1"/>
  <c r="S999"/>
  <c r="S998" s="1"/>
  <c r="S997" s="1"/>
  <c r="S996" s="1"/>
  <c r="S995" s="1"/>
  <c r="S994"/>
  <c r="S993" s="1"/>
  <c r="S992" s="1"/>
  <c r="S991" s="1"/>
  <c r="S990" s="1"/>
  <c r="S989" s="1"/>
  <c r="S987"/>
  <c r="S986" s="1"/>
  <c r="S985" s="1"/>
  <c r="S984" s="1"/>
  <c r="S983" s="1"/>
  <c r="S982" s="1"/>
  <c r="S981" s="1"/>
  <c r="S980" s="1"/>
  <c r="S979"/>
  <c r="S978" s="1"/>
  <c r="S977" s="1"/>
  <c r="S976" s="1"/>
  <c r="S975" s="1"/>
  <c r="S974" s="1"/>
  <c r="S973" s="1"/>
  <c r="S972"/>
  <c r="S971" s="1"/>
  <c r="S970" s="1"/>
  <c r="S969" s="1"/>
  <c r="S968" s="1"/>
  <c r="S967" s="1"/>
  <c r="S966"/>
  <c r="S965" s="1"/>
  <c r="S964" s="1"/>
  <c r="S960"/>
  <c r="S959" s="1"/>
  <c r="S958" s="1"/>
  <c r="S957" s="1"/>
  <c r="S956" s="1"/>
  <c r="S955" s="1"/>
  <c r="S953"/>
  <c r="S952" s="1"/>
  <c r="S951" s="1"/>
  <c r="S950" s="1"/>
  <c r="S949" s="1"/>
  <c r="S948" s="1"/>
  <c r="S945"/>
  <c r="S936"/>
  <c r="S935" s="1"/>
  <c r="S934" s="1"/>
  <c r="S933"/>
  <c r="S932" s="1"/>
  <c r="S931" s="1"/>
  <c r="S930"/>
  <c r="S929" s="1"/>
  <c r="S927"/>
  <c r="S926"/>
  <c r="S922"/>
  <c r="S921"/>
  <c r="S916"/>
  <c r="S915" s="1"/>
  <c r="S914"/>
  <c r="S913" s="1"/>
  <c r="S911"/>
  <c r="S910" s="1"/>
  <c r="S909" s="1"/>
  <c r="S905"/>
  <c r="S904" s="1"/>
  <c r="S903" s="1"/>
  <c r="S901"/>
  <c r="S895"/>
  <c r="S894" s="1"/>
  <c r="S893" s="1"/>
  <c r="S889" s="1"/>
  <c r="S886"/>
  <c r="S885" s="1"/>
  <c r="S884" s="1"/>
  <c r="S883" s="1"/>
  <c r="S882" s="1"/>
  <c r="S881" s="1"/>
  <c r="S880"/>
  <c r="S879" s="1"/>
  <c r="S878" s="1"/>
  <c r="S877" s="1"/>
  <c r="S876" s="1"/>
  <c r="S875"/>
  <c r="S874" s="1"/>
  <c r="S873" s="1"/>
  <c r="S872" s="1"/>
  <c r="S871" s="1"/>
  <c r="S869"/>
  <c r="S868" s="1"/>
  <c r="S867"/>
  <c r="S866" s="1"/>
  <c r="S865" s="1"/>
  <c r="S861"/>
  <c r="S860" s="1"/>
  <c r="S859" s="1"/>
  <c r="S858" s="1"/>
  <c r="S857" s="1"/>
  <c r="S856" s="1"/>
  <c r="S855"/>
  <c r="S854"/>
  <c r="S845"/>
  <c r="S844" s="1"/>
  <c r="S843" s="1"/>
  <c r="S842" s="1"/>
  <c r="S841" s="1"/>
  <c r="S840" s="1"/>
  <c r="S832"/>
  <c r="S831" s="1"/>
  <c r="S830" s="1"/>
  <c r="S829" s="1"/>
  <c r="S828" s="1"/>
  <c r="S827" s="1"/>
  <c r="S826" s="1"/>
  <c r="S820"/>
  <c r="S819" s="1"/>
  <c r="S815" s="1"/>
  <c r="S806"/>
  <c r="S805" s="1"/>
  <c r="S801" s="1"/>
  <c r="S797"/>
  <c r="S796" s="1"/>
  <c r="S795" s="1"/>
  <c r="S787"/>
  <c r="S786" s="1"/>
  <c r="S785" s="1"/>
  <c r="S777"/>
  <c r="S776" s="1"/>
  <c r="S775" s="1"/>
  <c r="S774" s="1"/>
  <c r="S773" s="1"/>
  <c r="S772" s="1"/>
  <c r="S771"/>
  <c r="S770" s="1"/>
  <c r="S769" s="1"/>
  <c r="S768" s="1"/>
  <c r="S767" s="1"/>
  <c r="S766" s="1"/>
  <c r="S765"/>
  <c r="S764" s="1"/>
  <c r="S763" s="1"/>
  <c r="S762" s="1"/>
  <c r="S761" s="1"/>
  <c r="S760" s="1"/>
  <c r="S758"/>
  <c r="S757" s="1"/>
  <c r="S756" s="1"/>
  <c r="S755" s="1"/>
  <c r="S754" s="1"/>
  <c r="S753" s="1"/>
  <c r="S752"/>
  <c r="S751" s="1"/>
  <c r="S750" s="1"/>
  <c r="S749"/>
  <c r="S748" s="1"/>
  <c r="S747" s="1"/>
  <c r="S746"/>
  <c r="S745" s="1"/>
  <c r="S740"/>
  <c r="S739"/>
  <c r="S733"/>
  <c r="S732" s="1"/>
  <c r="S731" s="1"/>
  <c r="S730" s="1"/>
  <c r="S729" s="1"/>
  <c r="S728" s="1"/>
  <c r="S726"/>
  <c r="S725" s="1"/>
  <c r="S724" s="1"/>
  <c r="S723" s="1"/>
  <c r="S722" s="1"/>
  <c r="S721"/>
  <c r="S720" s="1"/>
  <c r="S719" s="1"/>
  <c r="S718" s="1"/>
  <c r="S717" s="1"/>
  <c r="S710"/>
  <c r="S709" s="1"/>
  <c r="S708" s="1"/>
  <c r="S707" s="1"/>
  <c r="S706" s="1"/>
  <c r="S705"/>
  <c r="S704" s="1"/>
  <c r="S703" s="1"/>
  <c r="S702" s="1"/>
  <c r="S701" s="1"/>
  <c r="S699"/>
  <c r="S698" s="1"/>
  <c r="S697" s="1"/>
  <c r="S696" s="1"/>
  <c r="S695" s="1"/>
  <c r="S694"/>
  <c r="S693" s="1"/>
  <c r="S692" s="1"/>
  <c r="S691" s="1"/>
  <c r="S690" s="1"/>
  <c r="S688"/>
  <c r="S687" s="1"/>
  <c r="S686" s="1"/>
  <c r="S685" s="1"/>
  <c r="S684" s="1"/>
  <c r="S683"/>
  <c r="S682" s="1"/>
  <c r="S681" s="1"/>
  <c r="S680" s="1"/>
  <c r="S679"/>
  <c r="S678" s="1"/>
  <c r="S677" s="1"/>
  <c r="S676" s="1"/>
  <c r="S674"/>
  <c r="S673" s="1"/>
  <c r="S672" s="1"/>
  <c r="S671" s="1"/>
  <c r="S670" s="1"/>
  <c r="S668"/>
  <c r="S667" s="1"/>
  <c r="S666" s="1"/>
  <c r="S665" s="1"/>
  <c r="S664" s="1"/>
  <c r="S663"/>
  <c r="S662" s="1"/>
  <c r="S661" s="1"/>
  <c r="S660" s="1"/>
  <c r="S659" s="1"/>
  <c r="S658"/>
  <c r="S657" s="1"/>
  <c r="S656"/>
  <c r="S655" s="1"/>
  <c r="S653"/>
  <c r="S652" s="1"/>
  <c r="S651" s="1"/>
  <c r="S648"/>
  <c r="S647" s="1"/>
  <c r="S646" s="1"/>
  <c r="S645" s="1"/>
  <c r="S644" s="1"/>
  <c r="S642"/>
  <c r="S641" s="1"/>
  <c r="S640" s="1"/>
  <c r="S639" s="1"/>
  <c r="S638" s="1"/>
  <c r="S637"/>
  <c r="S636" s="1"/>
  <c r="S635"/>
  <c r="S634" s="1"/>
  <c r="S632"/>
  <c r="S631" s="1"/>
  <c r="S630" s="1"/>
  <c r="S625"/>
  <c r="S624" s="1"/>
  <c r="S623" s="1"/>
  <c r="S622" s="1"/>
  <c r="S621" s="1"/>
  <c r="S620" s="1"/>
  <c r="S619"/>
  <c r="S618" s="1"/>
  <c r="S617" s="1"/>
  <c r="S616" s="1"/>
  <c r="S615" s="1"/>
  <c r="S614" s="1"/>
  <c r="S613"/>
  <c r="S612" s="1"/>
  <c r="S611" s="1"/>
  <c r="S610" s="1"/>
  <c r="S609" s="1"/>
  <c r="S608" s="1"/>
  <c r="S606"/>
  <c r="S605" s="1"/>
  <c r="S604" s="1"/>
  <c r="S603" s="1"/>
  <c r="S602" s="1"/>
  <c r="S601"/>
  <c r="S600" s="1"/>
  <c r="S599" s="1"/>
  <c r="S598" s="1"/>
  <c r="S597" s="1"/>
  <c r="S596"/>
  <c r="S595" s="1"/>
  <c r="S594" s="1"/>
  <c r="S593" s="1"/>
  <c r="S592" s="1"/>
  <c r="S590"/>
  <c r="S589" s="1"/>
  <c r="S588" s="1"/>
  <c r="S587" s="1"/>
  <c r="S586" s="1"/>
  <c r="S585"/>
  <c r="S584" s="1"/>
  <c r="S583" s="1"/>
  <c r="S582" s="1"/>
  <c r="S581" s="1"/>
  <c r="S580"/>
  <c r="S579" s="1"/>
  <c r="S578" s="1"/>
  <c r="S577" s="1"/>
  <c r="S576" s="1"/>
  <c r="S574"/>
  <c r="S573" s="1"/>
  <c r="S572" s="1"/>
  <c r="S571" s="1"/>
  <c r="S570" s="1"/>
  <c r="S569" s="1"/>
  <c r="S568" s="1"/>
  <c r="S567"/>
  <c r="S566" s="1"/>
  <c r="S565" s="1"/>
  <c r="S564" s="1"/>
  <c r="S563" s="1"/>
  <c r="S562"/>
  <c r="S561" s="1"/>
  <c r="S560" s="1"/>
  <c r="S559" s="1"/>
  <c r="S558" s="1"/>
  <c r="S557" s="1"/>
  <c r="S556"/>
  <c r="S555" s="1"/>
  <c r="S554" s="1"/>
  <c r="S553" s="1"/>
  <c r="S552" s="1"/>
  <c r="S551"/>
  <c r="S550" s="1"/>
  <c r="S549" s="1"/>
  <c r="S548" s="1"/>
  <c r="S547" s="1"/>
  <c r="S545"/>
  <c r="S544" s="1"/>
  <c r="S543" s="1"/>
  <c r="S542" s="1"/>
  <c r="S541" s="1"/>
  <c r="S540" s="1"/>
  <c r="S538"/>
  <c r="S537" s="1"/>
  <c r="S536" s="1"/>
  <c r="S535"/>
  <c r="S534" s="1"/>
  <c r="S530"/>
  <c r="S529"/>
  <c r="S526"/>
  <c r="S525" s="1"/>
  <c r="S524" s="1"/>
  <c r="S523"/>
  <c r="S522" s="1"/>
  <c r="S517"/>
  <c r="S516" s="1"/>
  <c r="S515" s="1"/>
  <c r="S514" s="1"/>
  <c r="S513"/>
  <c r="S512"/>
  <c r="S511" s="1"/>
  <c r="S507"/>
  <c r="S506" s="1"/>
  <c r="S505"/>
  <c r="S504" s="1"/>
  <c r="S499"/>
  <c r="S498" s="1"/>
  <c r="S497"/>
  <c r="S496" s="1"/>
  <c r="S494"/>
  <c r="S493" s="1"/>
  <c r="S492" s="1"/>
  <c r="S488"/>
  <c r="S487" s="1"/>
  <c r="S486" s="1"/>
  <c r="S485" s="1"/>
  <c r="S484" s="1"/>
  <c r="S483" s="1"/>
  <c r="S482"/>
  <c r="S481" s="1"/>
  <c r="S480"/>
  <c r="S479" s="1"/>
  <c r="S474"/>
  <c r="S473" s="1"/>
  <c r="S472"/>
  <c r="S471" s="1"/>
  <c r="S466"/>
  <c r="S465" s="1"/>
  <c r="S464" s="1"/>
  <c r="S463" s="1"/>
  <c r="S462" s="1"/>
  <c r="S461" s="1"/>
  <c r="S459"/>
  <c r="S458" s="1"/>
  <c r="S457" s="1"/>
  <c r="S456" s="1"/>
  <c r="S455" s="1"/>
  <c r="S454" s="1"/>
  <c r="S453"/>
  <c r="S452" s="1"/>
  <c r="S451" s="1"/>
  <c r="S450" s="1"/>
  <c r="S449" s="1"/>
  <c r="S448" s="1"/>
  <c r="S447"/>
  <c r="S446" s="1"/>
  <c r="S445" s="1"/>
  <c r="S444" s="1"/>
  <c r="S443" s="1"/>
  <c r="S442" s="1"/>
  <c r="S441"/>
  <c r="S440" s="1"/>
  <c r="S439" s="1"/>
  <c r="S438" s="1"/>
  <c r="S437" s="1"/>
  <c r="S436" s="1"/>
  <c r="S434"/>
  <c r="S433" s="1"/>
  <c r="S432" s="1"/>
  <c r="S431" s="1"/>
  <c r="S430" s="1"/>
  <c r="S429" s="1"/>
  <c r="S428" s="1"/>
  <c r="S427"/>
  <c r="S426" s="1"/>
  <c r="S425" s="1"/>
  <c r="S424" s="1"/>
  <c r="S423" s="1"/>
  <c r="S422" s="1"/>
  <c r="S421"/>
  <c r="S420" s="1"/>
  <c r="S419" s="1"/>
  <c r="S418" s="1"/>
  <c r="S417" s="1"/>
  <c r="S416" s="1"/>
  <c r="S415"/>
  <c r="S414" s="1"/>
  <c r="S413" s="1"/>
  <c r="S412" s="1"/>
  <c r="S411" s="1"/>
  <c r="S410" s="1"/>
  <c r="S408"/>
  <c r="S407" s="1"/>
  <c r="S406" s="1"/>
  <c r="S405" s="1"/>
  <c r="S404" s="1"/>
  <c r="S403" s="1"/>
  <c r="S402"/>
  <c r="S401" s="1"/>
  <c r="S400"/>
  <c r="S399" s="1"/>
  <c r="S394"/>
  <c r="S393" s="1"/>
  <c r="S392"/>
  <c r="S391" s="1"/>
  <c r="S386"/>
  <c r="S385" s="1"/>
  <c r="S384" s="1"/>
  <c r="S383" s="1"/>
  <c r="S382" s="1"/>
  <c r="S381" s="1"/>
  <c r="S379"/>
  <c r="S378" s="1"/>
  <c r="S377" s="1"/>
  <c r="S376" s="1"/>
  <c r="S375" s="1"/>
  <c r="S374" s="1"/>
  <c r="S373"/>
  <c r="S372" s="1"/>
  <c r="S371" s="1"/>
  <c r="S370" s="1"/>
  <c r="S369" s="1"/>
  <c r="S368" s="1"/>
  <c r="S367"/>
  <c r="S366" s="1"/>
  <c r="S365" s="1"/>
  <c r="S364" s="1"/>
  <c r="S363" s="1"/>
  <c r="S362" s="1"/>
  <c r="S361"/>
  <c r="S360" s="1"/>
  <c r="S359" s="1"/>
  <c r="S358" s="1"/>
  <c r="S357" s="1"/>
  <c r="S356"/>
  <c r="S355" s="1"/>
  <c r="S354" s="1"/>
  <c r="S353" s="1"/>
  <c r="S352" s="1"/>
  <c r="S350"/>
  <c r="S349" s="1"/>
  <c r="S348" s="1"/>
  <c r="S347" s="1"/>
  <c r="S346" s="1"/>
  <c r="S345" s="1"/>
  <c r="S343"/>
  <c r="S342" s="1"/>
  <c r="S341" s="1"/>
  <c r="S340" s="1"/>
  <c r="S339" s="1"/>
  <c r="S338" s="1"/>
  <c r="S337"/>
  <c r="S336" s="1"/>
  <c r="S335" s="1"/>
  <c r="S334" s="1"/>
  <c r="S333" s="1"/>
  <c r="S332" s="1"/>
  <c r="S331"/>
  <c r="S330" s="1"/>
  <c r="S329" s="1"/>
  <c r="S328" s="1"/>
  <c r="S327" s="1"/>
  <c r="S326" s="1"/>
  <c r="S325"/>
  <c r="S324" s="1"/>
  <c r="S323" s="1"/>
  <c r="S322" s="1"/>
  <c r="S321" s="1"/>
  <c r="S320" s="1"/>
  <c r="S319"/>
  <c r="S318" s="1"/>
  <c r="S317" s="1"/>
  <c r="S316" s="1"/>
  <c r="S315" s="1"/>
  <c r="S314" s="1"/>
  <c r="S313"/>
  <c r="S312" s="1"/>
  <c r="S311" s="1"/>
  <c r="S310" s="1"/>
  <c r="S309" s="1"/>
  <c r="S308" s="1"/>
  <c r="S307"/>
  <c r="S306" s="1"/>
  <c r="S305" s="1"/>
  <c r="S304" s="1"/>
  <c r="S303" s="1"/>
  <c r="S302" s="1"/>
  <c r="S300"/>
  <c r="S299" s="1"/>
  <c r="S298" s="1"/>
  <c r="S297" s="1"/>
  <c r="S296" s="1"/>
  <c r="S295" s="1"/>
  <c r="S288"/>
  <c r="S287" s="1"/>
  <c r="S286" s="1"/>
  <c r="S285" s="1"/>
  <c r="S284" s="1"/>
  <c r="S283" s="1"/>
  <c r="S282"/>
  <c r="S281" s="1"/>
  <c r="S280" s="1"/>
  <c r="S279" s="1"/>
  <c r="S278" s="1"/>
  <c r="S277" s="1"/>
  <c r="S276"/>
  <c r="S275" s="1"/>
  <c r="S274" s="1"/>
  <c r="S273" s="1"/>
  <c r="S272" s="1"/>
  <c r="S271" s="1"/>
  <c r="S270"/>
  <c r="S269" s="1"/>
  <c r="S268" s="1"/>
  <c r="S267" s="1"/>
  <c r="S266" s="1"/>
  <c r="S265" s="1"/>
  <c r="S264"/>
  <c r="S263" s="1"/>
  <c r="S262" s="1"/>
  <c r="S261" s="1"/>
  <c r="S260" s="1"/>
  <c r="S259" s="1"/>
  <c r="S251"/>
  <c r="S250" s="1"/>
  <c r="S249" s="1"/>
  <c r="S248" s="1"/>
  <c r="S247" s="1"/>
  <c r="S246" s="1"/>
  <c r="S245"/>
  <c r="S244" s="1"/>
  <c r="S243" s="1"/>
  <c r="S242"/>
  <c r="S241" s="1"/>
  <c r="S240" s="1"/>
  <c r="S227"/>
  <c r="S226" s="1"/>
  <c r="S224"/>
  <c r="S219"/>
  <c r="S218" s="1"/>
  <c r="S217" s="1"/>
  <c r="S216" s="1"/>
  <c r="S215"/>
  <c r="S214" s="1"/>
  <c r="S213" s="1"/>
  <c r="S205"/>
  <c r="S204" s="1"/>
  <c r="S203"/>
  <c r="S202" s="1"/>
  <c r="S200"/>
  <c r="S199" s="1"/>
  <c r="S198" s="1"/>
  <c r="S194"/>
  <c r="S193" s="1"/>
  <c r="S192"/>
  <c r="S186"/>
  <c r="S185" s="1"/>
  <c r="S184" s="1"/>
  <c r="S183" s="1"/>
  <c r="S182" s="1"/>
  <c r="S181" s="1"/>
  <c r="S180" s="1"/>
  <c r="S179"/>
  <c r="S178" s="1"/>
  <c r="S177" s="1"/>
  <c r="S176" s="1"/>
  <c r="S175" s="1"/>
  <c r="S174" s="1"/>
  <c r="S173"/>
  <c r="S172" s="1"/>
  <c r="S171" s="1"/>
  <c r="S170" s="1"/>
  <c r="S169" s="1"/>
  <c r="S168" s="1"/>
  <c r="S167"/>
  <c r="S166" s="1"/>
  <c r="S165" s="1"/>
  <c r="S164" s="1"/>
  <c r="S163" s="1"/>
  <c r="S162" s="1"/>
  <c r="S160"/>
  <c r="S159" s="1"/>
  <c r="S158" s="1"/>
  <c r="S157" s="1"/>
  <c r="S156"/>
  <c r="S155" s="1"/>
  <c r="S154" s="1"/>
  <c r="S153" s="1"/>
  <c r="S148"/>
  <c r="S147" s="1"/>
  <c r="S146" s="1"/>
  <c r="S145" s="1"/>
  <c r="S144" s="1"/>
  <c r="S143" s="1"/>
  <c r="S142"/>
  <c r="S141" s="1"/>
  <c r="S140" s="1"/>
  <c r="S139" s="1"/>
  <c r="S138" s="1"/>
  <c r="S137" s="1"/>
  <c r="S136"/>
  <c r="S135" s="1"/>
  <c r="S134" s="1"/>
  <c r="S133" s="1"/>
  <c r="S132" s="1"/>
  <c r="S131" s="1"/>
  <c r="S129"/>
  <c r="S128" s="1"/>
  <c r="S127"/>
  <c r="S126" s="1"/>
  <c r="S123"/>
  <c r="S122" s="1"/>
  <c r="S121" s="1"/>
  <c r="S120" s="1"/>
  <c r="S119"/>
  <c r="S118" s="1"/>
  <c r="S117"/>
  <c r="S116" s="1"/>
  <c r="S111"/>
  <c r="S110" s="1"/>
  <c r="S109" s="1"/>
  <c r="S108" s="1"/>
  <c r="S107" s="1"/>
  <c r="S106" s="1"/>
  <c r="S105"/>
  <c r="S104"/>
  <c r="S102"/>
  <c r="S101"/>
  <c r="S95"/>
  <c r="S94"/>
  <c r="S89"/>
  <c r="S88" s="1"/>
  <c r="S87" s="1"/>
  <c r="S86" s="1"/>
  <c r="S85" s="1"/>
  <c r="S84" s="1"/>
  <c r="S83"/>
  <c r="S82" s="1"/>
  <c r="S81"/>
  <c r="S80" s="1"/>
  <c r="S74"/>
  <c r="S73" s="1"/>
  <c r="S72" s="1"/>
  <c r="S71" s="1"/>
  <c r="S70" s="1"/>
  <c r="S69" s="1"/>
  <c r="S68"/>
  <c r="S67" s="1"/>
  <c r="S66"/>
  <c r="S65" s="1"/>
  <c r="S60"/>
  <c r="S59" s="1"/>
  <c r="S58"/>
  <c r="S57" s="1"/>
  <c r="S51"/>
  <c r="S50" s="1"/>
  <c r="S49"/>
  <c r="S48" s="1"/>
  <c r="S43"/>
  <c r="S42" s="1"/>
  <c r="S41" s="1"/>
  <c r="S40" s="1"/>
  <c r="S39" s="1"/>
  <c r="S38" s="1"/>
  <c r="S37"/>
  <c r="S36"/>
  <c r="S34"/>
  <c r="S33" s="1"/>
  <c r="S29"/>
  <c r="S28" s="1"/>
  <c r="S27" s="1"/>
  <c r="S24"/>
  <c r="S23" s="1"/>
  <c r="S22" s="1"/>
  <c r="S21" s="1"/>
  <c r="S20" s="1"/>
  <c r="S19" s="1"/>
  <c r="T1325" i="5"/>
  <c r="T1324" s="1"/>
  <c r="T597"/>
  <c r="T120"/>
  <c r="T119" s="1"/>
  <c r="T1740"/>
  <c r="T1739" s="1"/>
  <c r="T1737"/>
  <c r="T1736" s="1"/>
  <c r="T1734"/>
  <c r="T1728"/>
  <c r="T1727" s="1"/>
  <c r="T1726" s="1"/>
  <c r="T1725" s="1"/>
  <c r="T1722"/>
  <c r="T1721" s="1"/>
  <c r="T1719"/>
  <c r="T1711"/>
  <c r="T1710" s="1"/>
  <c r="T1708"/>
  <c r="T1707" s="1"/>
  <c r="T1705"/>
  <c r="T1696"/>
  <c r="T1695" s="1"/>
  <c r="T1694" s="1"/>
  <c r="T1693" s="1"/>
  <c r="T1692" s="1"/>
  <c r="T1690"/>
  <c r="T1689" s="1"/>
  <c r="T1688" s="1"/>
  <c r="T1687" s="1"/>
  <c r="T1686" s="1"/>
  <c r="T1682"/>
  <c r="T1681" s="1"/>
  <c r="T1680" s="1"/>
  <c r="T1679" s="1"/>
  <c r="T1678" s="1"/>
  <c r="T1676"/>
  <c r="T1675" s="1"/>
  <c r="T1674" s="1"/>
  <c r="T1673" s="1"/>
  <c r="T1672" s="1"/>
  <c r="T1669"/>
  <c r="T1665"/>
  <c r="T1664" s="1"/>
  <c r="T1663" s="1"/>
  <c r="T1661"/>
  <c r="T1660" s="1"/>
  <c r="T1659" s="1"/>
  <c r="T1657"/>
  <c r="T1656" s="1"/>
  <c r="T1655" s="1"/>
  <c r="T1653"/>
  <c r="T1652" s="1"/>
  <c r="T1651" s="1"/>
  <c r="T1649"/>
  <c r="T1648" s="1"/>
  <c r="T1647" s="1"/>
  <c r="T1645"/>
  <c r="T1644" s="1"/>
  <c r="T1643" s="1"/>
  <c r="T1638"/>
  <c r="T1637" s="1"/>
  <c r="T1635"/>
  <c r="T1634" s="1"/>
  <c r="T1631"/>
  <c r="T1630" s="1"/>
  <c r="T1629" s="1"/>
  <c r="T1625"/>
  <c r="T1624" s="1"/>
  <c r="T1623" s="1"/>
  <c r="T1622" s="1"/>
  <c r="T1621" s="1"/>
  <c r="T1618"/>
  <c r="T1617" s="1"/>
  <c r="T1616" s="1"/>
  <c r="T1615" s="1"/>
  <c r="T1614" s="1"/>
  <c r="T1613" s="1"/>
  <c r="T1611"/>
  <c r="T1610" s="1"/>
  <c r="T1609" s="1"/>
  <c r="T1607"/>
  <c r="T1606" s="1"/>
  <c r="T1605" s="1"/>
  <c r="T1600"/>
  <c r="T1599" s="1"/>
  <c r="T1598" s="1"/>
  <c r="T1597" s="1"/>
  <c r="T1596" s="1"/>
  <c r="T1593"/>
  <c r="T1592" s="1"/>
  <c r="T1590"/>
  <c r="T1589" s="1"/>
  <c r="T1587"/>
  <c r="T1586" s="1"/>
  <c r="T1584"/>
  <c r="T1573"/>
  <c r="T1572" s="1"/>
  <c r="T1570"/>
  <c r="T1569" s="1"/>
  <c r="T1567"/>
  <c r="T1564"/>
  <c r="T1563" s="1"/>
  <c r="T1562" s="1"/>
  <c r="T1560"/>
  <c r="T1559" s="1"/>
  <c r="T1558" s="1"/>
  <c r="T1555"/>
  <c r="T1554" s="1"/>
  <c r="T1553" s="1"/>
  <c r="T1552" s="1"/>
  <c r="T1550"/>
  <c r="T1549" s="1"/>
  <c r="T1548" s="1"/>
  <c r="T1547" s="1"/>
  <c r="T1544"/>
  <c r="T1543" s="1"/>
  <c r="T1542" s="1"/>
  <c r="T1541" s="1"/>
  <c r="T1540" s="1"/>
  <c r="T1539" s="1"/>
  <c r="T1537"/>
  <c r="T1536" s="1"/>
  <c r="T1535" s="1"/>
  <c r="T1533"/>
  <c r="T1532" s="1"/>
  <c r="T1531" s="1"/>
  <c r="T1529"/>
  <c r="T1528" s="1"/>
  <c r="T1527" s="1"/>
  <c r="T1525"/>
  <c r="T1524" s="1"/>
  <c r="T1523" s="1"/>
  <c r="T1521"/>
  <c r="T1520" s="1"/>
  <c r="T1519" s="1"/>
  <c r="T1514"/>
  <c r="T1513" s="1"/>
  <c r="T1512" s="1"/>
  <c r="T1511" s="1"/>
  <c r="T1509"/>
  <c r="T1508" s="1"/>
  <c r="T1507" s="1"/>
  <c r="T1506" s="1"/>
  <c r="T1498"/>
  <c r="T1497" s="1"/>
  <c r="T1496" s="1"/>
  <c r="T1495" s="1"/>
  <c r="T1493"/>
  <c r="T1492" s="1"/>
  <c r="T1491" s="1"/>
  <c r="T1489"/>
  <c r="T1488" s="1"/>
  <c r="T1487" s="1"/>
  <c r="T1481"/>
  <c r="T1480" s="1"/>
  <c r="T1478"/>
  <c r="T1475"/>
  <c r="T1474" s="1"/>
  <c r="T1472"/>
  <c r="T1468"/>
  <c r="T1466"/>
  <c r="T1463"/>
  <c r="T1462" s="1"/>
  <c r="T1460"/>
  <c r="T1457"/>
  <c r="T1456" s="1"/>
  <c r="T1454"/>
  <c r="T1451"/>
  <c r="T1450" s="1"/>
  <c r="T1448"/>
  <c r="T1435"/>
  <c r="T1429"/>
  <c r="T1428" s="1"/>
  <c r="T1426"/>
  <c r="T1425" s="1"/>
  <c r="T1423"/>
  <c r="T1419"/>
  <c r="T1418" s="1"/>
  <c r="T1417" s="1"/>
  <c r="T1411"/>
  <c r="T1410" s="1"/>
  <c r="T1409" s="1"/>
  <c r="T1404"/>
  <c r="T1403" s="1"/>
  <c r="T1397"/>
  <c r="T1396" s="1"/>
  <c r="T1392" s="1"/>
  <c r="T1389"/>
  <c r="T1388" s="1"/>
  <c r="T1384" s="1"/>
  <c r="T1382"/>
  <c r="T1381" s="1"/>
  <c r="T1380" s="1"/>
  <c r="T1378"/>
  <c r="T1377" s="1"/>
  <c r="T1376" s="1"/>
  <c r="T1373"/>
  <c r="T1372" s="1"/>
  <c r="T1371" s="1"/>
  <c r="T1370" s="1"/>
  <c r="T1368"/>
  <c r="T1367" s="1"/>
  <c r="T1360"/>
  <c r="T1359" s="1"/>
  <c r="T1352"/>
  <c r="T1351" s="1"/>
  <c r="T1344"/>
  <c r="T1343" s="1"/>
  <c r="T1331"/>
  <c r="T1330" s="1"/>
  <c r="T1322"/>
  <c r="T1321" s="1"/>
  <c r="T1320" s="1"/>
  <c r="T1315"/>
  <c r="T1314" s="1"/>
  <c r="T1313" s="1"/>
  <c r="T1311"/>
  <c r="T1310" s="1"/>
  <c r="T1309" s="1"/>
  <c r="T1307"/>
  <c r="T1305"/>
  <c r="T1304" s="1"/>
  <c r="T1301"/>
  <c r="T1300" s="1"/>
  <c r="T1299" s="1"/>
  <c r="T1286"/>
  <c r="T1285" s="1"/>
  <c r="T1283"/>
  <c r="T1277"/>
  <c r="T1276" s="1"/>
  <c r="T1275" s="1"/>
  <c r="T1274" s="1"/>
  <c r="T1271"/>
  <c r="T1270" s="1"/>
  <c r="T1269" s="1"/>
  <c r="T1268" s="1"/>
  <c r="T1266"/>
  <c r="T1265" s="1"/>
  <c r="T1264" s="1"/>
  <c r="T1263" s="1"/>
  <c r="T1260"/>
  <c r="T1259" s="1"/>
  <c r="T1258" s="1"/>
  <c r="T1257" s="1"/>
  <c r="T1254"/>
  <c r="T1253" s="1"/>
  <c r="T1252" s="1"/>
  <c r="T1250"/>
  <c r="T1248"/>
  <c r="T1245"/>
  <c r="T1244" s="1"/>
  <c r="T1241"/>
  <c r="T1239"/>
  <c r="T1235"/>
  <c r="T1234" s="1"/>
  <c r="T1233" s="1"/>
  <c r="T1228"/>
  <c r="T1226"/>
  <c r="T1222"/>
  <c r="T1220"/>
  <c r="T1215"/>
  <c r="T1213"/>
  <c r="T1207"/>
  <c r="T1206" s="1"/>
  <c r="T1205" s="1"/>
  <c r="T1204" s="1"/>
  <c r="T1202"/>
  <c r="T1200"/>
  <c r="T1192"/>
  <c r="T1191" s="1"/>
  <c r="T1190" s="1"/>
  <c r="T1188"/>
  <c r="T1187" s="1"/>
  <c r="T1185"/>
  <c r="T1184" s="1"/>
  <c r="T1182"/>
  <c r="T1171"/>
  <c r="T1169"/>
  <c r="T1153"/>
  <c r="T1151"/>
  <c r="T1147"/>
  <c r="T1146" s="1"/>
  <c r="T1145" s="1"/>
  <c r="T1141"/>
  <c r="T1140" s="1"/>
  <c r="T1139" s="1"/>
  <c r="T1137"/>
  <c r="T1136" s="1"/>
  <c r="T1135" s="1"/>
  <c r="T1133"/>
  <c r="T1132" s="1"/>
  <c r="T1129"/>
  <c r="T1128" s="1"/>
  <c r="T1127" s="1"/>
  <c r="T1124"/>
  <c r="T1123" s="1"/>
  <c r="T1122" s="1"/>
  <c r="T1121" s="1"/>
  <c r="T1119"/>
  <c r="T1118" s="1"/>
  <c r="T1117" s="1"/>
  <c r="T1115"/>
  <c r="T1114" s="1"/>
  <c r="T1113" s="1"/>
  <c r="T1111"/>
  <c r="T1110" s="1"/>
  <c r="T1109" s="1"/>
  <c r="T1108" s="1"/>
  <c r="T1106"/>
  <c r="T1104"/>
  <c r="T1100"/>
  <c r="T1099" s="1"/>
  <c r="T1098" s="1"/>
  <c r="T1095"/>
  <c r="T1094" s="1"/>
  <c r="T1093" s="1"/>
  <c r="T1091"/>
  <c r="T1090" s="1"/>
  <c r="T1089" s="1"/>
  <c r="T1086"/>
  <c r="T1085" s="1"/>
  <c r="T1084" s="1"/>
  <c r="T1082"/>
  <c r="T1081" s="1"/>
  <c r="T1080" s="1"/>
  <c r="T1077"/>
  <c r="T1076" s="1"/>
  <c r="T1075" s="1"/>
  <c r="T1073"/>
  <c r="T1072" s="1"/>
  <c r="T1071" s="1"/>
  <c r="T1069"/>
  <c r="T1068" s="1"/>
  <c r="T1067" s="1"/>
  <c r="T1064"/>
  <c r="T1063" s="1"/>
  <c r="T1062" s="1"/>
  <c r="T1061" s="1"/>
  <c r="T1057"/>
  <c r="T1056" s="1"/>
  <c r="T1055" s="1"/>
  <c r="T1054" s="1"/>
  <c r="T1053" s="1"/>
  <c r="T1051"/>
  <c r="T1050" s="1"/>
  <c r="T1049" s="1"/>
  <c r="T1048" s="1"/>
  <c r="T1046"/>
  <c r="T1045" s="1"/>
  <c r="T1044" s="1"/>
  <c r="T1043" s="1"/>
  <c r="T1041"/>
  <c r="T1040" s="1"/>
  <c r="T1039" s="1"/>
  <c r="T1037"/>
  <c r="T1035"/>
  <c r="T1030"/>
  <c r="T1029" s="1"/>
  <c r="T1028" s="1"/>
  <c r="T1026"/>
  <c r="T1025" s="1"/>
  <c r="T1024" s="1"/>
  <c r="T1022"/>
  <c r="T1021" s="1"/>
  <c r="T1020" s="1"/>
  <c r="T1017"/>
  <c r="T1016" s="1"/>
  <c r="T1015" s="1"/>
  <c r="T1013"/>
  <c r="T1012" s="1"/>
  <c r="T1011" s="1"/>
  <c r="T1009"/>
  <c r="T1008" s="1"/>
  <c r="T1007" s="1"/>
  <c r="T1005"/>
  <c r="T1004" s="1"/>
  <c r="T1003" s="1"/>
  <c r="T1001"/>
  <c r="T1000" s="1"/>
  <c r="T999" s="1"/>
  <c r="T996"/>
  <c r="T995" s="1"/>
  <c r="T994" s="1"/>
  <c r="T992"/>
  <c r="T991" s="1"/>
  <c r="T990" s="1"/>
  <c r="T988"/>
  <c r="T987" s="1"/>
  <c r="T986" s="1"/>
  <c r="T984"/>
  <c r="T983" s="1"/>
  <c r="T982" s="1"/>
  <c r="T975"/>
  <c r="T974" s="1"/>
  <c r="T972"/>
  <c r="T971" s="1"/>
  <c r="T964"/>
  <c r="T963" s="1"/>
  <c r="T962" s="1"/>
  <c r="T960"/>
  <c r="T959" s="1"/>
  <c r="T958" s="1"/>
  <c r="T954"/>
  <c r="T953" s="1"/>
  <c r="T952" s="1"/>
  <c r="T950"/>
  <c r="T949" s="1"/>
  <c r="T948" s="1"/>
  <c r="T945"/>
  <c r="T944" s="1"/>
  <c r="T943" s="1"/>
  <c r="T942" s="1"/>
  <c r="T938"/>
  <c r="T937" s="1"/>
  <c r="T936" s="1"/>
  <c r="T935" s="1"/>
  <c r="T934" s="1"/>
  <c r="T932"/>
  <c r="T931" s="1"/>
  <c r="T930" s="1"/>
  <c r="T928"/>
  <c r="T927" s="1"/>
  <c r="T926" s="1"/>
  <c r="T924"/>
  <c r="T923" s="1"/>
  <c r="T922" s="1"/>
  <c r="T916"/>
  <c r="T915" s="1"/>
  <c r="T913"/>
  <c r="T906"/>
  <c r="T905" s="1"/>
  <c r="T904" s="1"/>
  <c r="T903" s="1"/>
  <c r="T902" s="1"/>
  <c r="T901" s="1"/>
  <c r="T898"/>
  <c r="T897" s="1"/>
  <c r="T896" s="1"/>
  <c r="T895" s="1"/>
  <c r="T894" s="1"/>
  <c r="T893" s="1"/>
  <c r="T892" s="1"/>
  <c r="T890"/>
  <c r="T889" s="1"/>
  <c r="T888" s="1"/>
  <c r="T887" s="1"/>
  <c r="T886" s="1"/>
  <c r="T885" s="1"/>
  <c r="T884" s="1"/>
  <c r="T882"/>
  <c r="T881" s="1"/>
  <c r="T880" s="1"/>
  <c r="T879" s="1"/>
  <c r="T878" s="1"/>
  <c r="T877" s="1"/>
  <c r="Q25" i="1" s="1"/>
  <c r="T875" i="5"/>
  <c r="T874" s="1"/>
  <c r="T872"/>
  <c r="T871" s="1"/>
  <c r="T869"/>
  <c r="T868" s="1"/>
  <c r="T866"/>
  <c r="T857"/>
  <c r="T856" s="1"/>
  <c r="T849"/>
  <c r="T848" s="1"/>
  <c r="T847" s="1"/>
  <c r="T846" s="1"/>
  <c r="T845" s="1"/>
  <c r="T843"/>
  <c r="T842" s="1"/>
  <c r="T841" s="1"/>
  <c r="T840" s="1"/>
  <c r="T835"/>
  <c r="T834" s="1"/>
  <c r="T833" s="1"/>
  <c r="T832" s="1"/>
  <c r="T830"/>
  <c r="T829" s="1"/>
  <c r="T828" s="1"/>
  <c r="T827" s="1"/>
  <c r="T826" s="1"/>
  <c r="T824"/>
  <c r="T823" s="1"/>
  <c r="T822" s="1"/>
  <c r="T821" s="1"/>
  <c r="T816"/>
  <c r="T815" s="1"/>
  <c r="T813"/>
  <c r="T810"/>
  <c r="T809" s="1"/>
  <c r="T808" s="1"/>
  <c r="T806"/>
  <c r="T803"/>
  <c r="T802" s="1"/>
  <c r="T801" s="1"/>
  <c r="T797"/>
  <c r="T796" s="1"/>
  <c r="T795" s="1"/>
  <c r="T794" s="1"/>
  <c r="T793" s="1"/>
  <c r="T791"/>
  <c r="T790" s="1"/>
  <c r="T787"/>
  <c r="T786" s="1"/>
  <c r="T784"/>
  <c r="T783" s="1"/>
  <c r="T774"/>
  <c r="T772"/>
  <c r="T769"/>
  <c r="T768" s="1"/>
  <c r="T764"/>
  <c r="T763" s="1"/>
  <c r="T762" s="1"/>
  <c r="T760"/>
  <c r="T759" s="1"/>
  <c r="T758" s="1"/>
  <c r="T755"/>
  <c r="T753"/>
  <c r="T750"/>
  <c r="T749" s="1"/>
  <c r="T746"/>
  <c r="T744"/>
  <c r="T740"/>
  <c r="T739" s="1"/>
  <c r="T738" s="1"/>
  <c r="T737" s="1"/>
  <c r="T735"/>
  <c r="T733"/>
  <c r="T728"/>
  <c r="T726"/>
  <c r="T722"/>
  <c r="T721" s="1"/>
  <c r="T720" s="1"/>
  <c r="T717"/>
  <c r="T715"/>
  <c r="T711"/>
  <c r="T710" s="1"/>
  <c r="T709" s="1"/>
  <c r="T705"/>
  <c r="T704" s="1"/>
  <c r="T703" s="1"/>
  <c r="T702" s="1"/>
  <c r="T700"/>
  <c r="T699" s="1"/>
  <c r="T698" s="1"/>
  <c r="T697" s="1"/>
  <c r="T695"/>
  <c r="T694"/>
  <c r="T693" s="1"/>
  <c r="T683"/>
  <c r="T682" s="1"/>
  <c r="T680"/>
  <c r="T679" s="1"/>
  <c r="T675"/>
  <c r="T674" s="1"/>
  <c r="T673" s="1"/>
  <c r="T672" s="1"/>
  <c r="T670"/>
  <c r="T669" s="1"/>
  <c r="T668" s="1"/>
  <c r="T667" s="1"/>
  <c r="T664"/>
  <c r="T663" s="1"/>
  <c r="T662" s="1"/>
  <c r="T660"/>
  <c r="T659" s="1"/>
  <c r="T658" s="1"/>
  <c r="T653"/>
  <c r="T652" s="1"/>
  <c r="T651" s="1"/>
  <c r="T648"/>
  <c r="T645"/>
  <c r="T640"/>
  <c r="T639" s="1"/>
  <c r="T637"/>
  <c r="T636" s="1"/>
  <c r="T635" s="1"/>
  <c r="T633"/>
  <c r="T631"/>
  <c r="T624"/>
  <c r="T622"/>
  <c r="T616"/>
  <c r="T615" s="1"/>
  <c r="T614" s="1"/>
  <c r="T613" s="1"/>
  <c r="T611"/>
  <c r="T610" s="1"/>
  <c r="T609" s="1"/>
  <c r="T608" s="1"/>
  <c r="T605"/>
  <c r="T603"/>
  <c r="T599"/>
  <c r="T593"/>
  <c r="T591"/>
  <c r="T583"/>
  <c r="T582" s="1"/>
  <c r="T581" s="1"/>
  <c r="T579"/>
  <c r="T578" s="1"/>
  <c r="T577" s="1"/>
  <c r="T569"/>
  <c r="T568" s="1"/>
  <c r="T566"/>
  <c r="T565" s="1"/>
  <c r="T563"/>
  <c r="T557"/>
  <c r="T556" s="1"/>
  <c r="T555" s="1"/>
  <c r="T553"/>
  <c r="T552" s="1"/>
  <c r="T551" s="1"/>
  <c r="T545"/>
  <c r="T544" s="1"/>
  <c r="T543" s="1"/>
  <c r="T542" s="1"/>
  <c r="T541" s="1"/>
  <c r="T540" s="1"/>
  <c r="T538"/>
  <c r="T537" s="1"/>
  <c r="T536" s="1"/>
  <c r="T535" s="1"/>
  <c r="T534" s="1"/>
  <c r="T533" s="1"/>
  <c r="T532" s="1"/>
  <c r="T530"/>
  <c r="T529" s="1"/>
  <c r="T528" s="1"/>
  <c r="T527" s="1"/>
  <c r="T526" s="1"/>
  <c r="T524"/>
  <c r="T523" s="1"/>
  <c r="T521"/>
  <c r="T520" s="1"/>
  <c r="T518"/>
  <c r="T511"/>
  <c r="T510" s="1"/>
  <c r="T509" s="1"/>
  <c r="T508" s="1"/>
  <c r="T506"/>
  <c r="T504"/>
  <c r="T503" s="1"/>
  <c r="T497"/>
  <c r="T496" s="1"/>
  <c r="T495" s="1"/>
  <c r="T493"/>
  <c r="T492" s="1"/>
  <c r="T491" s="1"/>
  <c r="T489"/>
  <c r="T488" s="1"/>
  <c r="T487" s="1"/>
  <c r="T483"/>
  <c r="T482" s="1"/>
  <c r="T481" s="1"/>
  <c r="T480" s="1"/>
  <c r="T479" s="1"/>
  <c r="T475"/>
  <c r="T474" s="1"/>
  <c r="T473" s="1"/>
  <c r="T472" s="1"/>
  <c r="T471" s="1"/>
  <c r="T468"/>
  <c r="T465"/>
  <c r="T464" s="1"/>
  <c r="T463" s="1"/>
  <c r="T462" s="1"/>
  <c r="T459"/>
  <c r="T458" s="1"/>
  <c r="T457" s="1"/>
  <c r="T456" s="1"/>
  <c r="T454"/>
  <c r="T453" s="1"/>
  <c r="T452" s="1"/>
  <c r="T450"/>
  <c r="T449" s="1"/>
  <c r="T446"/>
  <c r="T445" s="1"/>
  <c r="T443"/>
  <c r="T438"/>
  <c r="T437" s="1"/>
  <c r="T436" s="1"/>
  <c r="T434"/>
  <c r="T433" s="1"/>
  <c r="T432" s="1"/>
  <c r="T428"/>
  <c r="T427" s="1"/>
  <c r="T426" s="1"/>
  <c r="T425" s="1"/>
  <c r="T424" s="1"/>
  <c r="T421"/>
  <c r="T420" s="1"/>
  <c r="T419" s="1"/>
  <c r="T418" s="1"/>
  <c r="T417" s="1"/>
  <c r="T416" s="1"/>
  <c r="T415" s="1"/>
  <c r="T412"/>
  <c r="T411" s="1"/>
  <c r="T409"/>
  <c r="T408" s="1"/>
  <c r="T405"/>
  <c r="T404" s="1"/>
  <c r="T402"/>
  <c r="T401" s="1"/>
  <c r="T399"/>
  <c r="T390"/>
  <c r="T389" s="1"/>
  <c r="T388" s="1"/>
  <c r="T385"/>
  <c r="T384" s="1"/>
  <c r="T382"/>
  <c r="T381" s="1"/>
  <c r="T379"/>
  <c r="T375"/>
  <c r="T374" s="1"/>
  <c r="T373" s="1"/>
  <c r="T372" s="1"/>
  <c r="T371" s="1"/>
  <c r="T367"/>
  <c r="T366" s="1"/>
  <c r="T365" s="1"/>
  <c r="T364" s="1"/>
  <c r="T362"/>
  <c r="T361" s="1"/>
  <c r="T360" s="1"/>
  <c r="T359" s="1"/>
  <c r="T357"/>
  <c r="T356" s="1"/>
  <c r="T355" s="1"/>
  <c r="T353"/>
  <c r="T352" s="1"/>
  <c r="T351" s="1"/>
  <c r="T349"/>
  <c r="T348" s="1"/>
  <c r="T347" s="1"/>
  <c r="T344"/>
  <c r="T343" s="1"/>
  <c r="T342" s="1"/>
  <c r="T338"/>
  <c r="T337" s="1"/>
  <c r="T336" s="1"/>
  <c r="T335" s="1"/>
  <c r="T334" s="1"/>
  <c r="Q54" i="1" s="1"/>
  <c r="T331" i="5"/>
  <c r="T330" s="1"/>
  <c r="T329" s="1"/>
  <c r="T328" s="1"/>
  <c r="T327" s="1"/>
  <c r="T321"/>
  <c r="T320" s="1"/>
  <c r="T319" s="1"/>
  <c r="T317"/>
  <c r="T316" s="1"/>
  <c r="T315" s="1"/>
  <c r="T312"/>
  <c r="T311" s="1"/>
  <c r="T310" s="1"/>
  <c r="T308"/>
  <c r="T307" s="1"/>
  <c r="T306" s="1"/>
  <c r="T301"/>
  <c r="T300" s="1"/>
  <c r="T299" s="1"/>
  <c r="T298" s="1"/>
  <c r="T296"/>
  <c r="T295" s="1"/>
  <c r="T293"/>
  <c r="T292" s="1"/>
  <c r="T290"/>
  <c r="T289" s="1"/>
  <c r="T286"/>
  <c r="T285" s="1"/>
  <c r="T283"/>
  <c r="T282" s="1"/>
  <c r="T280"/>
  <c r="T279" s="1"/>
  <c r="T275"/>
  <c r="T274" s="1"/>
  <c r="T273" s="1"/>
  <c r="T271"/>
  <c r="T270" s="1"/>
  <c r="T269" s="1"/>
  <c r="T265"/>
  <c r="T264" s="1"/>
  <c r="T263" s="1"/>
  <c r="T262" s="1"/>
  <c r="T260"/>
  <c r="T259" s="1"/>
  <c r="T258" s="1"/>
  <c r="T257" s="1"/>
  <c r="T253"/>
  <c r="T252" s="1"/>
  <c r="T251" s="1"/>
  <c r="T249"/>
  <c r="T248" s="1"/>
  <c r="T247" s="1"/>
  <c r="T243"/>
  <c r="T242" s="1"/>
  <c r="T241" s="1"/>
  <c r="T240" s="1"/>
  <c r="T238"/>
  <c r="T237" s="1"/>
  <c r="T236" s="1"/>
  <c r="T235" s="1"/>
  <c r="T234" s="1"/>
  <c r="T231"/>
  <c r="T230" s="1"/>
  <c r="T228"/>
  <c r="T227" s="1"/>
  <c r="T225"/>
  <c r="T219"/>
  <c r="T218" s="1"/>
  <c r="T216"/>
  <c r="T215" s="1"/>
  <c r="T213"/>
  <c r="T212" s="1"/>
  <c r="T210"/>
  <c r="T207"/>
  <c r="T206" s="1"/>
  <c r="T204"/>
  <c r="T203" s="1"/>
  <c r="T202" s="1"/>
  <c r="T200"/>
  <c r="T199" s="1"/>
  <c r="T197"/>
  <c r="T196" s="1"/>
  <c r="T194"/>
  <c r="T190"/>
  <c r="T189" s="1"/>
  <c r="T188" s="1"/>
  <c r="T187" s="1"/>
  <c r="T184"/>
  <c r="T183" s="1"/>
  <c r="T182" s="1"/>
  <c r="T180"/>
  <c r="T179" s="1"/>
  <c r="T178" s="1"/>
  <c r="T173"/>
  <c r="T172" s="1"/>
  <c r="T171" s="1"/>
  <c r="T169"/>
  <c r="T168" s="1"/>
  <c r="T167" s="1"/>
  <c r="T162"/>
  <c r="T161" s="1"/>
  <c r="T160" s="1"/>
  <c r="T159" s="1"/>
  <c r="T158" s="1"/>
  <c r="T156"/>
  <c r="T155" s="1"/>
  <c r="T154" s="1"/>
  <c r="T152"/>
  <c r="T151" s="1"/>
  <c r="T150" s="1"/>
  <c r="T148"/>
  <c r="T147" s="1"/>
  <c r="T146" s="1"/>
  <c r="T144"/>
  <c r="T143" s="1"/>
  <c r="T142" s="1"/>
  <c r="T134"/>
  <c r="T133" s="1"/>
  <c r="T132" s="1"/>
  <c r="T129"/>
  <c r="T128" s="1"/>
  <c r="T127" s="1"/>
  <c r="T126" s="1"/>
  <c r="T123"/>
  <c r="T122" s="1"/>
  <c r="T117"/>
  <c r="T112"/>
  <c r="T111" s="1"/>
  <c r="T110" s="1"/>
  <c r="T109" s="1"/>
  <c r="T107"/>
  <c r="T106" s="1"/>
  <c r="T105" s="1"/>
  <c r="T103"/>
  <c r="T101"/>
  <c r="T98"/>
  <c r="T97" s="1"/>
  <c r="T93"/>
  <c r="T92" s="1"/>
  <c r="T91" s="1"/>
  <c r="T90" s="1"/>
  <c r="T88"/>
  <c r="T87" s="1"/>
  <c r="T85"/>
  <c r="T81"/>
  <c r="T80" s="1"/>
  <c r="T78"/>
  <c r="T77" s="1"/>
  <c r="T75"/>
  <c r="T70"/>
  <c r="T69" s="1"/>
  <c r="T68" s="1"/>
  <c r="T67" s="1"/>
  <c r="T66" s="1"/>
  <c r="T65" s="1"/>
  <c r="Q23" i="1" s="1"/>
  <c r="T63" i="5"/>
  <c r="T62" s="1"/>
  <c r="T60"/>
  <c r="T59" s="1"/>
  <c r="T57"/>
  <c r="T54"/>
  <c r="T53" s="1"/>
  <c r="T52" s="1"/>
  <c r="T49"/>
  <c r="T47"/>
  <c r="T46" s="1"/>
  <c r="T44"/>
  <c r="T41"/>
  <c r="T40" s="1"/>
  <c r="T38"/>
  <c r="T37" s="1"/>
  <c r="T35"/>
  <c r="T28"/>
  <c r="T27" s="1"/>
  <c r="T26" s="1"/>
  <c r="T25" s="1"/>
  <c r="T24" s="1"/>
  <c r="T23" s="1"/>
  <c r="Q20" i="1" s="1"/>
  <c r="R36" i="5"/>
  <c r="R294" i="6"/>
  <c r="Q293"/>
  <c r="R293" s="1"/>
  <c r="S1078" i="5"/>
  <c r="U1078" s="1"/>
  <c r="R1077"/>
  <c r="S1077" s="1"/>
  <c r="R606"/>
  <c r="R605" s="1"/>
  <c r="S605" s="1"/>
  <c r="R604"/>
  <c r="R603" s="1"/>
  <c r="R261"/>
  <c r="R255"/>
  <c r="R250"/>
  <c r="R121"/>
  <c r="R113"/>
  <c r="Q300" i="6"/>
  <c r="R1464" i="5"/>
  <c r="R1461"/>
  <c r="Q1728" i="6"/>
  <c r="R1728" s="1"/>
  <c r="S1467" i="5"/>
  <c r="U1467" s="1"/>
  <c r="R1466"/>
  <c r="S1466" s="1"/>
  <c r="R598"/>
  <c r="R646"/>
  <c r="R1327"/>
  <c r="Q1765" i="6"/>
  <c r="R1765" s="1"/>
  <c r="A1102" i="5"/>
  <c r="A1078"/>
  <c r="A289" i="6"/>
  <c r="A1727"/>
  <c r="A1763"/>
  <c r="A1467" i="5"/>
  <c r="A1765" i="6"/>
  <c r="A606" i="5"/>
  <c r="A1076"/>
  <c r="A1466"/>
  <c r="A1764" i="6"/>
  <c r="A1728"/>
  <c r="A293"/>
  <c r="A292"/>
  <c r="A294"/>
  <c r="A605" i="5"/>
  <c r="A290" i="6"/>
  <c r="A1077" i="5"/>
  <c r="A1075"/>
  <c r="T1168" l="1"/>
  <c r="T1167" s="1"/>
  <c r="T1355"/>
  <c r="T1354" s="1"/>
  <c r="T1408"/>
  <c r="T1604"/>
  <c r="T1603" s="1"/>
  <c r="T1602" s="1"/>
  <c r="Q37" i="1" s="1"/>
  <c r="T1339" i="5"/>
  <c r="T1338" s="1"/>
  <c r="T1347"/>
  <c r="T1346" s="1"/>
  <c r="T1765" i="6"/>
  <c r="U605" i="5"/>
  <c r="T714"/>
  <c r="T713" s="1"/>
  <c r="T912"/>
  <c r="T911" s="1"/>
  <c r="T910" s="1"/>
  <c r="T909" s="1"/>
  <c r="S791" i="6"/>
  <c r="S790" s="1"/>
  <c r="S789" s="1"/>
  <c r="S788" s="1"/>
  <c r="S781"/>
  <c r="S780" s="1"/>
  <c r="S779" s="1"/>
  <c r="S778" s="1"/>
  <c r="T743" i="5"/>
  <c r="T742" s="1"/>
  <c r="T137"/>
  <c r="U137" s="1"/>
  <c r="T1363"/>
  <c r="T1362" s="1"/>
  <c r="S944" i="6"/>
  <c r="S943" s="1"/>
  <c r="S814"/>
  <c r="S813" s="1"/>
  <c r="S812" s="1"/>
  <c r="S800"/>
  <c r="S799" s="1"/>
  <c r="S798" s="1"/>
  <c r="T1432" i="5"/>
  <c r="U1433"/>
  <c r="T852"/>
  <c r="T851" s="1"/>
  <c r="T839" s="1"/>
  <c r="T838" s="1"/>
  <c r="Q57" i="1" s="1"/>
  <c r="S900" i="6"/>
  <c r="S899" s="1"/>
  <c r="S898" s="1"/>
  <c r="S897" s="1"/>
  <c r="S896" s="1"/>
  <c r="S888"/>
  <c r="S887" s="1"/>
  <c r="T1728"/>
  <c r="T1400" i="5"/>
  <c r="U1401"/>
  <c r="T294" i="6"/>
  <c r="T1225" i="5"/>
  <c r="T1224" s="1"/>
  <c r="S255" i="6"/>
  <c r="T255" s="1"/>
  <c r="T1668" i="5"/>
  <c r="T1667" s="1"/>
  <c r="S1243" i="6"/>
  <c r="S1242" s="1"/>
  <c r="S1241" s="1"/>
  <c r="S1240" s="1"/>
  <c r="S1239" s="1"/>
  <c r="T977" i="5"/>
  <c r="U977" s="1"/>
  <c r="T1414" i="6"/>
  <c r="S1413"/>
  <c r="Q52" i="1"/>
  <c r="Q51" s="1"/>
  <c r="T1219" i="5"/>
  <c r="T1218" s="1"/>
  <c r="T1217" s="1"/>
  <c r="T900"/>
  <c r="Q66" i="1"/>
  <c r="Q65" s="1"/>
  <c r="T1131" i="5"/>
  <c r="T1126" s="1"/>
  <c r="U1077"/>
  <c r="T1150"/>
  <c r="T1149" s="1"/>
  <c r="T1144" s="1"/>
  <c r="T1143" s="1"/>
  <c r="S1236" i="6"/>
  <c r="S1235" s="1"/>
  <c r="S1229" s="1"/>
  <c r="S1228" s="1"/>
  <c r="S1227" s="1"/>
  <c r="S1381"/>
  <c r="S1380" s="1"/>
  <c r="S1374" s="1"/>
  <c r="S1373" s="1"/>
  <c r="S1372" s="1"/>
  <c r="S1365" s="1"/>
  <c r="S103"/>
  <c r="S1455"/>
  <c r="S1454" s="1"/>
  <c r="S1448" s="1"/>
  <c r="S1447" s="1"/>
  <c r="S1446" s="1"/>
  <c r="S1029"/>
  <c r="S1028" s="1"/>
  <c r="S1025" s="1"/>
  <c r="S1024" s="1"/>
  <c r="S1023" s="1"/>
  <c r="S1078"/>
  <c r="S1077" s="1"/>
  <c r="S1760"/>
  <c r="S1759" s="1"/>
  <c r="S125"/>
  <c r="S124" s="1"/>
  <c r="S920"/>
  <c r="S919" s="1"/>
  <c r="S918" s="1"/>
  <c r="S79"/>
  <c r="S78" s="1"/>
  <c r="S77" s="1"/>
  <c r="S76" s="1"/>
  <c r="S201"/>
  <c r="S197" s="1"/>
  <c r="S196" s="1"/>
  <c r="S195" s="1"/>
  <c r="S293"/>
  <c r="S292" s="1"/>
  <c r="S291" s="1"/>
  <c r="S290" s="1"/>
  <c r="S289" s="1"/>
  <c r="S528"/>
  <c r="S527" s="1"/>
  <c r="S521" s="1"/>
  <c r="S520" s="1"/>
  <c r="S519" s="1"/>
  <c r="S925"/>
  <c r="S924" s="1"/>
  <c r="S923" s="1"/>
  <c r="S1729"/>
  <c r="S1726" s="1"/>
  <c r="S1720" s="1"/>
  <c r="S1719" s="1"/>
  <c r="S1718" s="1"/>
  <c r="S1582"/>
  <c r="S1581" s="1"/>
  <c r="S100"/>
  <c r="S503"/>
  <c r="S502" s="1"/>
  <c r="S501" s="1"/>
  <c r="S689"/>
  <c r="S738"/>
  <c r="S737" s="1"/>
  <c r="S736" s="1"/>
  <c r="S735" s="1"/>
  <c r="S734" s="1"/>
  <c r="S727" s="1"/>
  <c r="S853"/>
  <c r="S852" s="1"/>
  <c r="S912"/>
  <c r="S908" s="1"/>
  <c r="S907" s="1"/>
  <c r="S1407"/>
  <c r="S1406" s="1"/>
  <c r="S1405" s="1"/>
  <c r="S1404" s="1"/>
  <c r="S1403" s="1"/>
  <c r="S301"/>
  <c r="S409"/>
  <c r="S928"/>
  <c r="S988"/>
  <c r="S35"/>
  <c r="S32" s="1"/>
  <c r="S31" s="1"/>
  <c r="S26" s="1"/>
  <c r="S25" s="1"/>
  <c r="S223"/>
  <c r="S222" s="1"/>
  <c r="S221" s="1"/>
  <c r="S220" s="1"/>
  <c r="S1767"/>
  <c r="S1766" s="1"/>
  <c r="S239"/>
  <c r="S238" s="1"/>
  <c r="S237" s="1"/>
  <c r="S1288"/>
  <c r="S1287" s="1"/>
  <c r="S1286" s="1"/>
  <c r="S546"/>
  <c r="S539" s="1"/>
  <c r="S870"/>
  <c r="S1295"/>
  <c r="S1294" s="1"/>
  <c r="S1293" s="1"/>
  <c r="S1562"/>
  <c r="S1561" s="1"/>
  <c r="S1589"/>
  <c r="S1588" s="1"/>
  <c r="S1734"/>
  <c r="S1733" s="1"/>
  <c r="S1732" s="1"/>
  <c r="T1505" i="5"/>
  <c r="Q31" i="1" s="1"/>
  <c r="S93" i="6"/>
  <c r="S92" s="1"/>
  <c r="S91" s="1"/>
  <c r="S90" s="1"/>
  <c r="S115"/>
  <c r="S114" s="1"/>
  <c r="S191"/>
  <c r="S190" s="1"/>
  <c r="S189" s="1"/>
  <c r="S188" s="1"/>
  <c r="S187" s="1"/>
  <c r="S839"/>
  <c r="S838" s="1"/>
  <c r="S837" s="1"/>
  <c r="S836" s="1"/>
  <c r="S835" s="1"/>
  <c r="S834" s="1"/>
  <c r="S833" s="1"/>
  <c r="S864"/>
  <c r="S863" s="1"/>
  <c r="S862" s="1"/>
  <c r="S1321"/>
  <c r="S1320" s="1"/>
  <c r="S1319" s="1"/>
  <c r="S1318" s="1"/>
  <c r="S1361"/>
  <c r="S1360" s="1"/>
  <c r="S1351" s="1"/>
  <c r="S1350" s="1"/>
  <c r="S1349" s="1"/>
  <c r="S1529"/>
  <c r="S1528" s="1"/>
  <c r="S1522" s="1"/>
  <c r="S1558"/>
  <c r="S1557" s="1"/>
  <c r="S1551" s="1"/>
  <c r="S1550" s="1"/>
  <c r="S478"/>
  <c r="S477" s="1"/>
  <c r="S476" s="1"/>
  <c r="S475" s="1"/>
  <c r="T771" i="5"/>
  <c r="T767" s="1"/>
  <c r="T1453"/>
  <c r="S495" i="6"/>
  <c r="S491" s="1"/>
  <c r="S490" s="1"/>
  <c r="S489" s="1"/>
  <c r="S575"/>
  <c r="S607"/>
  <c r="S744"/>
  <c r="S743" s="1"/>
  <c r="S742" s="1"/>
  <c r="S741" s="1"/>
  <c r="S1532"/>
  <c r="S1599"/>
  <c r="S1598" s="1"/>
  <c r="S1622"/>
  <c r="S470"/>
  <c r="S469" s="1"/>
  <c r="S468" s="1"/>
  <c r="S467" s="1"/>
  <c r="S654"/>
  <c r="S650" s="1"/>
  <c r="S649" s="1"/>
  <c r="S643" s="1"/>
  <c r="T732" i="5"/>
  <c r="T731" s="1"/>
  <c r="T730" s="1"/>
  <c r="T1034"/>
  <c r="T1033" s="1"/>
  <c r="T1032" s="1"/>
  <c r="T1471"/>
  <c r="S64" i="6"/>
  <c r="S63" s="1"/>
  <c r="S62" s="1"/>
  <c r="S61" s="1"/>
  <c r="S152"/>
  <c r="S151" s="1"/>
  <c r="S150" s="1"/>
  <c r="S1017"/>
  <c r="S1016" s="1"/>
  <c r="S1015" s="1"/>
  <c r="S1058"/>
  <c r="S1104"/>
  <c r="S1103" s="1"/>
  <c r="S1102" s="1"/>
  <c r="S1270"/>
  <c r="S1266" s="1"/>
  <c r="S1265" s="1"/>
  <c r="S1259" s="1"/>
  <c r="S1541"/>
  <c r="S962"/>
  <c r="S961"/>
  <c r="S954" s="1"/>
  <c r="S947" s="1"/>
  <c r="S47"/>
  <c r="S46" s="1"/>
  <c r="S45" s="1"/>
  <c r="S44" s="1"/>
  <c r="S716"/>
  <c r="S56"/>
  <c r="S55" s="1"/>
  <c r="S54" s="1"/>
  <c r="S53" s="1"/>
  <c r="S209"/>
  <c r="S208" s="1"/>
  <c r="S398"/>
  <c r="S397" s="1"/>
  <c r="S396" s="1"/>
  <c r="S395" s="1"/>
  <c r="S533"/>
  <c r="S532" s="1"/>
  <c r="S531" s="1"/>
  <c r="S633"/>
  <c r="S629" s="1"/>
  <c r="S628" s="1"/>
  <c r="S627" s="1"/>
  <c r="S675"/>
  <c r="S669" s="1"/>
  <c r="S1000"/>
  <c r="S161"/>
  <c r="S351"/>
  <c r="S344" s="1"/>
  <c r="S390"/>
  <c r="S389" s="1"/>
  <c r="S388" s="1"/>
  <c r="S387" s="1"/>
  <c r="S435"/>
  <c r="S591"/>
  <c r="S130"/>
  <c r="S700"/>
  <c r="S1384"/>
  <c r="S1423"/>
  <c r="S1572"/>
  <c r="S1571" s="1"/>
  <c r="S1702"/>
  <c r="S1742"/>
  <c r="S1741" s="1"/>
  <c r="S1740" s="1"/>
  <c r="S510"/>
  <c r="S509" s="1"/>
  <c r="S508" s="1"/>
  <c r="S1479"/>
  <c r="S1478" s="1"/>
  <c r="S1472" s="1"/>
  <c r="S1465" s="1"/>
  <c r="S1464" s="1"/>
  <c r="S1606"/>
  <c r="S1605" s="1"/>
  <c r="S1666"/>
  <c r="S1665" s="1"/>
  <c r="S1664" s="1"/>
  <c r="S1661" s="1"/>
  <c r="S1680"/>
  <c r="S1679" s="1"/>
  <c r="S1678" s="1"/>
  <c r="S1693"/>
  <c r="S1712"/>
  <c r="S1711" s="1"/>
  <c r="S1710" s="1"/>
  <c r="S1035"/>
  <c r="S1213"/>
  <c r="S1197" s="1"/>
  <c r="S1775"/>
  <c r="S1774" s="1"/>
  <c r="S1773" s="1"/>
  <c r="T865" i="5"/>
  <c r="T864" s="1"/>
  <c r="T863" s="1"/>
  <c r="T862" s="1"/>
  <c r="T861" s="1"/>
  <c r="T860" s="1"/>
  <c r="T43"/>
  <c r="T502"/>
  <c r="T501" s="1"/>
  <c r="T500" s="1"/>
  <c r="T499" s="1"/>
  <c r="Q38" i="1" s="1"/>
  <c r="T630" i="5"/>
  <c r="T629" s="1"/>
  <c r="T692"/>
  <c r="T691" s="1"/>
  <c r="T657"/>
  <c r="T84"/>
  <c r="T177"/>
  <c r="T288"/>
  <c r="T314"/>
  <c r="T678"/>
  <c r="T677" s="1"/>
  <c r="T725"/>
  <c r="T724" s="1"/>
  <c r="T1212"/>
  <c r="T1211" s="1"/>
  <c r="T1210" s="1"/>
  <c r="T1303"/>
  <c r="T1298" s="1"/>
  <c r="T1297" s="1"/>
  <c r="T1296" s="1"/>
  <c r="T1704"/>
  <c r="T1703" s="1"/>
  <c r="T1702" s="1"/>
  <c r="T1701" s="1"/>
  <c r="T1700" s="1"/>
  <c r="T1699" s="1"/>
  <c r="T1698" s="1"/>
  <c r="T1718"/>
  <c r="T1717" s="1"/>
  <c r="T1716" s="1"/>
  <c r="T1715" s="1"/>
  <c r="Q41" i="1" s="1"/>
  <c r="T575" i="5"/>
  <c r="T574" s="1"/>
  <c r="T268"/>
  <c r="T267" s="1"/>
  <c r="T398"/>
  <c r="T590"/>
  <c r="T589" s="1"/>
  <c r="T621"/>
  <c r="T620" s="1"/>
  <c r="T619" s="1"/>
  <c r="T618" s="1"/>
  <c r="T1103"/>
  <c r="T1102" s="1"/>
  <c r="T1097" s="1"/>
  <c r="U1466"/>
  <c r="T757"/>
  <c r="T1685"/>
  <c r="T1684" s="1"/>
  <c r="T1642"/>
  <c r="T1465"/>
  <c r="T1459" s="1"/>
  <c r="T1422"/>
  <c r="T1238"/>
  <c r="T1237" s="1"/>
  <c r="T1199"/>
  <c r="T1198" s="1"/>
  <c r="T1197" s="1"/>
  <c r="T1196" s="1"/>
  <c r="T1019"/>
  <c r="T998"/>
  <c r="T812"/>
  <c r="T800" s="1"/>
  <c r="T799" s="1"/>
  <c r="T752"/>
  <c r="T748" s="1"/>
  <c r="T644"/>
  <c r="T643" s="1"/>
  <c r="T602"/>
  <c r="T601" s="1"/>
  <c r="T596"/>
  <c r="T595" s="1"/>
  <c r="T431"/>
  <c r="T346"/>
  <c r="T341" s="1"/>
  <c r="T340" s="1"/>
  <c r="T100"/>
  <c r="T96" s="1"/>
  <c r="T95" s="1"/>
  <c r="T74"/>
  <c r="T56"/>
  <c r="T246"/>
  <c r="T516"/>
  <c r="T515" s="1"/>
  <c r="T514" s="1"/>
  <c r="T513" s="1"/>
  <c r="Q39" i="1" s="1"/>
  <c r="T1181" i="5"/>
  <c r="T1180" s="1"/>
  <c r="T1179" s="1"/>
  <c r="T1178" s="1"/>
  <c r="T141"/>
  <c r="T397"/>
  <c r="T396" s="1"/>
  <c r="T395" s="1"/>
  <c r="T394" s="1"/>
  <c r="T442"/>
  <c r="T441" s="1"/>
  <c r="T440" s="1"/>
  <c r="T517"/>
  <c r="T607"/>
  <c r="T820"/>
  <c r="T819" s="1"/>
  <c r="T947"/>
  <c r="T941" s="1"/>
  <c r="T981"/>
  <c r="T1079"/>
  <c r="T1447"/>
  <c r="T1446" s="1"/>
  <c r="T1477"/>
  <c r="T1518"/>
  <c r="T1517" s="1"/>
  <c r="T1516" s="1"/>
  <c r="T1583"/>
  <c r="T1582" s="1"/>
  <c r="T1581" s="1"/>
  <c r="T1580" s="1"/>
  <c r="T1633"/>
  <c r="T1628" s="1"/>
  <c r="T1627" s="1"/>
  <c r="T34"/>
  <c r="T33" s="1"/>
  <c r="T166"/>
  <c r="T165" s="1"/>
  <c r="T164" s="1"/>
  <c r="T209"/>
  <c r="T256"/>
  <c r="T305"/>
  <c r="T378"/>
  <c r="T377" s="1"/>
  <c r="T370" s="1"/>
  <c r="T461"/>
  <c r="T486"/>
  <c r="T485" s="1"/>
  <c r="T478" s="1"/>
  <c r="Q36" i="1" s="1"/>
  <c r="T550" i="5"/>
  <c r="T562"/>
  <c r="T561" s="1"/>
  <c r="T560" s="1"/>
  <c r="T559" s="1"/>
  <c r="T666"/>
  <c r="T782"/>
  <c r="T781" s="1"/>
  <c r="T780" s="1"/>
  <c r="T921"/>
  <c r="T920" s="1"/>
  <c r="T919" s="1"/>
  <c r="T957"/>
  <c r="T956" s="1"/>
  <c r="T970"/>
  <c r="T1066"/>
  <c r="T1088"/>
  <c r="T1247"/>
  <c r="T1243" s="1"/>
  <c r="T1319"/>
  <c r="T1375"/>
  <c r="T1486"/>
  <c r="T1485" s="1"/>
  <c r="T1566"/>
  <c r="T1557" s="1"/>
  <c r="T1671"/>
  <c r="T224"/>
  <c r="T223" s="1"/>
  <c r="T222" s="1"/>
  <c r="T1262"/>
  <c r="Q61" i="1" s="1"/>
  <c r="T1282" i="5"/>
  <c r="T1281" s="1"/>
  <c r="T1280" s="1"/>
  <c r="T1279" s="1"/>
  <c r="T1273" s="1"/>
  <c r="T1733"/>
  <c r="T1732" s="1"/>
  <c r="T1731" s="1"/>
  <c r="T193"/>
  <c r="S1337" i="6" s="1"/>
  <c r="S1336" s="1"/>
  <c r="S1335" s="1"/>
  <c r="S1329" s="1"/>
  <c r="S1328" s="1"/>
  <c r="S1327" s="1"/>
  <c r="T278" i="5"/>
  <c r="T116"/>
  <c r="T115" s="1"/>
  <c r="S606"/>
  <c r="U606" s="1"/>
  <c r="Q119" i="6"/>
  <c r="R119" s="1"/>
  <c r="T119" s="1"/>
  <c r="R602" i="5"/>
  <c r="R1076"/>
  <c r="Q292" i="6"/>
  <c r="Q1727"/>
  <c r="R1727" s="1"/>
  <c r="T1727" s="1"/>
  <c r="Q1764"/>
  <c r="R58" i="5"/>
  <c r="R60"/>
  <c r="S60" s="1"/>
  <c r="U60" s="1"/>
  <c r="S61"/>
  <c r="U61" s="1"/>
  <c r="A59"/>
  <c r="A60"/>
  <c r="A61"/>
  <c r="T1546" l="1"/>
  <c r="T1504" s="1"/>
  <c r="T1445"/>
  <c r="T1444" s="1"/>
  <c r="T277"/>
  <c r="T969"/>
  <c r="T1730"/>
  <c r="T1724" s="1"/>
  <c r="T628"/>
  <c r="T627" s="1"/>
  <c r="T1318"/>
  <c r="Q55" i="1" s="1"/>
  <c r="T131" i="5"/>
  <c r="T114" s="1"/>
  <c r="S1660" i="6"/>
  <c r="T1661"/>
  <c r="Q62" i="1"/>
  <c r="S254" i="6"/>
  <c r="S253" s="1"/>
  <c r="S848"/>
  <c r="S847" s="1"/>
  <c r="S846" s="1"/>
  <c r="S939"/>
  <c r="S938" s="1"/>
  <c r="S937" s="1"/>
  <c r="U1432" i="5"/>
  <c r="T1431"/>
  <c r="T1421" s="1"/>
  <c r="S207" i="6"/>
  <c r="S206" s="1"/>
  <c r="U1400" i="5"/>
  <c r="T1399"/>
  <c r="T1337" s="1"/>
  <c r="T1329" s="1"/>
  <c r="Q56" i="1" s="1"/>
  <c r="S1101" i="6"/>
  <c r="T708" i="5"/>
  <c r="T707" s="1"/>
  <c r="T1641"/>
  <c r="T1640" s="1"/>
  <c r="T1620" s="1"/>
  <c r="S1412" i="6"/>
  <c r="T1413"/>
  <c r="T1232" i="5"/>
  <c r="T1231" s="1"/>
  <c r="Q60" i="1" s="1"/>
  <c r="T369" i="5"/>
  <c r="Q64" i="1"/>
  <c r="Q63" s="1"/>
  <c r="Q35"/>
  <c r="T859" i="5"/>
  <c r="T430"/>
  <c r="Q32" i="1" s="1"/>
  <c r="T588" i="5"/>
  <c r="T587" s="1"/>
  <c r="T586" s="1"/>
  <c r="Q44" i="1" s="1"/>
  <c r="T1595" i="5"/>
  <c r="T393"/>
  <c r="T392" s="1"/>
  <c r="Q21" i="1"/>
  <c r="S1014" i="6"/>
  <c r="S1013" s="1"/>
  <c r="T333" i="5"/>
  <c r="T573"/>
  <c r="Q30" i="1"/>
  <c r="Q24"/>
  <c r="S258" i="6"/>
  <c r="T1484" i="5"/>
  <c r="S380" i="6"/>
  <c r="S99"/>
  <c r="S98" s="1"/>
  <c r="S97" s="1"/>
  <c r="S96" s="1"/>
  <c r="S113"/>
  <c r="S112" s="1"/>
  <c r="T293"/>
  <c r="S1521"/>
  <c r="S1520" s="1"/>
  <c r="S1514" s="1"/>
  <c r="S917"/>
  <c r="S906" s="1"/>
  <c r="S500"/>
  <c r="S460" s="1"/>
  <c r="S1285"/>
  <c r="S1258" s="1"/>
  <c r="S1758"/>
  <c r="S518"/>
  <c r="S52"/>
  <c r="S1672"/>
  <c r="S149"/>
  <c r="S1416"/>
  <c r="S1326"/>
  <c r="S626"/>
  <c r="T1209" i="5"/>
  <c r="T1195" s="1"/>
  <c r="T304"/>
  <c r="T32"/>
  <c r="T31" s="1"/>
  <c r="T30" s="1"/>
  <c r="Q22" i="1" s="1"/>
  <c r="T1060" i="5"/>
  <c r="T940"/>
  <c r="T918" s="1"/>
  <c r="T73"/>
  <c r="T968"/>
  <c r="T192"/>
  <c r="T186" s="1"/>
  <c r="T176" s="1"/>
  <c r="T477"/>
  <c r="T818"/>
  <c r="T549"/>
  <c r="T548" s="1"/>
  <c r="T547" s="1"/>
  <c r="T245"/>
  <c r="S1076"/>
  <c r="U1076" s="1"/>
  <c r="R1075"/>
  <c r="S1075" s="1"/>
  <c r="U1075" s="1"/>
  <c r="Q291" i="6"/>
  <c r="R292"/>
  <c r="T292" s="1"/>
  <c r="R59" i="5"/>
  <c r="S59" s="1"/>
  <c r="U59" s="1"/>
  <c r="Q1763" i="6"/>
  <c r="R1763" s="1"/>
  <c r="T1763" s="1"/>
  <c r="R1764"/>
  <c r="T1764" s="1"/>
  <c r="Q408"/>
  <c r="R408" s="1"/>
  <c r="T408" s="1"/>
  <c r="A408"/>
  <c r="A406"/>
  <c r="A403"/>
  <c r="A404"/>
  <c r="A407"/>
  <c r="T1714" i="5" l="1"/>
  <c r="T1713" s="1"/>
  <c r="Q42" i="1"/>
  <c r="Q40" s="1"/>
  <c r="T72" i="5"/>
  <c r="Q26" i="1" s="1"/>
  <c r="T254" i="6"/>
  <c r="T626" i="5"/>
  <c r="T585" s="1"/>
  <c r="T572" s="1"/>
  <c r="T967"/>
  <c r="Q49" i="1" s="1"/>
  <c r="Q59"/>
  <c r="S1659" i="6"/>
  <c r="T1659" s="1"/>
  <c r="T1660"/>
  <c r="S759"/>
  <c r="T1407" i="5"/>
  <c r="Q58" i="1" s="1"/>
  <c r="Q53" s="1"/>
  <c r="T423" i="5"/>
  <c r="T414" s="1"/>
  <c r="T1059"/>
  <c r="Q50" i="1" s="1"/>
  <c r="T1230" i="5"/>
  <c r="T1194" s="1"/>
  <c r="T1412" i="6"/>
  <c r="S1411"/>
  <c r="T22" i="5"/>
  <c r="Q19" i="1"/>
  <c r="T233" i="5"/>
  <c r="Q33" i="1"/>
  <c r="S252" i="6"/>
  <c r="T253"/>
  <c r="Q47" i="1"/>
  <c r="Q34"/>
  <c r="T175" i="5"/>
  <c r="Q28" i="1"/>
  <c r="Q27" s="1"/>
  <c r="T303" i="5"/>
  <c r="Q46" i="1"/>
  <c r="S75" i="6"/>
  <c r="S18" s="1"/>
  <c r="S1257"/>
  <c r="T1483" i="5"/>
  <c r="R291" i="6"/>
  <c r="T291" s="1"/>
  <c r="Q290"/>
  <c r="Q407"/>
  <c r="Q406" s="1"/>
  <c r="Q405" s="1"/>
  <c r="Q379"/>
  <c r="Q378" s="1"/>
  <c r="Q377" s="1"/>
  <c r="A379"/>
  <c r="A377"/>
  <c r="A375"/>
  <c r="A378"/>
  <c r="A374"/>
  <c r="Q48" i="1" l="1"/>
  <c r="Q45"/>
  <c r="Q43" s="1"/>
  <c r="T1317" i="5"/>
  <c r="T1288" s="1"/>
  <c r="S1513" i="6"/>
  <c r="S1512" s="1"/>
  <c r="T966" i="5"/>
  <c r="T908" s="1"/>
  <c r="T21"/>
  <c r="T1411" i="6"/>
  <c r="S1410"/>
  <c r="Q29" i="1"/>
  <c r="T252" i="6"/>
  <c r="S236"/>
  <c r="S235" s="1"/>
  <c r="Q289"/>
  <c r="R289" s="1"/>
  <c r="T289" s="1"/>
  <c r="R290"/>
  <c r="T290" s="1"/>
  <c r="R406"/>
  <c r="T406" s="1"/>
  <c r="R407"/>
  <c r="T407" s="1"/>
  <c r="Q404"/>
  <c r="R405"/>
  <c r="T405" s="1"/>
  <c r="R379"/>
  <c r="T379" s="1"/>
  <c r="R377"/>
  <c r="T377" s="1"/>
  <c r="Q376"/>
  <c r="R378"/>
  <c r="T378" s="1"/>
  <c r="Q343"/>
  <c r="R343" s="1"/>
  <c r="T343" s="1"/>
  <c r="A341"/>
  <c r="A339"/>
  <c r="A343"/>
  <c r="A342"/>
  <c r="A338"/>
  <c r="T1742" i="5" l="1"/>
  <c r="T1410" i="6"/>
  <c r="S1396"/>
  <c r="S1364" s="1"/>
  <c r="S1812" s="1"/>
  <c r="Q67" i="1"/>
  <c r="R404" i="6"/>
  <c r="T404" s="1"/>
  <c r="Q403"/>
  <c r="R403" s="1"/>
  <c r="T403" s="1"/>
  <c r="R376"/>
  <c r="T376" s="1"/>
  <c r="Q375"/>
  <c r="Q342"/>
  <c r="Q341" s="1"/>
  <c r="Q340" s="1"/>
  <c r="Q299"/>
  <c r="Q298" s="1"/>
  <c r="R300"/>
  <c r="T300" s="1"/>
  <c r="A298"/>
  <c r="A295"/>
  <c r="A299"/>
  <c r="A300"/>
  <c r="A296"/>
  <c r="Q69" i="1" l="1"/>
  <c r="R342" i="6"/>
  <c r="T342" s="1"/>
  <c r="Q374"/>
  <c r="R374" s="1"/>
  <c r="T374" s="1"/>
  <c r="R375"/>
  <c r="T375" s="1"/>
  <c r="R341"/>
  <c r="T341" s="1"/>
  <c r="Q339"/>
  <c r="R340"/>
  <c r="T340" s="1"/>
  <c r="R298"/>
  <c r="T298" s="1"/>
  <c r="Q297"/>
  <c r="R299"/>
  <c r="T299" s="1"/>
  <c r="R339" l="1"/>
  <c r="T339" s="1"/>
  <c r="Q338"/>
  <c r="R338" s="1"/>
  <c r="T338" s="1"/>
  <c r="Q296"/>
  <c r="R297"/>
  <c r="T297" s="1"/>
  <c r="R1041" i="5"/>
  <c r="R1040" s="1"/>
  <c r="S1042"/>
  <c r="U1042" s="1"/>
  <c r="A1041"/>
  <c r="A1042"/>
  <c r="A1040"/>
  <c r="A1039"/>
  <c r="R1039" l="1"/>
  <c r="S1039" s="1"/>
  <c r="U1039" s="1"/>
  <c r="S1040"/>
  <c r="U1040" s="1"/>
  <c r="S1041"/>
  <c r="U1041" s="1"/>
  <c r="R296" i="6"/>
  <c r="T296" s="1"/>
  <c r="Q295"/>
  <c r="R295" s="1"/>
  <c r="T295" s="1"/>
  <c r="R1030" i="5"/>
  <c r="S1030" s="1"/>
  <c r="U1030" s="1"/>
  <c r="S1031"/>
  <c r="U1031" s="1"/>
  <c r="A1031"/>
  <c r="A1029"/>
  <c r="A1030"/>
  <c r="A1028"/>
  <c r="R1029" l="1"/>
  <c r="R1028" s="1"/>
  <c r="S1028" s="1"/>
  <c r="U1028" s="1"/>
  <c r="R1017"/>
  <c r="R1016" s="1"/>
  <c r="S1018"/>
  <c r="U1018" s="1"/>
  <c r="A1015"/>
  <c r="A1016"/>
  <c r="A1018"/>
  <c r="A1017"/>
  <c r="S1029" l="1"/>
  <c r="U1029" s="1"/>
  <c r="S1017"/>
  <c r="U1017" s="1"/>
  <c r="S1016"/>
  <c r="U1016" s="1"/>
  <c r="R1015"/>
  <c r="S1015" s="1"/>
  <c r="U1015" s="1"/>
  <c r="R996"/>
  <c r="S996" s="1"/>
  <c r="U996" s="1"/>
  <c r="S997"/>
  <c r="U997" s="1"/>
  <c r="A995"/>
  <c r="A994"/>
  <c r="A997"/>
  <c r="A996"/>
  <c r="R995" l="1"/>
  <c r="S995" s="1"/>
  <c r="U995" s="1"/>
  <c r="R994" l="1"/>
  <c r="S994" s="1"/>
  <c r="U994" s="1"/>
  <c r="R345"/>
  <c r="R1405"/>
  <c r="R729"/>
  <c r="Q117" i="6"/>
  <c r="A117"/>
  <c r="R117" l="1"/>
  <c r="T117" s="1"/>
  <c r="Q116"/>
  <c r="S604" i="5"/>
  <c r="U604" s="1"/>
  <c r="R1571"/>
  <c r="R1575"/>
  <c r="R1568"/>
  <c r="R1391"/>
  <c r="H635" i="6"/>
  <c r="H634"/>
  <c r="A604" i="5"/>
  <c r="Q453" i="6" l="1"/>
  <c r="R954" i="5"/>
  <c r="S954" s="1"/>
  <c r="U954" s="1"/>
  <c r="S955"/>
  <c r="U955" s="1"/>
  <c r="R39"/>
  <c r="A954"/>
  <c r="A955"/>
  <c r="A953"/>
  <c r="A952"/>
  <c r="R953" l="1"/>
  <c r="R217"/>
  <c r="R363"/>
  <c r="R1654"/>
  <c r="R1683"/>
  <c r="R883"/>
  <c r="R149"/>
  <c r="R1658"/>
  <c r="R505"/>
  <c r="R448"/>
  <c r="Q441" i="6"/>
  <c r="R950" i="5"/>
  <c r="R949" s="1"/>
  <c r="S951"/>
  <c r="U951" s="1"/>
  <c r="A951"/>
  <c r="A949"/>
  <c r="A948"/>
  <c r="A947"/>
  <c r="A950"/>
  <c r="S949" l="1"/>
  <c r="U949" s="1"/>
  <c r="R948"/>
  <c r="R952"/>
  <c r="S952" s="1"/>
  <c r="U952" s="1"/>
  <c r="S953"/>
  <c r="U953" s="1"/>
  <c r="S950"/>
  <c r="U950" s="1"/>
  <c r="Q655"/>
  <c r="S655" s="1"/>
  <c r="U655" s="1"/>
  <c r="Q656"/>
  <c r="S656" s="1"/>
  <c r="U656" s="1"/>
  <c r="R1427"/>
  <c r="R1424"/>
  <c r="R383"/>
  <c r="R266"/>
  <c r="Q845" i="6"/>
  <c r="R845" s="1"/>
  <c r="T845" s="1"/>
  <c r="O839"/>
  <c r="O838" s="1"/>
  <c r="O837" s="1"/>
  <c r="O836" s="1"/>
  <c r="O835" s="1"/>
  <c r="M839"/>
  <c r="N839" s="1"/>
  <c r="A845"/>
  <c r="A656" i="5"/>
  <c r="A844" i="6"/>
  <c r="A838"/>
  <c r="A962"/>
  <c r="A840"/>
  <c r="A843"/>
  <c r="A655" i="5"/>
  <c r="A839" i="6"/>
  <c r="A835"/>
  <c r="A837"/>
  <c r="A841"/>
  <c r="S948" i="5" l="1"/>
  <c r="U948" s="1"/>
  <c r="R947"/>
  <c r="S947" s="1"/>
  <c r="U947" s="1"/>
  <c r="M838" i="6"/>
  <c r="N838" s="1"/>
  <c r="P838" s="1"/>
  <c r="Q844"/>
  <c r="P839"/>
  <c r="O834"/>
  <c r="O833" s="1"/>
  <c r="R1378" i="5"/>
  <c r="R1377" s="1"/>
  <c r="S1383"/>
  <c r="U1383" s="1"/>
  <c r="S1379"/>
  <c r="U1379" s="1"/>
  <c r="R1382"/>
  <c r="S1382" s="1"/>
  <c r="U1382" s="1"/>
  <c r="A1375"/>
  <c r="A1383"/>
  <c r="A1377"/>
  <c r="A1379"/>
  <c r="A833" i="6"/>
  <c r="A1380" i="5"/>
  <c r="A834" i="6"/>
  <c r="A1378" i="5"/>
  <c r="A1376"/>
  <c r="A1382"/>
  <c r="A1381"/>
  <c r="M837" i="6" l="1"/>
  <c r="M836" s="1"/>
  <c r="S1378" i="5"/>
  <c r="U1378" s="1"/>
  <c r="R1376"/>
  <c r="S1377"/>
  <c r="U1377" s="1"/>
  <c r="R844" i="6"/>
  <c r="T844" s="1"/>
  <c r="Q843"/>
  <c r="R1381" i="5"/>
  <c r="Q777" i="6"/>
  <c r="R777" s="1"/>
  <c r="T777" s="1"/>
  <c r="A776"/>
  <c r="A773"/>
  <c r="A777"/>
  <c r="A775"/>
  <c r="A772"/>
  <c r="N837" l="1"/>
  <c r="P837" s="1"/>
  <c r="N836"/>
  <c r="P836" s="1"/>
  <c r="M835"/>
  <c r="Q839"/>
  <c r="R1380" i="5"/>
  <c r="S1380" s="1"/>
  <c r="U1380" s="1"/>
  <c r="S1381"/>
  <c r="U1381" s="1"/>
  <c r="S1376"/>
  <c r="U1376" s="1"/>
  <c r="Q842" i="6"/>
  <c r="R843"/>
  <c r="T843" s="1"/>
  <c r="Q776"/>
  <c r="R434" i="5"/>
  <c r="R433" s="1"/>
  <c r="S435"/>
  <c r="U435" s="1"/>
  <c r="A434"/>
  <c r="A433"/>
  <c r="A435"/>
  <c r="A432"/>
  <c r="A431"/>
  <c r="R1375" l="1"/>
  <c r="S1375" s="1"/>
  <c r="U1375" s="1"/>
  <c r="N835" i="6"/>
  <c r="P835" s="1"/>
  <c r="M834"/>
  <c r="Q841"/>
  <c r="R842"/>
  <c r="T842" s="1"/>
  <c r="Q838"/>
  <c r="R839"/>
  <c r="T839" s="1"/>
  <c r="S433" i="5"/>
  <c r="U433" s="1"/>
  <c r="R432"/>
  <c r="S434"/>
  <c r="U434" s="1"/>
  <c r="R776" i="6"/>
  <c r="T776" s="1"/>
  <c r="Q775"/>
  <c r="Q1076"/>
  <c r="R1076" s="1"/>
  <c r="T1076" s="1"/>
  <c r="A1076"/>
  <c r="A1074"/>
  <c r="A1075"/>
  <c r="A1072"/>
  <c r="A930" i="5"/>
  <c r="A1071" i="6"/>
  <c r="N834" l="1"/>
  <c r="P834" s="1"/>
  <c r="M833"/>
  <c r="N833" s="1"/>
  <c r="P833" s="1"/>
  <c r="Q837"/>
  <c r="R838"/>
  <c r="T838" s="1"/>
  <c r="Q840"/>
  <c r="R840" s="1"/>
  <c r="T840" s="1"/>
  <c r="R841"/>
  <c r="T841" s="1"/>
  <c r="S432" i="5"/>
  <c r="U432" s="1"/>
  <c r="Q774" i="6"/>
  <c r="R775"/>
  <c r="T775" s="1"/>
  <c r="Q1075"/>
  <c r="R497" i="5"/>
  <c r="R496" s="1"/>
  <c r="S498"/>
  <c r="U498" s="1"/>
  <c r="A498"/>
  <c r="A495"/>
  <c r="A496"/>
  <c r="A497"/>
  <c r="Q836" i="6" l="1"/>
  <c r="R837"/>
  <c r="T837" s="1"/>
  <c r="S497" i="5"/>
  <c r="U497" s="1"/>
  <c r="Q773" i="6"/>
  <c r="R774"/>
  <c r="T774" s="1"/>
  <c r="S496" i="5"/>
  <c r="U496" s="1"/>
  <c r="R495"/>
  <c r="S495" s="1"/>
  <c r="U495" s="1"/>
  <c r="R1075" i="6"/>
  <c r="T1075" s="1"/>
  <c r="Q1074"/>
  <c r="Q835" l="1"/>
  <c r="R836"/>
  <c r="T836" s="1"/>
  <c r="Q772"/>
  <c r="R772" s="1"/>
  <c r="T772" s="1"/>
  <c r="R773"/>
  <c r="T773" s="1"/>
  <c r="R1074"/>
  <c r="T1074" s="1"/>
  <c r="Q1073"/>
  <c r="Q440"/>
  <c r="A440"/>
  <c r="A441"/>
  <c r="A439"/>
  <c r="A437"/>
  <c r="A436"/>
  <c r="Q834" l="1"/>
  <c r="R835"/>
  <c r="T835" s="1"/>
  <c r="Q1072"/>
  <c r="R1073"/>
  <c r="T1073" s="1"/>
  <c r="Q439"/>
  <c r="R440"/>
  <c r="T440" s="1"/>
  <c r="R441"/>
  <c r="T441" s="1"/>
  <c r="R924" i="5"/>
  <c r="R923" s="1"/>
  <c r="S923" s="1"/>
  <c r="U923" s="1"/>
  <c r="S925"/>
  <c r="U925" s="1"/>
  <c r="A924"/>
  <c r="A925"/>
  <c r="A923"/>
  <c r="A922"/>
  <c r="S924" l="1"/>
  <c r="U924" s="1"/>
  <c r="Q833" i="6"/>
  <c r="R833" s="1"/>
  <c r="T833" s="1"/>
  <c r="R834"/>
  <c r="T834" s="1"/>
  <c r="R1072"/>
  <c r="T1072" s="1"/>
  <c r="Q1071"/>
  <c r="R1071" s="1"/>
  <c r="T1071" s="1"/>
  <c r="R922" i="5"/>
  <c r="S922" s="1"/>
  <c r="U922" s="1"/>
  <c r="R439" i="6"/>
  <c r="T439" s="1"/>
  <c r="Q438"/>
  <c r="R929" i="5"/>
  <c r="R438" i="6" l="1"/>
  <c r="T438" s="1"/>
  <c r="Q437"/>
  <c r="R437" l="1"/>
  <c r="T437" s="1"/>
  <c r="Q436"/>
  <c r="R436" s="1"/>
  <c r="T436" s="1"/>
  <c r="Q875" l="1"/>
  <c r="R875" s="1"/>
  <c r="T875" s="1"/>
  <c r="A871"/>
  <c r="A873"/>
  <c r="A874"/>
  <c r="A875"/>
  <c r="Q874" l="1"/>
  <c r="R438" i="5"/>
  <c r="R437" s="1"/>
  <c r="S439"/>
  <c r="U439" s="1"/>
  <c r="A436"/>
  <c r="A437"/>
  <c r="A438"/>
  <c r="A439"/>
  <c r="S437" l="1"/>
  <c r="U437" s="1"/>
  <c r="R436"/>
  <c r="S438"/>
  <c r="U438" s="1"/>
  <c r="Q873" i="6"/>
  <c r="R874"/>
  <c r="T874" s="1"/>
  <c r="R1323" i="5"/>
  <c r="R1494"/>
  <c r="Q1172" i="6"/>
  <c r="R1172" s="1"/>
  <c r="T1172" s="1"/>
  <c r="A1170"/>
  <c r="A1172"/>
  <c r="A1168"/>
  <c r="A1129"/>
  <c r="A1167"/>
  <c r="A1131"/>
  <c r="A1127"/>
  <c r="A1171"/>
  <c r="A1130"/>
  <c r="S436" i="5" l="1"/>
  <c r="U436" s="1"/>
  <c r="R431"/>
  <c r="S431" s="1"/>
  <c r="U431" s="1"/>
  <c r="R873" i="6"/>
  <c r="T873" s="1"/>
  <c r="Q872"/>
  <c r="Q1171"/>
  <c r="A1208"/>
  <c r="A1210"/>
  <c r="A1212"/>
  <c r="A1211"/>
  <c r="Q871" l="1"/>
  <c r="R871" s="1"/>
  <c r="T871" s="1"/>
  <c r="R872"/>
  <c r="T872" s="1"/>
  <c r="R1171"/>
  <c r="T1171" s="1"/>
  <c r="Q1170"/>
  <c r="Q1116"/>
  <c r="Q1115" s="1"/>
  <c r="A1115"/>
  <c r="A1114"/>
  <c r="A1116"/>
  <c r="Q1169" l="1"/>
  <c r="R1170"/>
  <c r="T1170" s="1"/>
  <c r="Q1114"/>
  <c r="R1115"/>
  <c r="T1115" s="1"/>
  <c r="R1116"/>
  <c r="T1116" s="1"/>
  <c r="A1194"/>
  <c r="A1192"/>
  <c r="A1196"/>
  <c r="A1195"/>
  <c r="A1191"/>
  <c r="Q1168" l="1"/>
  <c r="R1169"/>
  <c r="T1169" s="1"/>
  <c r="R1114"/>
  <c r="T1114" s="1"/>
  <c r="Q1113"/>
  <c r="R1113" s="1"/>
  <c r="T1113" s="1"/>
  <c r="A1186"/>
  <c r="A1188"/>
  <c r="A1185"/>
  <c r="A1189"/>
  <c r="A1190"/>
  <c r="R1168" l="1"/>
  <c r="T1168" s="1"/>
  <c r="Q1167"/>
  <c r="R1167" s="1"/>
  <c r="T1167" s="1"/>
  <c r="Q1184"/>
  <c r="R1184" s="1"/>
  <c r="T1184" s="1"/>
  <c r="A1173"/>
  <c r="A1183"/>
  <c r="A1184"/>
  <c r="A1180"/>
  <c r="A1182"/>
  <c r="A1179"/>
  <c r="Q1183" l="1"/>
  <c r="A1178"/>
  <c r="A1177"/>
  <c r="A1176"/>
  <c r="A1174"/>
  <c r="R1183" l="1"/>
  <c r="T1183" s="1"/>
  <c r="Q1182"/>
  <c r="R1646" i="5"/>
  <c r="R1601"/>
  <c r="A1599"/>
  <c r="A1598"/>
  <c r="A1597"/>
  <c r="A1600"/>
  <c r="A1601"/>
  <c r="S1601" l="1"/>
  <c r="U1601" s="1"/>
  <c r="Q1212" i="6"/>
  <c r="Q1181"/>
  <c r="R1182"/>
  <c r="T1182" s="1"/>
  <c r="R1600" i="5"/>
  <c r="R1522"/>
  <c r="A1679"/>
  <c r="A1682"/>
  <c r="A1683"/>
  <c r="A1681"/>
  <c r="A1680"/>
  <c r="R1682" l="1"/>
  <c r="R1681" s="1"/>
  <c r="Q1131" i="6"/>
  <c r="Q1211"/>
  <c r="R1212"/>
  <c r="T1212" s="1"/>
  <c r="R1181"/>
  <c r="T1181" s="1"/>
  <c r="Q1180"/>
  <c r="R1599" i="5"/>
  <c r="S1600"/>
  <c r="U1600" s="1"/>
  <c r="S1683"/>
  <c r="U1683" s="1"/>
  <c r="R1538"/>
  <c r="S1538" s="1"/>
  <c r="U1538" s="1"/>
  <c r="A1536"/>
  <c r="A1535"/>
  <c r="A1537"/>
  <c r="A1538"/>
  <c r="Q1130" i="6" l="1"/>
  <c r="R1131"/>
  <c r="T1131" s="1"/>
  <c r="Q1210"/>
  <c r="R1211"/>
  <c r="T1211" s="1"/>
  <c r="R1537" i="5"/>
  <c r="S1537" s="1"/>
  <c r="U1537" s="1"/>
  <c r="Q1196" i="6"/>
  <c r="S1682" i="5"/>
  <c r="U1682" s="1"/>
  <c r="Q1179" i="6"/>
  <c r="R1179" s="1"/>
  <c r="T1179" s="1"/>
  <c r="R1180"/>
  <c r="T1180" s="1"/>
  <c r="S1599" i="5"/>
  <c r="U1599" s="1"/>
  <c r="R1598"/>
  <c r="S1681"/>
  <c r="U1681" s="1"/>
  <c r="R1680"/>
  <c r="R1534"/>
  <c r="R1533" s="1"/>
  <c r="R1532" s="1"/>
  <c r="R1531" s="1"/>
  <c r="S1531" s="1"/>
  <c r="U1531" s="1"/>
  <c r="A1532"/>
  <c r="A1531"/>
  <c r="A1533"/>
  <c r="A1534"/>
  <c r="R1536" l="1"/>
  <c r="S1536" s="1"/>
  <c r="U1536" s="1"/>
  <c r="S1533"/>
  <c r="U1533" s="1"/>
  <c r="R1130" i="6"/>
  <c r="T1130" s="1"/>
  <c r="Q1129"/>
  <c r="Q1195"/>
  <c r="R1196"/>
  <c r="T1196" s="1"/>
  <c r="R1210"/>
  <c r="T1210" s="1"/>
  <c r="Q1209"/>
  <c r="S1534" i="5"/>
  <c r="U1534" s="1"/>
  <c r="Q1190" i="6"/>
  <c r="R1597" i="5"/>
  <c r="S1598"/>
  <c r="U1598" s="1"/>
  <c r="R1679"/>
  <c r="S1680"/>
  <c r="U1680" s="1"/>
  <c r="S1532"/>
  <c r="U1532" s="1"/>
  <c r="R1529"/>
  <c r="S1529" s="1"/>
  <c r="U1529" s="1"/>
  <c r="S1530"/>
  <c r="U1530" s="1"/>
  <c r="A1530"/>
  <c r="A1528"/>
  <c r="A1529"/>
  <c r="A1527"/>
  <c r="R1535" l="1"/>
  <c r="S1535" s="1"/>
  <c r="U1535" s="1"/>
  <c r="R1209" i="6"/>
  <c r="T1209" s="1"/>
  <c r="Q1208"/>
  <c r="R1208" s="1"/>
  <c r="T1208" s="1"/>
  <c r="Q1128"/>
  <c r="R1129"/>
  <c r="T1129" s="1"/>
  <c r="Q1194"/>
  <c r="R1195"/>
  <c r="T1195" s="1"/>
  <c r="Q1189"/>
  <c r="R1190"/>
  <c r="T1190" s="1"/>
  <c r="S1597" i="5"/>
  <c r="U1597" s="1"/>
  <c r="R1596"/>
  <c r="S1596" s="1"/>
  <c r="U1596" s="1"/>
  <c r="R1528"/>
  <c r="R1678"/>
  <c r="S1678" s="1"/>
  <c r="U1678" s="1"/>
  <c r="S1679"/>
  <c r="U1679" s="1"/>
  <c r="R1526"/>
  <c r="A1523"/>
  <c r="A1526"/>
  <c r="A1525"/>
  <c r="A1524"/>
  <c r="Q1188" i="6" l="1"/>
  <c r="R1189"/>
  <c r="T1189" s="1"/>
  <c r="R1128"/>
  <c r="T1128" s="1"/>
  <c r="Q1127"/>
  <c r="R1127" s="1"/>
  <c r="T1127" s="1"/>
  <c r="Q1193"/>
  <c r="R1194"/>
  <c r="T1194" s="1"/>
  <c r="R1525" i="5"/>
  <c r="S1525" s="1"/>
  <c r="U1525" s="1"/>
  <c r="Q1178" i="6"/>
  <c r="R1527" i="5"/>
  <c r="S1527" s="1"/>
  <c r="U1527" s="1"/>
  <c r="S1528"/>
  <c r="U1528" s="1"/>
  <c r="S1526"/>
  <c r="U1526" s="1"/>
  <c r="R1661"/>
  <c r="S1661" s="1"/>
  <c r="U1661" s="1"/>
  <c r="S1662"/>
  <c r="U1662" s="1"/>
  <c r="A1661"/>
  <c r="A1662"/>
  <c r="A1660"/>
  <c r="A1659"/>
  <c r="R1524" l="1"/>
  <c r="R1523" s="1"/>
  <c r="S1523" s="1"/>
  <c r="U1523" s="1"/>
  <c r="R1188" i="6"/>
  <c r="T1188" s="1"/>
  <c r="Q1187"/>
  <c r="Q1192"/>
  <c r="R1193"/>
  <c r="T1193" s="1"/>
  <c r="R1178"/>
  <c r="T1178" s="1"/>
  <c r="Q1177"/>
  <c r="R1660" i="5"/>
  <c r="R1659" s="1"/>
  <c r="S1659" s="1"/>
  <c r="U1659" s="1"/>
  <c r="S1524"/>
  <c r="U1524" s="1"/>
  <c r="R1246"/>
  <c r="R1560"/>
  <c r="S1560" s="1"/>
  <c r="U1560" s="1"/>
  <c r="S1561"/>
  <c r="U1561" s="1"/>
  <c r="A1561"/>
  <c r="A1559"/>
  <c r="A1560"/>
  <c r="A1558"/>
  <c r="Q1186" i="6" l="1"/>
  <c r="R1187"/>
  <c r="T1187" s="1"/>
  <c r="R1192"/>
  <c r="T1192" s="1"/>
  <c r="Q1191"/>
  <c r="R1191" s="1"/>
  <c r="T1191" s="1"/>
  <c r="Q1176"/>
  <c r="R1177"/>
  <c r="T1177" s="1"/>
  <c r="S1660" i="5"/>
  <c r="U1660" s="1"/>
  <c r="R1559"/>
  <c r="R1023"/>
  <c r="R1186" i="6" l="1"/>
  <c r="T1186" s="1"/>
  <c r="Q1185"/>
  <c r="R1185" s="1"/>
  <c r="T1185" s="1"/>
  <c r="Q1175"/>
  <c r="R1176"/>
  <c r="T1176" s="1"/>
  <c r="R1558" i="5"/>
  <c r="S1558" s="1"/>
  <c r="U1558" s="1"/>
  <c r="S1559"/>
  <c r="U1559" s="1"/>
  <c r="R494"/>
  <c r="R484"/>
  <c r="R1175" i="6" l="1"/>
  <c r="T1175" s="1"/>
  <c r="Q1174"/>
  <c r="R558" i="5"/>
  <c r="Q1173" i="6" l="1"/>
  <c r="R1173" s="1"/>
  <c r="T1173" s="1"/>
  <c r="R1174"/>
  <c r="T1174" s="1"/>
  <c r="G1260" i="5"/>
  <c r="G1259" s="1"/>
  <c r="H1260"/>
  <c r="H1259" s="1"/>
  <c r="H1258" s="1"/>
  <c r="H1257" s="1"/>
  <c r="J1260"/>
  <c r="J1259" s="1"/>
  <c r="J1258" s="1"/>
  <c r="J1257" s="1"/>
  <c r="L1260"/>
  <c r="L1259" s="1"/>
  <c r="L1258" s="1"/>
  <c r="L1257" s="1"/>
  <c r="N1260"/>
  <c r="N1259" s="1"/>
  <c r="N1258" s="1"/>
  <c r="N1257" s="1"/>
  <c r="P1260"/>
  <c r="P1259" s="1"/>
  <c r="P1258" s="1"/>
  <c r="P1257" s="1"/>
  <c r="R1260"/>
  <c r="R1259" s="1"/>
  <c r="R1258" s="1"/>
  <c r="R1257" s="1"/>
  <c r="A1260"/>
  <c r="A285"/>
  <c r="A1259"/>
  <c r="A1257"/>
  <c r="A1258"/>
  <c r="A1261"/>
  <c r="I1260" l="1"/>
  <c r="K1260" s="1"/>
  <c r="M1260" s="1"/>
  <c r="O1260" s="1"/>
  <c r="Q1260" s="1"/>
  <c r="S1260" s="1"/>
  <c r="U1260" s="1"/>
  <c r="G1258"/>
  <c r="I1259"/>
  <c r="K1259" s="1"/>
  <c r="M1259" s="1"/>
  <c r="O1259" s="1"/>
  <c r="Q1259" s="1"/>
  <c r="S1259" s="1"/>
  <c r="U1259" s="1"/>
  <c r="I1261"/>
  <c r="K1261" s="1"/>
  <c r="M1261" s="1"/>
  <c r="O1261" s="1"/>
  <c r="Q1261" s="1"/>
  <c r="S1261" s="1"/>
  <c r="U1261" s="1"/>
  <c r="R1242"/>
  <c r="R1241" s="1"/>
  <c r="A1759" i="6"/>
  <c r="A1761"/>
  <c r="A1762"/>
  <c r="G1257" i="5" l="1"/>
  <c r="I1257" s="1"/>
  <c r="K1257" s="1"/>
  <c r="M1257" s="1"/>
  <c r="O1257" s="1"/>
  <c r="Q1257" s="1"/>
  <c r="S1257" s="1"/>
  <c r="U1257" s="1"/>
  <c r="I1258"/>
  <c r="K1258" s="1"/>
  <c r="M1258" s="1"/>
  <c r="O1258" s="1"/>
  <c r="Q1258" s="1"/>
  <c r="S1258" s="1"/>
  <c r="U1258" s="1"/>
  <c r="Q1762" i="6"/>
  <c r="R1482" i="5"/>
  <c r="R1479"/>
  <c r="A58"/>
  <c r="A56"/>
  <c r="A57"/>
  <c r="Q1761" i="6" l="1"/>
  <c r="Q1760" s="1"/>
  <c r="R1762"/>
  <c r="T1762" s="1"/>
  <c r="R57" i="5"/>
  <c r="R56" s="1"/>
  <c r="S58"/>
  <c r="U58" s="1"/>
  <c r="R1761" i="6" l="1"/>
  <c r="T1761" s="1"/>
  <c r="S56" i="5"/>
  <c r="U56" s="1"/>
  <c r="S57"/>
  <c r="U57" s="1"/>
  <c r="Q1759" i="6" l="1"/>
  <c r="R1759" s="1"/>
  <c r="T1759" s="1"/>
  <c r="R1760"/>
  <c r="T1760" s="1"/>
  <c r="R1251" i="5" l="1"/>
  <c r="R1250" s="1"/>
  <c r="R1245"/>
  <c r="R1244" s="1"/>
  <c r="R1249"/>
  <c r="R1248" s="1"/>
  <c r="R229"/>
  <c r="R211"/>
  <c r="R1247" l="1"/>
  <c r="R1243" s="1"/>
  <c r="Q452" i="6"/>
  <c r="Q451" s="1"/>
  <c r="Q450" s="1"/>
  <c r="Q449" s="1"/>
  <c r="Q448" s="1"/>
  <c r="R448" s="1"/>
  <c r="T448" s="1"/>
  <c r="A449"/>
  <c r="A451"/>
  <c r="A448"/>
  <c r="A452"/>
  <c r="A453"/>
  <c r="R449" l="1"/>
  <c r="T449" s="1"/>
  <c r="R453"/>
  <c r="T453" s="1"/>
  <c r="R452"/>
  <c r="T452" s="1"/>
  <c r="R451"/>
  <c r="T451" s="1"/>
  <c r="R450"/>
  <c r="T450" s="1"/>
  <c r="S933" i="5"/>
  <c r="U933" s="1"/>
  <c r="R932"/>
  <c r="S932" s="1"/>
  <c r="U932" s="1"/>
  <c r="A589" i="6"/>
  <c r="A586"/>
  <c r="A932" i="5"/>
  <c r="A590" i="6"/>
  <c r="A587"/>
  <c r="A933" i="5"/>
  <c r="A931"/>
  <c r="R931" l="1"/>
  <c r="S931" s="1"/>
  <c r="U931" s="1"/>
  <c r="R287"/>
  <c r="Q590" i="6" s="1"/>
  <c r="R590" s="1"/>
  <c r="T590" s="1"/>
  <c r="A287" i="5"/>
  <c r="A286"/>
  <c r="R930" l="1"/>
  <c r="S930" s="1"/>
  <c r="U930" s="1"/>
  <c r="Q589" i="6"/>
  <c r="Q588" s="1"/>
  <c r="S287" i="5"/>
  <c r="U287" s="1"/>
  <c r="R286"/>
  <c r="Q880" i="6"/>
  <c r="R880" s="1"/>
  <c r="T880" s="1"/>
  <c r="A882"/>
  <c r="A876"/>
  <c r="A880"/>
  <c r="A881"/>
  <c r="A878"/>
  <c r="A879"/>
  <c r="A870"/>
  <c r="R589" l="1"/>
  <c r="T589" s="1"/>
  <c r="R285" i="5"/>
  <c r="S285" s="1"/>
  <c r="U285" s="1"/>
  <c r="S286"/>
  <c r="U286" s="1"/>
  <c r="R588" i="6"/>
  <c r="T588" s="1"/>
  <c r="Q587"/>
  <c r="Q879"/>
  <c r="R1322" i="5"/>
  <c r="R1321" s="1"/>
  <c r="S1323"/>
  <c r="U1323" s="1"/>
  <c r="A1321"/>
  <c r="A1320"/>
  <c r="A1322"/>
  <c r="A1323"/>
  <c r="S1322" l="1"/>
  <c r="U1322" s="1"/>
  <c r="S1321"/>
  <c r="U1321" s="1"/>
  <c r="R1320"/>
  <c r="S1320" s="1"/>
  <c r="U1320" s="1"/>
  <c r="R587" i="6"/>
  <c r="T587" s="1"/>
  <c r="Q586"/>
  <c r="R586" s="1"/>
  <c r="T586" s="1"/>
  <c r="Q878"/>
  <c r="R879"/>
  <c r="T879" s="1"/>
  <c r="Q1244"/>
  <c r="R1244" s="1"/>
  <c r="T1244" s="1"/>
  <c r="A1242"/>
  <c r="A1243"/>
  <c r="A1239"/>
  <c r="A1240"/>
  <c r="A1244"/>
  <c r="Q877" l="1"/>
  <c r="R878"/>
  <c r="T878" s="1"/>
  <c r="R1669" i="5"/>
  <c r="Q1243" i="6" s="1"/>
  <c r="R1243" s="1"/>
  <c r="T1243" s="1"/>
  <c r="S1670" i="5"/>
  <c r="U1670" s="1"/>
  <c r="A1668"/>
  <c r="A1667"/>
  <c r="A1669"/>
  <c r="A1670"/>
  <c r="S1669" l="1"/>
  <c r="U1669" s="1"/>
  <c r="R1668"/>
  <c r="R877" i="6"/>
  <c r="T877" s="1"/>
  <c r="Q876"/>
  <c r="Q870" s="1"/>
  <c r="Q1242"/>
  <c r="Q1241" s="1"/>
  <c r="A116"/>
  <c r="A115"/>
  <c r="A119"/>
  <c r="A118"/>
  <c r="S1668" i="5" l="1"/>
  <c r="U1668" s="1"/>
  <c r="R1667"/>
  <c r="S1667" s="1"/>
  <c r="U1667" s="1"/>
  <c r="R1242" i="6"/>
  <c r="T1242" s="1"/>
  <c r="R870"/>
  <c r="T870" s="1"/>
  <c r="R876"/>
  <c r="T876" s="1"/>
  <c r="R1241"/>
  <c r="T1241" s="1"/>
  <c r="Q1240"/>
  <c r="Q118"/>
  <c r="R118" s="1"/>
  <c r="T118" s="1"/>
  <c r="R116"/>
  <c r="T116" s="1"/>
  <c r="S603" i="5"/>
  <c r="U603" s="1"/>
  <c r="A601"/>
  <c r="A602"/>
  <c r="A603"/>
  <c r="Q115" i="6" l="1"/>
  <c r="R115" s="1"/>
  <c r="T115" s="1"/>
  <c r="R601" i="5"/>
  <c r="R1240" i="6"/>
  <c r="T1240" s="1"/>
  <c r="Q1239"/>
  <c r="R1239" s="1"/>
  <c r="T1239" s="1"/>
  <c r="Q966"/>
  <c r="R966" s="1"/>
  <c r="T966" s="1"/>
  <c r="A964"/>
  <c r="A961"/>
  <c r="A352" i="5"/>
  <c r="A607"/>
  <c r="A960" i="6"/>
  <c r="A959"/>
  <c r="A965"/>
  <c r="A608" i="5"/>
  <c r="A958" i="6"/>
  <c r="A966"/>
  <c r="S601" i="5" l="1"/>
  <c r="U601" s="1"/>
  <c r="Q114" i="6"/>
  <c r="R114" s="1"/>
  <c r="T114" s="1"/>
  <c r="S602" i="5"/>
  <c r="U602" s="1"/>
  <c r="Q965" i="6"/>
  <c r="R965" s="1"/>
  <c r="T965" s="1"/>
  <c r="S354" i="5"/>
  <c r="U354" s="1"/>
  <c r="R353"/>
  <c r="A353"/>
  <c r="A354"/>
  <c r="S353" l="1"/>
  <c r="U353" s="1"/>
  <c r="R352"/>
  <c r="Q964" i="6"/>
  <c r="Q1818"/>
  <c r="R1817"/>
  <c r="R1816"/>
  <c r="Q105"/>
  <c r="Q102"/>
  <c r="P105"/>
  <c r="P102"/>
  <c r="Q650" i="5"/>
  <c r="S650" s="1"/>
  <c r="U650" s="1"/>
  <c r="R648"/>
  <c r="R645"/>
  <c r="Q647"/>
  <c r="S647" s="1"/>
  <c r="U647" s="1"/>
  <c r="R653"/>
  <c r="R652" s="1"/>
  <c r="A102" i="6"/>
  <c r="A351" i="5"/>
  <c r="A647"/>
  <c r="A105" i="6"/>
  <c r="A650" i="5"/>
  <c r="Q961" i="6" l="1"/>
  <c r="R961" s="1"/>
  <c r="T961" s="1"/>
  <c r="Q962"/>
  <c r="R962" s="1"/>
  <c r="T962" s="1"/>
  <c r="S352" i="5"/>
  <c r="U352" s="1"/>
  <c r="R351"/>
  <c r="S351" s="1"/>
  <c r="U351" s="1"/>
  <c r="R1818" i="6"/>
  <c r="R964"/>
  <c r="R102"/>
  <c r="T102" s="1"/>
  <c r="R105"/>
  <c r="T105" s="1"/>
  <c r="R651" i="5"/>
  <c r="R357"/>
  <c r="R356" s="1"/>
  <c r="R355" s="1"/>
  <c r="Q1811" i="6"/>
  <c r="Q1810" s="1"/>
  <c r="Q1809" s="1"/>
  <c r="Q1808" s="1"/>
  <c r="Q1807" s="1"/>
  <c r="Q1806"/>
  <c r="Q1805" s="1"/>
  <c r="Q1804" s="1"/>
  <c r="Q1803" s="1"/>
  <c r="Q1802" s="1"/>
  <c r="Q1801" s="1"/>
  <c r="Q1795"/>
  <c r="Q1794" s="1"/>
  <c r="Q1793" s="1"/>
  <c r="Q1792" s="1"/>
  <c r="Q1791" s="1"/>
  <c r="Q1790"/>
  <c r="Q1789" s="1"/>
  <c r="Q1788" s="1"/>
  <c r="Q1787" s="1"/>
  <c r="Q1786" s="1"/>
  <c r="Q1785"/>
  <c r="Q1784" s="1"/>
  <c r="Q1783" s="1"/>
  <c r="Q1782" s="1"/>
  <c r="Q1781" s="1"/>
  <c r="Q1780"/>
  <c r="Q1779" s="1"/>
  <c r="Q1778" s="1"/>
  <c r="Q1777"/>
  <c r="Q1776" s="1"/>
  <c r="Q1772"/>
  <c r="Q1771" s="1"/>
  <c r="Q1770" s="1"/>
  <c r="Q1769"/>
  <c r="Q1768" s="1"/>
  <c r="Q1757"/>
  <c r="Q1756" s="1"/>
  <c r="Q1755" s="1"/>
  <c r="Q1754" s="1"/>
  <c r="Q1753" s="1"/>
  <c r="Q1752"/>
  <c r="Q1751" s="1"/>
  <c r="Q1750" s="1"/>
  <c r="Q1749" s="1"/>
  <c r="Q1748" s="1"/>
  <c r="Q1747"/>
  <c r="Q1746" s="1"/>
  <c r="Q1745" s="1"/>
  <c r="Q1744"/>
  <c r="Q1743" s="1"/>
  <c r="Q1739"/>
  <c r="Q1738" s="1"/>
  <c r="Q1737" s="1"/>
  <c r="Q1736"/>
  <c r="Q1735" s="1"/>
  <c r="Q1731"/>
  <c r="Q1730"/>
  <c r="Q1725"/>
  <c r="Q1724" s="1"/>
  <c r="Q1723" s="1"/>
  <c r="Q1722"/>
  <c r="Q1721" s="1"/>
  <c r="Q1717"/>
  <c r="Q1716" s="1"/>
  <c r="Q1715" s="1"/>
  <c r="Q1714"/>
  <c r="Q1713" s="1"/>
  <c r="Q1709"/>
  <c r="Q1708" s="1"/>
  <c r="Q1707" s="1"/>
  <c r="Q1706" s="1"/>
  <c r="Q1705"/>
  <c r="Q1704" s="1"/>
  <c r="Q1703" s="1"/>
  <c r="Q1701"/>
  <c r="Q1700" s="1"/>
  <c r="Q1699" s="1"/>
  <c r="Q1698" s="1"/>
  <c r="Q1697"/>
  <c r="Q1696" s="1"/>
  <c r="Q1695" s="1"/>
  <c r="Q1694" s="1"/>
  <c r="Q1692"/>
  <c r="Q1691" s="1"/>
  <c r="Q1690" s="1"/>
  <c r="Q1689" s="1"/>
  <c r="Q1688"/>
  <c r="Q1687" s="1"/>
  <c r="Q1686" s="1"/>
  <c r="Q1685" s="1"/>
  <c r="Q1684"/>
  <c r="Q1683" s="1"/>
  <c r="Q1682"/>
  <c r="Q1681" s="1"/>
  <c r="Q1677"/>
  <c r="Q1676" s="1"/>
  <c r="Q1675" s="1"/>
  <c r="Q1674" s="1"/>
  <c r="Q1673" s="1"/>
  <c r="Q1671"/>
  <c r="Q1670" s="1"/>
  <c r="Q1669" s="1"/>
  <c r="Q1668"/>
  <c r="Q1667" s="1"/>
  <c r="Q1658"/>
  <c r="Q1657" s="1"/>
  <c r="Q1656" s="1"/>
  <c r="Q1655" s="1"/>
  <c r="Q1654" s="1"/>
  <c r="Q1653" s="1"/>
  <c r="Q1652"/>
  <c r="Q1651" s="1"/>
  <c r="Q1650" s="1"/>
  <c r="Q1649" s="1"/>
  <c r="Q1648" s="1"/>
  <c r="Q1647" s="1"/>
  <c r="Q1646"/>
  <c r="Q1645" s="1"/>
  <c r="Q1644" s="1"/>
  <c r="Q1643" s="1"/>
  <c r="Q1642" s="1"/>
  <c r="Q1641" s="1"/>
  <c r="Q1640"/>
  <c r="Q1639" s="1"/>
  <c r="Q1638" s="1"/>
  <c r="Q1637" s="1"/>
  <c r="Q1636" s="1"/>
  <c r="Q1635" s="1"/>
  <c r="Q1634"/>
  <c r="Q1633" s="1"/>
  <c r="Q1632" s="1"/>
  <c r="Q1631" s="1"/>
  <c r="Q1630" s="1"/>
  <c r="Q1629" s="1"/>
  <c r="Q1628"/>
  <c r="Q1627" s="1"/>
  <c r="Q1626" s="1"/>
  <c r="Q1625" s="1"/>
  <c r="Q1624" s="1"/>
  <c r="Q1623" s="1"/>
  <c r="Q1621"/>
  <c r="Q1620" s="1"/>
  <c r="Q1619" s="1"/>
  <c r="Q1618" s="1"/>
  <c r="Q1617" s="1"/>
  <c r="Q1616"/>
  <c r="Q1615" s="1"/>
  <c r="Q1614" s="1"/>
  <c r="Q1613" s="1"/>
  <c r="Q1612" s="1"/>
  <c r="Q1611"/>
  <c r="Q1610" s="1"/>
  <c r="Q1609" s="1"/>
  <c r="Q1608"/>
  <c r="Q1607" s="1"/>
  <c r="Q1604"/>
  <c r="Q1603" s="1"/>
  <c r="Q1602" s="1"/>
  <c r="Q1601"/>
  <c r="Q1600" s="1"/>
  <c r="Q1597"/>
  <c r="Q1596" s="1"/>
  <c r="Q1595" s="1"/>
  <c r="Q1594"/>
  <c r="Q1593" s="1"/>
  <c r="Q1592" s="1"/>
  <c r="Q1591"/>
  <c r="Q1590" s="1"/>
  <c r="Q1587"/>
  <c r="Q1586" s="1"/>
  <c r="Q1585" s="1"/>
  <c r="Q1584"/>
  <c r="Q1583" s="1"/>
  <c r="Q1580"/>
  <c r="Q1579" s="1"/>
  <c r="Q1578" s="1"/>
  <c r="Q1577"/>
  <c r="Q1576" s="1"/>
  <c r="Q1575" s="1"/>
  <c r="Q1574"/>
  <c r="Q1573" s="1"/>
  <c r="Q1570"/>
  <c r="Q1569" s="1"/>
  <c r="Q1568" s="1"/>
  <c r="Q1567"/>
  <c r="Q1566" s="1"/>
  <c r="Q1565" s="1"/>
  <c r="Q1564"/>
  <c r="Q1563" s="1"/>
  <c r="Q1560"/>
  <c r="Q1559"/>
  <c r="Q1556"/>
  <c r="Q1555" s="1"/>
  <c r="Q1554" s="1"/>
  <c r="Q1553"/>
  <c r="Q1552" s="1"/>
  <c r="Q1549"/>
  <c r="Q1548" s="1"/>
  <c r="Q1547" s="1"/>
  <c r="Q1546"/>
  <c r="Q1545" s="1"/>
  <c r="Q1544" s="1"/>
  <c r="Q1543"/>
  <c r="Q1542" s="1"/>
  <c r="Q1540"/>
  <c r="Q1539" s="1"/>
  <c r="Q1538" s="1"/>
  <c r="Q1537"/>
  <c r="Q1536" s="1"/>
  <c r="Q1535" s="1"/>
  <c r="Q1534"/>
  <c r="Q1533" s="1"/>
  <c r="Q1531"/>
  <c r="Q1530"/>
  <c r="Q1527"/>
  <c r="Q1526" s="1"/>
  <c r="Q1525" s="1"/>
  <c r="Q1524"/>
  <c r="Q1523" s="1"/>
  <c r="Q1519"/>
  <c r="Q1518" s="1"/>
  <c r="Q1517" s="1"/>
  <c r="Q1516" s="1"/>
  <c r="Q1515" s="1"/>
  <c r="Q1504"/>
  <c r="Q1503" s="1"/>
  <c r="Q1502" s="1"/>
  <c r="Q1501" s="1"/>
  <c r="Q1500" s="1"/>
  <c r="Q1499" s="1"/>
  <c r="Q1498" s="1"/>
  <c r="Q1497"/>
  <c r="Q1496" s="1"/>
  <c r="Q1495" s="1"/>
  <c r="Q1494" s="1"/>
  <c r="Q1493" s="1"/>
  <c r="Q1492" s="1"/>
  <c r="Q1491"/>
  <c r="Q1490" s="1"/>
  <c r="Q1489" s="1"/>
  <c r="Q1488" s="1"/>
  <c r="Q1487"/>
  <c r="Q1486" s="1"/>
  <c r="Q1485" s="1"/>
  <c r="Q1484"/>
  <c r="Q1483" s="1"/>
  <c r="Q1482" s="1"/>
  <c r="Q1481"/>
  <c r="Q1480" s="1"/>
  <c r="Q1477"/>
  <c r="Q1476" s="1"/>
  <c r="Q1475" s="1"/>
  <c r="Q1474" s="1"/>
  <c r="Q1473" s="1"/>
  <c r="Q1471"/>
  <c r="Q1470" s="1"/>
  <c r="Q1469" s="1"/>
  <c r="Q1468" s="1"/>
  <c r="Q1467" s="1"/>
  <c r="Q1466" s="1"/>
  <c r="Q1463"/>
  <c r="Q1462" s="1"/>
  <c r="Q1461" s="1"/>
  <c r="Q1460" s="1"/>
  <c r="Q1459" s="1"/>
  <c r="Q1458" s="1"/>
  <c r="Q1457"/>
  <c r="Q1456"/>
  <c r="Q1453"/>
  <c r="Q1452" s="1"/>
  <c r="Q1451" s="1"/>
  <c r="Q1450"/>
  <c r="Q1449" s="1"/>
  <c r="Q1445"/>
  <c r="Q1444" s="1"/>
  <c r="Q1443" s="1"/>
  <c r="Q1442" s="1"/>
  <c r="Q1441" s="1"/>
  <c r="Q1440" s="1"/>
  <c r="Q1439"/>
  <c r="Q1438" s="1"/>
  <c r="Q1437" s="1"/>
  <c r="Q1436" s="1"/>
  <c r="Q1435" s="1"/>
  <c r="Q1434" s="1"/>
  <c r="Q1433"/>
  <c r="Q1432" s="1"/>
  <c r="Q1431" s="1"/>
  <c r="Q1430" s="1"/>
  <c r="Q1429" s="1"/>
  <c r="Q1428"/>
  <c r="Q1427" s="1"/>
  <c r="Q1426" s="1"/>
  <c r="Q1425" s="1"/>
  <c r="Q1424" s="1"/>
  <c r="Q1422"/>
  <c r="Q1421" s="1"/>
  <c r="Q1420" s="1"/>
  <c r="Q1419" s="1"/>
  <c r="Q1418" s="1"/>
  <c r="Q1417" s="1"/>
  <c r="Q1409"/>
  <c r="Q1408"/>
  <c r="Q1402"/>
  <c r="Q1401" s="1"/>
  <c r="Q1400" s="1"/>
  <c r="Q1399" s="1"/>
  <c r="Q1398" s="1"/>
  <c r="Q1397" s="1"/>
  <c r="Q1395"/>
  <c r="Q1394" s="1"/>
  <c r="Q1393" s="1"/>
  <c r="Q1392" s="1"/>
  <c r="Q1391" s="1"/>
  <c r="Q1390"/>
  <c r="Q1389" s="1"/>
  <c r="Q1388" s="1"/>
  <c r="Q1387" s="1"/>
  <c r="Q1386" s="1"/>
  <c r="Q1385" s="1"/>
  <c r="Q1383"/>
  <c r="Q1382"/>
  <c r="Q1379"/>
  <c r="Q1378" s="1"/>
  <c r="Q1377" s="1"/>
  <c r="Q1376"/>
  <c r="Q1375" s="1"/>
  <c r="Q1371"/>
  <c r="Q1370" s="1"/>
  <c r="Q1369" s="1"/>
  <c r="Q1368" s="1"/>
  <c r="Q1367" s="1"/>
  <c r="Q1366" s="1"/>
  <c r="Q1363"/>
  <c r="Q1362"/>
  <c r="Q1359"/>
  <c r="Q1358" s="1"/>
  <c r="Q1357" s="1"/>
  <c r="Q1356"/>
  <c r="Q1355" s="1"/>
  <c r="Q1354" s="1"/>
  <c r="Q1353"/>
  <c r="Q1352" s="1"/>
  <c r="Q1348"/>
  <c r="Q1347" s="1"/>
  <c r="Q1346" s="1"/>
  <c r="Q1345" s="1"/>
  <c r="Q1344" s="1"/>
  <c r="Q1343"/>
  <c r="Q1342" s="1"/>
  <c r="Q1341" s="1"/>
  <c r="Q1340" s="1"/>
  <c r="Q1339" s="1"/>
  <c r="Q1338" s="1"/>
  <c r="Q1334"/>
  <c r="Q1333" s="1"/>
  <c r="Q1332" s="1"/>
  <c r="Q1331"/>
  <c r="Q1330" s="1"/>
  <c r="Q1325"/>
  <c r="Q1324" s="1"/>
  <c r="Q1323"/>
  <c r="Q1322" s="1"/>
  <c r="Q1299"/>
  <c r="Q1298" s="1"/>
  <c r="Q1297"/>
  <c r="Q1296" s="1"/>
  <c r="Q1292"/>
  <c r="Q1291" s="1"/>
  <c r="Q1290"/>
  <c r="Q1289" s="1"/>
  <c r="Q1284"/>
  <c r="Q1283" s="1"/>
  <c r="Q1282" s="1"/>
  <c r="Q1281" s="1"/>
  <c r="Q1280" s="1"/>
  <c r="Q1279"/>
  <c r="Q1278" s="1"/>
  <c r="Q1277" s="1"/>
  <c r="Q1276" s="1"/>
  <c r="Q1275" s="1"/>
  <c r="Q1274"/>
  <c r="Q1273" s="1"/>
  <c r="Q1272"/>
  <c r="Q1271" s="1"/>
  <c r="Q1269"/>
  <c r="Q1268" s="1"/>
  <c r="Q1267" s="1"/>
  <c r="Q1264"/>
  <c r="Q1263" s="1"/>
  <c r="Q1262" s="1"/>
  <c r="Q1261" s="1"/>
  <c r="Q1260" s="1"/>
  <c r="Q1238"/>
  <c r="Q1237"/>
  <c r="Q1234"/>
  <c r="Q1233" s="1"/>
  <c r="Q1232" s="1"/>
  <c r="Q1231"/>
  <c r="Q1230" s="1"/>
  <c r="Q1226"/>
  <c r="Q1225" s="1"/>
  <c r="Q1224" s="1"/>
  <c r="Q1223" s="1"/>
  <c r="Q1222" s="1"/>
  <c r="Q1221"/>
  <c r="Q1220" s="1"/>
  <c r="Q1219" s="1"/>
  <c r="Q1218" s="1"/>
  <c r="Q1217"/>
  <c r="Q1216" s="1"/>
  <c r="Q1215" s="1"/>
  <c r="Q1214" s="1"/>
  <c r="Q1207"/>
  <c r="Q1206" s="1"/>
  <c r="Q1205" s="1"/>
  <c r="Q1204" s="1"/>
  <c r="Q1203" s="1"/>
  <c r="Q1202"/>
  <c r="Q1201" s="1"/>
  <c r="Q1200" s="1"/>
  <c r="Q1199" s="1"/>
  <c r="Q1198" s="1"/>
  <c r="Q1166"/>
  <c r="Q1165" s="1"/>
  <c r="Q1164" s="1"/>
  <c r="Q1163" s="1"/>
  <c r="Q1162" s="1"/>
  <c r="Q1161" s="1"/>
  <c r="Q1160"/>
  <c r="Q1159" s="1"/>
  <c r="Q1158" s="1"/>
  <c r="Q1157" s="1"/>
  <c r="Q1156" s="1"/>
  <c r="Q1155" s="1"/>
  <c r="Q1154"/>
  <c r="Q1153" s="1"/>
  <c r="Q1152" s="1"/>
  <c r="Q1151" s="1"/>
  <c r="Q1150" s="1"/>
  <c r="Q1149" s="1"/>
  <c r="Q1148"/>
  <c r="Q1147" s="1"/>
  <c r="Q1146" s="1"/>
  <c r="Q1145" s="1"/>
  <c r="Q1144" s="1"/>
  <c r="Q1143" s="1"/>
  <c r="Q1142"/>
  <c r="Q1141" s="1"/>
  <c r="Q1140" s="1"/>
  <c r="Q1139" s="1"/>
  <c r="Q1138" s="1"/>
  <c r="Q1137" s="1"/>
  <c r="Q1136"/>
  <c r="Q1135" s="1"/>
  <c r="Q1134" s="1"/>
  <c r="Q1133" s="1"/>
  <c r="Q1132" s="1"/>
  <c r="Q1126"/>
  <c r="Q1125" s="1"/>
  <c r="Q1124" s="1"/>
  <c r="Q1123" s="1"/>
  <c r="Q1122" s="1"/>
  <c r="Q1121"/>
  <c r="Q1120" s="1"/>
  <c r="Q1119" s="1"/>
  <c r="Q1118" s="1"/>
  <c r="Q1117" s="1"/>
  <c r="Q1112"/>
  <c r="Q1111" s="1"/>
  <c r="Q1110" s="1"/>
  <c r="Q1109" s="1"/>
  <c r="Q1108"/>
  <c r="Q1107" s="1"/>
  <c r="Q1106" s="1"/>
  <c r="Q1105" s="1"/>
  <c r="Q1100"/>
  <c r="Q1099" s="1"/>
  <c r="Q1098" s="1"/>
  <c r="Q1097" s="1"/>
  <c r="Q1096" s="1"/>
  <c r="Q1095" s="1"/>
  <c r="Q1094"/>
  <c r="Q1093" s="1"/>
  <c r="Q1092" s="1"/>
  <c r="Q1091" s="1"/>
  <c r="Q1090" s="1"/>
  <c r="Q1089" s="1"/>
  <c r="Q1088"/>
  <c r="Q1087" s="1"/>
  <c r="Q1086" s="1"/>
  <c r="Q1085" s="1"/>
  <c r="Q1084" s="1"/>
  <c r="Q1083"/>
  <c r="Q1082" s="1"/>
  <c r="Q1081" s="1"/>
  <c r="Q1080" s="1"/>
  <c r="Q1079" s="1"/>
  <c r="Q1070"/>
  <c r="Q1069" s="1"/>
  <c r="Q1068" s="1"/>
  <c r="Q1067" s="1"/>
  <c r="Q1066" s="1"/>
  <c r="Q1065" s="1"/>
  <c r="Q1064"/>
  <c r="Q1063" s="1"/>
  <c r="Q1062" s="1"/>
  <c r="Q1061" s="1"/>
  <c r="Q1060" s="1"/>
  <c r="Q1059" s="1"/>
  <c r="Q1057"/>
  <c r="Q1056" s="1"/>
  <c r="Q1055" s="1"/>
  <c r="Q1054" s="1"/>
  <c r="Q1053" s="1"/>
  <c r="Q1052" s="1"/>
  <c r="Q1051"/>
  <c r="Q1050" s="1"/>
  <c r="Q1049" s="1"/>
  <c r="Q1048" s="1"/>
  <c r="Q1047" s="1"/>
  <c r="Q1046" s="1"/>
  <c r="Q1045"/>
  <c r="Q1044" s="1"/>
  <c r="Q1043" s="1"/>
  <c r="Q1042" s="1"/>
  <c r="Q1041" s="1"/>
  <c r="Q1040"/>
  <c r="Q1039" s="1"/>
  <c r="Q1038" s="1"/>
  <c r="Q1037" s="1"/>
  <c r="Q1036" s="1"/>
  <c r="Q1034"/>
  <c r="Q1033" s="1"/>
  <c r="Q1032" s="1"/>
  <c r="Q1031"/>
  <c r="Q1030"/>
  <c r="Q1027"/>
  <c r="Q1026" s="1"/>
  <c r="Q1022"/>
  <c r="Q1021" s="1"/>
  <c r="Q1020"/>
  <c r="Q1019" s="1"/>
  <c r="Q1018" s="1"/>
  <c r="Q1012"/>
  <c r="Q1011" s="1"/>
  <c r="Q1010" s="1"/>
  <c r="Q1009" s="1"/>
  <c r="Q1008" s="1"/>
  <c r="Q1007" s="1"/>
  <c r="Q1006"/>
  <c r="Q1005" s="1"/>
  <c r="Q1004" s="1"/>
  <c r="Q1003" s="1"/>
  <c r="Q1002" s="1"/>
  <c r="Q1001" s="1"/>
  <c r="Q999"/>
  <c r="Q998" s="1"/>
  <c r="Q997" s="1"/>
  <c r="Q996" s="1"/>
  <c r="Q995" s="1"/>
  <c r="Q994"/>
  <c r="Q993" s="1"/>
  <c r="Q992" s="1"/>
  <c r="Q991" s="1"/>
  <c r="Q990" s="1"/>
  <c r="Q989" s="1"/>
  <c r="Q987"/>
  <c r="Q986" s="1"/>
  <c r="Q985" s="1"/>
  <c r="Q984" s="1"/>
  <c r="Q983" s="1"/>
  <c r="Q982" s="1"/>
  <c r="Q981" s="1"/>
  <c r="Q980" s="1"/>
  <c r="Q979"/>
  <c r="Q978" s="1"/>
  <c r="Q977" s="1"/>
  <c r="Q976" s="1"/>
  <c r="Q975" s="1"/>
  <c r="Q974" s="1"/>
  <c r="Q973" s="1"/>
  <c r="Q972"/>
  <c r="Q971" s="1"/>
  <c r="Q970" s="1"/>
  <c r="Q969" s="1"/>
  <c r="Q968" s="1"/>
  <c r="Q967" s="1"/>
  <c r="Q960"/>
  <c r="Q959" s="1"/>
  <c r="Q958" s="1"/>
  <c r="Q957" s="1"/>
  <c r="Q956" s="1"/>
  <c r="Q955" s="1"/>
  <c r="Q953"/>
  <c r="Q952" s="1"/>
  <c r="Q951" s="1"/>
  <c r="Q950" s="1"/>
  <c r="Q949" s="1"/>
  <c r="Q948" s="1"/>
  <c r="Q945"/>
  <c r="Q944" s="1"/>
  <c r="Q943" s="1"/>
  <c r="Q939" s="1"/>
  <c r="Q938" s="1"/>
  <c r="Q937" s="1"/>
  <c r="Q936"/>
  <c r="Q935" s="1"/>
  <c r="Q934" s="1"/>
  <c r="Q933"/>
  <c r="Q932" s="1"/>
  <c r="Q931" s="1"/>
  <c r="Q930"/>
  <c r="Q929" s="1"/>
  <c r="Q927"/>
  <c r="Q926"/>
  <c r="Q922"/>
  <c r="Q921"/>
  <c r="Q916"/>
  <c r="Q915" s="1"/>
  <c r="Q914"/>
  <c r="Q913" s="1"/>
  <c r="Q911"/>
  <c r="Q910" s="1"/>
  <c r="Q909" s="1"/>
  <c r="Q905"/>
  <c r="Q904" s="1"/>
  <c r="Q903" s="1"/>
  <c r="Q901"/>
  <c r="Q900" s="1"/>
  <c r="Q899" s="1"/>
  <c r="Q895"/>
  <c r="Q894" s="1"/>
  <c r="Q893" s="1"/>
  <c r="Q889" s="1"/>
  <c r="Q888" s="1"/>
  <c r="Q887" s="1"/>
  <c r="Q886"/>
  <c r="Q885" s="1"/>
  <c r="Q884" s="1"/>
  <c r="Q883" s="1"/>
  <c r="Q882" s="1"/>
  <c r="Q881" s="1"/>
  <c r="Q869"/>
  <c r="Q868" s="1"/>
  <c r="Q867"/>
  <c r="Q866" s="1"/>
  <c r="Q865" s="1"/>
  <c r="Q861"/>
  <c r="Q860" s="1"/>
  <c r="Q859" s="1"/>
  <c r="Q858" s="1"/>
  <c r="Q857" s="1"/>
  <c r="Q856" s="1"/>
  <c r="Q855"/>
  <c r="Q854"/>
  <c r="Q832"/>
  <c r="Q831" s="1"/>
  <c r="Q830" s="1"/>
  <c r="Q829" s="1"/>
  <c r="Q828" s="1"/>
  <c r="Q827" s="1"/>
  <c r="Q826" s="1"/>
  <c r="Q821"/>
  <c r="Q820" s="1"/>
  <c r="Q819" s="1"/>
  <c r="Q815" s="1"/>
  <c r="Q814" s="1"/>
  <c r="Q813" s="1"/>
  <c r="Q812" s="1"/>
  <c r="Q807"/>
  <c r="Q806" s="1"/>
  <c r="Q805" s="1"/>
  <c r="Q801" s="1"/>
  <c r="Q800" s="1"/>
  <c r="Q799" s="1"/>
  <c r="Q798" s="1"/>
  <c r="Q797"/>
  <c r="Q796" s="1"/>
  <c r="Q795" s="1"/>
  <c r="Q791" s="1"/>
  <c r="Q790" s="1"/>
  <c r="Q789" s="1"/>
  <c r="Q788" s="1"/>
  <c r="Q787"/>
  <c r="Q786" s="1"/>
  <c r="Q785" s="1"/>
  <c r="Q781" s="1"/>
  <c r="Q780" s="1"/>
  <c r="Q779" s="1"/>
  <c r="Q778" s="1"/>
  <c r="Q771"/>
  <c r="Q770" s="1"/>
  <c r="Q769" s="1"/>
  <c r="Q768" s="1"/>
  <c r="Q767" s="1"/>
  <c r="Q766" s="1"/>
  <c r="Q765"/>
  <c r="Q764" s="1"/>
  <c r="Q763" s="1"/>
  <c r="Q762" s="1"/>
  <c r="Q761" s="1"/>
  <c r="Q760" s="1"/>
  <c r="Q758"/>
  <c r="Q757" s="1"/>
  <c r="Q756" s="1"/>
  <c r="Q755" s="1"/>
  <c r="Q754" s="1"/>
  <c r="Q753" s="1"/>
  <c r="Q752"/>
  <c r="Q751" s="1"/>
  <c r="Q750" s="1"/>
  <c r="Q749"/>
  <c r="Q748" s="1"/>
  <c r="Q747" s="1"/>
  <c r="Q746"/>
  <c r="Q745" s="1"/>
  <c r="Q740"/>
  <c r="Q739"/>
  <c r="Q733"/>
  <c r="Q732" s="1"/>
  <c r="Q731" s="1"/>
  <c r="Q730" s="1"/>
  <c r="Q729" s="1"/>
  <c r="Q728" s="1"/>
  <c r="Q726"/>
  <c r="Q725" s="1"/>
  <c r="Q724" s="1"/>
  <c r="Q723" s="1"/>
  <c r="Q722" s="1"/>
  <c r="Q721"/>
  <c r="Q720" s="1"/>
  <c r="Q719" s="1"/>
  <c r="Q718" s="1"/>
  <c r="Q717" s="1"/>
  <c r="Q710"/>
  <c r="Q709" s="1"/>
  <c r="Q708" s="1"/>
  <c r="Q707" s="1"/>
  <c r="Q706" s="1"/>
  <c r="Q705"/>
  <c r="Q704" s="1"/>
  <c r="Q703" s="1"/>
  <c r="Q702" s="1"/>
  <c r="Q701" s="1"/>
  <c r="Q699"/>
  <c r="Q698" s="1"/>
  <c r="Q697" s="1"/>
  <c r="Q696" s="1"/>
  <c r="Q695" s="1"/>
  <c r="Q694"/>
  <c r="Q693" s="1"/>
  <c r="Q692" s="1"/>
  <c r="Q691" s="1"/>
  <c r="Q690" s="1"/>
  <c r="Q688"/>
  <c r="Q687" s="1"/>
  <c r="Q686" s="1"/>
  <c r="Q685" s="1"/>
  <c r="Q684" s="1"/>
  <c r="Q683"/>
  <c r="Q682" s="1"/>
  <c r="Q681" s="1"/>
  <c r="Q680" s="1"/>
  <c r="Q679"/>
  <c r="Q678" s="1"/>
  <c r="Q677" s="1"/>
  <c r="Q676" s="1"/>
  <c r="Q674"/>
  <c r="Q673" s="1"/>
  <c r="Q672" s="1"/>
  <c r="Q671" s="1"/>
  <c r="Q670" s="1"/>
  <c r="Q668"/>
  <c r="Q667" s="1"/>
  <c r="Q666" s="1"/>
  <c r="Q665" s="1"/>
  <c r="Q664" s="1"/>
  <c r="Q663"/>
  <c r="Q662" s="1"/>
  <c r="Q661" s="1"/>
  <c r="Q660" s="1"/>
  <c r="Q659" s="1"/>
  <c r="Q658"/>
  <c r="Q657" s="1"/>
  <c r="Q656"/>
  <c r="Q655" s="1"/>
  <c r="Q653"/>
  <c r="Q652" s="1"/>
  <c r="Q651" s="1"/>
  <c r="Q648"/>
  <c r="Q647" s="1"/>
  <c r="Q646" s="1"/>
  <c r="Q645" s="1"/>
  <c r="Q644" s="1"/>
  <c r="Q642"/>
  <c r="Q641" s="1"/>
  <c r="Q640" s="1"/>
  <c r="Q639" s="1"/>
  <c r="Q638" s="1"/>
  <c r="Q637"/>
  <c r="Q636" s="1"/>
  <c r="Q635"/>
  <c r="Q634" s="1"/>
  <c r="Q632"/>
  <c r="Q631" s="1"/>
  <c r="Q630" s="1"/>
  <c r="Q625"/>
  <c r="Q624" s="1"/>
  <c r="Q623" s="1"/>
  <c r="Q622" s="1"/>
  <c r="Q621" s="1"/>
  <c r="Q620" s="1"/>
  <c r="Q619"/>
  <c r="Q618" s="1"/>
  <c r="Q617" s="1"/>
  <c r="Q616" s="1"/>
  <c r="Q615" s="1"/>
  <c r="Q614" s="1"/>
  <c r="Q613"/>
  <c r="Q612" s="1"/>
  <c r="Q611" s="1"/>
  <c r="Q610" s="1"/>
  <c r="Q609" s="1"/>
  <c r="Q608" s="1"/>
  <c r="Q606"/>
  <c r="Q605" s="1"/>
  <c r="Q604" s="1"/>
  <c r="Q603" s="1"/>
  <c r="Q602" s="1"/>
  <c r="Q601"/>
  <c r="Q600" s="1"/>
  <c r="Q599" s="1"/>
  <c r="Q598" s="1"/>
  <c r="Q597" s="1"/>
  <c r="Q596"/>
  <c r="Q595" s="1"/>
  <c r="Q594" s="1"/>
  <c r="Q593" s="1"/>
  <c r="Q592" s="1"/>
  <c r="Q585"/>
  <c r="Q584" s="1"/>
  <c r="Q583" s="1"/>
  <c r="Q582" s="1"/>
  <c r="Q581" s="1"/>
  <c r="Q580"/>
  <c r="Q579" s="1"/>
  <c r="Q578" s="1"/>
  <c r="Q577" s="1"/>
  <c r="Q576" s="1"/>
  <c r="Q574"/>
  <c r="Q573" s="1"/>
  <c r="Q572" s="1"/>
  <c r="Q571" s="1"/>
  <c r="Q570" s="1"/>
  <c r="Q569" s="1"/>
  <c r="Q568" s="1"/>
  <c r="Q567"/>
  <c r="Q566" s="1"/>
  <c r="Q565" s="1"/>
  <c r="Q564" s="1"/>
  <c r="Q563" s="1"/>
  <c r="Q562"/>
  <c r="Q561" s="1"/>
  <c r="Q560" s="1"/>
  <c r="Q559" s="1"/>
  <c r="Q558" s="1"/>
  <c r="Q557" s="1"/>
  <c r="Q556"/>
  <c r="Q555" s="1"/>
  <c r="Q554" s="1"/>
  <c r="Q553" s="1"/>
  <c r="Q552" s="1"/>
  <c r="Q551"/>
  <c r="Q550" s="1"/>
  <c r="Q549" s="1"/>
  <c r="Q548" s="1"/>
  <c r="Q547" s="1"/>
  <c r="Q545"/>
  <c r="Q544" s="1"/>
  <c r="Q543" s="1"/>
  <c r="Q542" s="1"/>
  <c r="Q541" s="1"/>
  <c r="Q540" s="1"/>
  <c r="Q538"/>
  <c r="Q537" s="1"/>
  <c r="Q536" s="1"/>
  <c r="Q535"/>
  <c r="Q534" s="1"/>
  <c r="Q530"/>
  <c r="Q529"/>
  <c r="Q526"/>
  <c r="Q525" s="1"/>
  <c r="Q524" s="1"/>
  <c r="Q523"/>
  <c r="Q522" s="1"/>
  <c r="Q517"/>
  <c r="Q516" s="1"/>
  <c r="Q515" s="1"/>
  <c r="Q514" s="1"/>
  <c r="Q513"/>
  <c r="Q512"/>
  <c r="Q511" s="1"/>
  <c r="Q507"/>
  <c r="Q506" s="1"/>
  <c r="Q505"/>
  <c r="Q504" s="1"/>
  <c r="Q499"/>
  <c r="Q498" s="1"/>
  <c r="Q497"/>
  <c r="Q496" s="1"/>
  <c r="Q494"/>
  <c r="Q493" s="1"/>
  <c r="Q492" s="1"/>
  <c r="Q488"/>
  <c r="Q487" s="1"/>
  <c r="Q486" s="1"/>
  <c r="Q485" s="1"/>
  <c r="Q484" s="1"/>
  <c r="Q483" s="1"/>
  <c r="Q482"/>
  <c r="Q481" s="1"/>
  <c r="Q480"/>
  <c r="Q479" s="1"/>
  <c r="Q474"/>
  <c r="Q473" s="1"/>
  <c r="Q472"/>
  <c r="Q471" s="1"/>
  <c r="Q466"/>
  <c r="Q465" s="1"/>
  <c r="Q464" s="1"/>
  <c r="Q463" s="1"/>
  <c r="Q462" s="1"/>
  <c r="Q461" s="1"/>
  <c r="Q459"/>
  <c r="Q458" s="1"/>
  <c r="Q457" s="1"/>
  <c r="Q456" s="1"/>
  <c r="Q455" s="1"/>
  <c r="Q454" s="1"/>
  <c r="Q447"/>
  <c r="Q446" s="1"/>
  <c r="Q445" s="1"/>
  <c r="Q444" s="1"/>
  <c r="Q443" s="1"/>
  <c r="Q442" s="1"/>
  <c r="Q435" s="1"/>
  <c r="Q434"/>
  <c r="Q433" s="1"/>
  <c r="Q432" s="1"/>
  <c r="Q431" s="1"/>
  <c r="Q430" s="1"/>
  <c r="Q429" s="1"/>
  <c r="Q428" s="1"/>
  <c r="Q427"/>
  <c r="Q426" s="1"/>
  <c r="Q425" s="1"/>
  <c r="Q424" s="1"/>
  <c r="Q423" s="1"/>
  <c r="Q422" s="1"/>
  <c r="Q421"/>
  <c r="Q420" s="1"/>
  <c r="Q419" s="1"/>
  <c r="Q418" s="1"/>
  <c r="Q417" s="1"/>
  <c r="Q416" s="1"/>
  <c r="Q415"/>
  <c r="Q414" s="1"/>
  <c r="Q413" s="1"/>
  <c r="Q412" s="1"/>
  <c r="Q411" s="1"/>
  <c r="Q410" s="1"/>
  <c r="Q402"/>
  <c r="Q401" s="1"/>
  <c r="Q400"/>
  <c r="Q399" s="1"/>
  <c r="Q394"/>
  <c r="Q393" s="1"/>
  <c r="Q392"/>
  <c r="Q391" s="1"/>
  <c r="Q386"/>
  <c r="Q385" s="1"/>
  <c r="Q384" s="1"/>
  <c r="Q383" s="1"/>
  <c r="Q382" s="1"/>
  <c r="Q381" s="1"/>
  <c r="Q373"/>
  <c r="Q372" s="1"/>
  <c r="Q371" s="1"/>
  <c r="Q370" s="1"/>
  <c r="Q369" s="1"/>
  <c r="Q368" s="1"/>
  <c r="Q367"/>
  <c r="Q366" s="1"/>
  <c r="Q365" s="1"/>
  <c r="Q364" s="1"/>
  <c r="Q363" s="1"/>
  <c r="Q362" s="1"/>
  <c r="Q361"/>
  <c r="Q360" s="1"/>
  <c r="Q359" s="1"/>
  <c r="Q358" s="1"/>
  <c r="Q357" s="1"/>
  <c r="Q356"/>
  <c r="Q355" s="1"/>
  <c r="Q354" s="1"/>
  <c r="Q353" s="1"/>
  <c r="Q352" s="1"/>
  <c r="Q350"/>
  <c r="Q349" s="1"/>
  <c r="Q348" s="1"/>
  <c r="Q347" s="1"/>
  <c r="Q346" s="1"/>
  <c r="Q345" s="1"/>
  <c r="Q337"/>
  <c r="Q336" s="1"/>
  <c r="Q335" s="1"/>
  <c r="Q334" s="1"/>
  <c r="Q333" s="1"/>
  <c r="Q332" s="1"/>
  <c r="Q331"/>
  <c r="Q330" s="1"/>
  <c r="Q329" s="1"/>
  <c r="Q328" s="1"/>
  <c r="Q327" s="1"/>
  <c r="Q326" s="1"/>
  <c r="Q325"/>
  <c r="Q324" s="1"/>
  <c r="Q323" s="1"/>
  <c r="Q322" s="1"/>
  <c r="Q321" s="1"/>
  <c r="Q320" s="1"/>
  <c r="Q319"/>
  <c r="Q318" s="1"/>
  <c r="Q317" s="1"/>
  <c r="Q316" s="1"/>
  <c r="Q315" s="1"/>
  <c r="Q314" s="1"/>
  <c r="Q313"/>
  <c r="Q312" s="1"/>
  <c r="Q311" s="1"/>
  <c r="Q310" s="1"/>
  <c r="Q309" s="1"/>
  <c r="Q308" s="1"/>
  <c r="Q307"/>
  <c r="Q306" s="1"/>
  <c r="Q305" s="1"/>
  <c r="Q304" s="1"/>
  <c r="Q303" s="1"/>
  <c r="Q302" s="1"/>
  <c r="Q288"/>
  <c r="Q287" s="1"/>
  <c r="Q286" s="1"/>
  <c r="Q285" s="1"/>
  <c r="Q284" s="1"/>
  <c r="Q283" s="1"/>
  <c r="Q282"/>
  <c r="Q281" s="1"/>
  <c r="Q280" s="1"/>
  <c r="Q279" s="1"/>
  <c r="Q278" s="1"/>
  <c r="Q277" s="1"/>
  <c r="Q276"/>
  <c r="Q275" s="1"/>
  <c r="Q274" s="1"/>
  <c r="Q273" s="1"/>
  <c r="Q272" s="1"/>
  <c r="Q271" s="1"/>
  <c r="Q270"/>
  <c r="Q269" s="1"/>
  <c r="Q268" s="1"/>
  <c r="Q267" s="1"/>
  <c r="Q266" s="1"/>
  <c r="Q265" s="1"/>
  <c r="Q264"/>
  <c r="Q263" s="1"/>
  <c r="Q262" s="1"/>
  <c r="Q261" s="1"/>
  <c r="Q260" s="1"/>
  <c r="Q259" s="1"/>
  <c r="Q251"/>
  <c r="Q250" s="1"/>
  <c r="Q249" s="1"/>
  <c r="Q248" s="1"/>
  <c r="Q247" s="1"/>
  <c r="Q246" s="1"/>
  <c r="Q245"/>
  <c r="Q244" s="1"/>
  <c r="Q243" s="1"/>
  <c r="Q242"/>
  <c r="Q241" s="1"/>
  <c r="Q240" s="1"/>
  <c r="Q228"/>
  <c r="Q227" s="1"/>
  <c r="Q226" s="1"/>
  <c r="Q225"/>
  <c r="Q224"/>
  <c r="Q219"/>
  <c r="Q218" s="1"/>
  <c r="Q217" s="1"/>
  <c r="Q216" s="1"/>
  <c r="Q215"/>
  <c r="Q214" s="1"/>
  <c r="Q213" s="1"/>
  <c r="Q212"/>
  <c r="Q211" s="1"/>
  <c r="Q210" s="1"/>
  <c r="Q205"/>
  <c r="Q204" s="1"/>
  <c r="Q203"/>
  <c r="Q202" s="1"/>
  <c r="Q200"/>
  <c r="Q199" s="1"/>
  <c r="Q198" s="1"/>
  <c r="Q194"/>
  <c r="Q193" s="1"/>
  <c r="Q192"/>
  <c r="Q186"/>
  <c r="Q185" s="1"/>
  <c r="Q184" s="1"/>
  <c r="Q183" s="1"/>
  <c r="Q182" s="1"/>
  <c r="Q181" s="1"/>
  <c r="Q180" s="1"/>
  <c r="Q179"/>
  <c r="Q178" s="1"/>
  <c r="Q177" s="1"/>
  <c r="Q176" s="1"/>
  <c r="Q175" s="1"/>
  <c r="Q174" s="1"/>
  <c r="Q173"/>
  <c r="Q172" s="1"/>
  <c r="Q171" s="1"/>
  <c r="Q170" s="1"/>
  <c r="Q169" s="1"/>
  <c r="Q168" s="1"/>
  <c r="Q167"/>
  <c r="Q166" s="1"/>
  <c r="Q165" s="1"/>
  <c r="Q164" s="1"/>
  <c r="Q163" s="1"/>
  <c r="Q162" s="1"/>
  <c r="Q160"/>
  <c r="Q159" s="1"/>
  <c r="Q158" s="1"/>
  <c r="Q157" s="1"/>
  <c r="Q156"/>
  <c r="Q155" s="1"/>
  <c r="Q154" s="1"/>
  <c r="Q153" s="1"/>
  <c r="Q148"/>
  <c r="Q147" s="1"/>
  <c r="Q146" s="1"/>
  <c r="Q145" s="1"/>
  <c r="Q144" s="1"/>
  <c r="Q143" s="1"/>
  <c r="Q142"/>
  <c r="Q141" s="1"/>
  <c r="Q140" s="1"/>
  <c r="Q139" s="1"/>
  <c r="Q138" s="1"/>
  <c r="Q137" s="1"/>
  <c r="Q136"/>
  <c r="Q135" s="1"/>
  <c r="Q134" s="1"/>
  <c r="Q133" s="1"/>
  <c r="Q132" s="1"/>
  <c r="Q131" s="1"/>
  <c r="Q129"/>
  <c r="Q128" s="1"/>
  <c r="Q127"/>
  <c r="Q126" s="1"/>
  <c r="Q123"/>
  <c r="Q122" s="1"/>
  <c r="Q121" s="1"/>
  <c r="Q120" s="1"/>
  <c r="Q111"/>
  <c r="Q110" s="1"/>
  <c r="Q109" s="1"/>
  <c r="Q108" s="1"/>
  <c r="Q107" s="1"/>
  <c r="Q106" s="1"/>
  <c r="Q104"/>
  <c r="Q103" s="1"/>
  <c r="Q101"/>
  <c r="Q100" s="1"/>
  <c r="Q95"/>
  <c r="Q94"/>
  <c r="Q89"/>
  <c r="Q88" s="1"/>
  <c r="Q87" s="1"/>
  <c r="Q86" s="1"/>
  <c r="Q85" s="1"/>
  <c r="Q84" s="1"/>
  <c r="Q83"/>
  <c r="Q82" s="1"/>
  <c r="Q81"/>
  <c r="Q80" s="1"/>
  <c r="Q74"/>
  <c r="Q73" s="1"/>
  <c r="Q72" s="1"/>
  <c r="Q71" s="1"/>
  <c r="Q70" s="1"/>
  <c r="Q69" s="1"/>
  <c r="Q68"/>
  <c r="Q67" s="1"/>
  <c r="Q66"/>
  <c r="Q65" s="1"/>
  <c r="Q60"/>
  <c r="Q59" s="1"/>
  <c r="Q58"/>
  <c r="Q57" s="1"/>
  <c r="Q51"/>
  <c r="Q50" s="1"/>
  <c r="Q49"/>
  <c r="Q48" s="1"/>
  <c r="Q43"/>
  <c r="Q42" s="1"/>
  <c r="Q41" s="1"/>
  <c r="Q40" s="1"/>
  <c r="Q39" s="1"/>
  <c r="Q38" s="1"/>
  <c r="Q37"/>
  <c r="Q36"/>
  <c r="Q34"/>
  <c r="Q33" s="1"/>
  <c r="Q29"/>
  <c r="Q28" s="1"/>
  <c r="Q27" s="1"/>
  <c r="Q24"/>
  <c r="Q23" s="1"/>
  <c r="Q22" s="1"/>
  <c r="Q21" s="1"/>
  <c r="Q20" s="1"/>
  <c r="Q19" s="1"/>
  <c r="R1239" i="5"/>
  <c r="R1238" s="1"/>
  <c r="R1237" s="1"/>
  <c r="R1740"/>
  <c r="R1739" s="1"/>
  <c r="R1737"/>
  <c r="R1736" s="1"/>
  <c r="R1734"/>
  <c r="R1728"/>
  <c r="R1727" s="1"/>
  <c r="R1726" s="1"/>
  <c r="R1725" s="1"/>
  <c r="R1722"/>
  <c r="R1721" s="1"/>
  <c r="R1719"/>
  <c r="R1711"/>
  <c r="R1710" s="1"/>
  <c r="R1708"/>
  <c r="R1707" s="1"/>
  <c r="R1705"/>
  <c r="R1696"/>
  <c r="R1695" s="1"/>
  <c r="R1694" s="1"/>
  <c r="R1693" s="1"/>
  <c r="R1692" s="1"/>
  <c r="R1690"/>
  <c r="R1689" s="1"/>
  <c r="R1688" s="1"/>
  <c r="R1687" s="1"/>
  <c r="R1686" s="1"/>
  <c r="R1676"/>
  <c r="R1675" s="1"/>
  <c r="R1674" s="1"/>
  <c r="R1673" s="1"/>
  <c r="R1672" s="1"/>
  <c r="R1671" s="1"/>
  <c r="R1665"/>
  <c r="R1664" s="1"/>
  <c r="R1663" s="1"/>
  <c r="R1657"/>
  <c r="R1656" s="1"/>
  <c r="R1655" s="1"/>
  <c r="R1653"/>
  <c r="R1652" s="1"/>
  <c r="R1651" s="1"/>
  <c r="R1649"/>
  <c r="R1648" s="1"/>
  <c r="R1647" s="1"/>
  <c r="R1645"/>
  <c r="R1644" s="1"/>
  <c r="R1643" s="1"/>
  <c r="R1638"/>
  <c r="R1637" s="1"/>
  <c r="R1635"/>
  <c r="R1634" s="1"/>
  <c r="R1631"/>
  <c r="R1630" s="1"/>
  <c r="R1629" s="1"/>
  <c r="R1625"/>
  <c r="R1624" s="1"/>
  <c r="R1623" s="1"/>
  <c r="R1622" s="1"/>
  <c r="R1621" s="1"/>
  <c r="R1618"/>
  <c r="R1617" s="1"/>
  <c r="R1616" s="1"/>
  <c r="R1615" s="1"/>
  <c r="R1614" s="1"/>
  <c r="R1613" s="1"/>
  <c r="R1611"/>
  <c r="R1610" s="1"/>
  <c r="R1609" s="1"/>
  <c r="R1607"/>
  <c r="R1606" s="1"/>
  <c r="R1605" s="1"/>
  <c r="R1593"/>
  <c r="R1592" s="1"/>
  <c r="R1590"/>
  <c r="R1589" s="1"/>
  <c r="R1587"/>
  <c r="R1586" s="1"/>
  <c r="R1584"/>
  <c r="R1573"/>
  <c r="R1572" s="1"/>
  <c r="R1570"/>
  <c r="R1569" s="1"/>
  <c r="R1567"/>
  <c r="R1564"/>
  <c r="R1563" s="1"/>
  <c r="R1562" s="1"/>
  <c r="R1555"/>
  <c r="R1554" s="1"/>
  <c r="R1553" s="1"/>
  <c r="R1552" s="1"/>
  <c r="R1550"/>
  <c r="R1549" s="1"/>
  <c r="R1548" s="1"/>
  <c r="R1547" s="1"/>
  <c r="R1544"/>
  <c r="R1543" s="1"/>
  <c r="R1542" s="1"/>
  <c r="R1541" s="1"/>
  <c r="R1540" s="1"/>
  <c r="R1539" s="1"/>
  <c r="R1521"/>
  <c r="R1520" s="1"/>
  <c r="R1519" s="1"/>
  <c r="R1514"/>
  <c r="R1513" s="1"/>
  <c r="R1512" s="1"/>
  <c r="R1511" s="1"/>
  <c r="R1509"/>
  <c r="R1508" s="1"/>
  <c r="R1507" s="1"/>
  <c r="R1506" s="1"/>
  <c r="R1498"/>
  <c r="R1497" s="1"/>
  <c r="R1496" s="1"/>
  <c r="R1495" s="1"/>
  <c r="R1493"/>
  <c r="R1492" s="1"/>
  <c r="R1491" s="1"/>
  <c r="R1489"/>
  <c r="R1488" s="1"/>
  <c r="R1487" s="1"/>
  <c r="R1481"/>
  <c r="R1480" s="1"/>
  <c r="R1478"/>
  <c r="R1475"/>
  <c r="R1474" s="1"/>
  <c r="R1472"/>
  <c r="R1468"/>
  <c r="R1465" s="1"/>
  <c r="R1463"/>
  <c r="R1462" s="1"/>
  <c r="R1460"/>
  <c r="R1457"/>
  <c r="R1456" s="1"/>
  <c r="R1454"/>
  <c r="R1451"/>
  <c r="R1450" s="1"/>
  <c r="R1448"/>
  <c r="R1436"/>
  <c r="R1435" s="1"/>
  <c r="R1431" s="1"/>
  <c r="R1429"/>
  <c r="R1428" s="1"/>
  <c r="R1426"/>
  <c r="R1425" s="1"/>
  <c r="R1423"/>
  <c r="R1419"/>
  <c r="R1418" s="1"/>
  <c r="R1417" s="1"/>
  <c r="R1411"/>
  <c r="R1410" s="1"/>
  <c r="R1409" s="1"/>
  <c r="R1404"/>
  <c r="R1403" s="1"/>
  <c r="R1399" s="1"/>
  <c r="R1397"/>
  <c r="R1396" s="1"/>
  <c r="R1392" s="1"/>
  <c r="R1389"/>
  <c r="R1388" s="1"/>
  <c r="R1384" s="1"/>
  <c r="R1373"/>
  <c r="R1372" s="1"/>
  <c r="R1371" s="1"/>
  <c r="R1370" s="1"/>
  <c r="R1368"/>
  <c r="R1367" s="1"/>
  <c r="R1363" s="1"/>
  <c r="R1362" s="1"/>
  <c r="R1360"/>
  <c r="R1359" s="1"/>
  <c r="R1355" s="1"/>
  <c r="R1354" s="1"/>
  <c r="R1352"/>
  <c r="R1351" s="1"/>
  <c r="R1347" s="1"/>
  <c r="R1346" s="1"/>
  <c r="R1344"/>
  <c r="R1343" s="1"/>
  <c r="R1339" s="1"/>
  <c r="R1338" s="1"/>
  <c r="R1334"/>
  <c r="R1333" s="1"/>
  <c r="R1332" s="1"/>
  <c r="R1331" s="1"/>
  <c r="R1330" s="1"/>
  <c r="R1326"/>
  <c r="R1325" s="1"/>
  <c r="R1324" s="1"/>
  <c r="R1319" s="1"/>
  <c r="R1315"/>
  <c r="R1314" s="1"/>
  <c r="R1313" s="1"/>
  <c r="R1311"/>
  <c r="R1310" s="1"/>
  <c r="R1309" s="1"/>
  <c r="R1307"/>
  <c r="R1305"/>
  <c r="R1304" s="1"/>
  <c r="R1301"/>
  <c r="R1300" s="1"/>
  <c r="R1299" s="1"/>
  <c r="R1286"/>
  <c r="R1285" s="1"/>
  <c r="R1283"/>
  <c r="R1277"/>
  <c r="R1276" s="1"/>
  <c r="R1275" s="1"/>
  <c r="R1274" s="1"/>
  <c r="R1271"/>
  <c r="R1270" s="1"/>
  <c r="R1269" s="1"/>
  <c r="R1268" s="1"/>
  <c r="R1266"/>
  <c r="R1265" s="1"/>
  <c r="R1264" s="1"/>
  <c r="R1263" s="1"/>
  <c r="R1254"/>
  <c r="R1253" s="1"/>
  <c r="R1252" s="1"/>
  <c r="R1235"/>
  <c r="R1234" s="1"/>
  <c r="R1233" s="1"/>
  <c r="R1228"/>
  <c r="R1226"/>
  <c r="R1222"/>
  <c r="R1220"/>
  <c r="R1215"/>
  <c r="R1213"/>
  <c r="R1207"/>
  <c r="R1206" s="1"/>
  <c r="R1205" s="1"/>
  <c r="R1204" s="1"/>
  <c r="R1202"/>
  <c r="R1200"/>
  <c r="R1192"/>
  <c r="R1191" s="1"/>
  <c r="R1190" s="1"/>
  <c r="R1188"/>
  <c r="R1187" s="1"/>
  <c r="R1185"/>
  <c r="R1184" s="1"/>
  <c r="R1182"/>
  <c r="R1171"/>
  <c r="R1169"/>
  <c r="R1153"/>
  <c r="R1151"/>
  <c r="R1147"/>
  <c r="R1146" s="1"/>
  <c r="R1145" s="1"/>
  <c r="R1141"/>
  <c r="R1140" s="1"/>
  <c r="R1139" s="1"/>
  <c r="R1137"/>
  <c r="R1136" s="1"/>
  <c r="R1135" s="1"/>
  <c r="R1133"/>
  <c r="R1132" s="1"/>
  <c r="R1129"/>
  <c r="R1128" s="1"/>
  <c r="R1127" s="1"/>
  <c r="R1124"/>
  <c r="R1123" s="1"/>
  <c r="R1122" s="1"/>
  <c r="R1121" s="1"/>
  <c r="R1119"/>
  <c r="R1118" s="1"/>
  <c r="R1117" s="1"/>
  <c r="R1115"/>
  <c r="R1114" s="1"/>
  <c r="R1113" s="1"/>
  <c r="R1111"/>
  <c r="R1110" s="1"/>
  <c r="R1109" s="1"/>
  <c r="R1106"/>
  <c r="R1104"/>
  <c r="R1100"/>
  <c r="R1099" s="1"/>
  <c r="R1098" s="1"/>
  <c r="R1095"/>
  <c r="R1094" s="1"/>
  <c r="R1093" s="1"/>
  <c r="R1091"/>
  <c r="R1090" s="1"/>
  <c r="R1089" s="1"/>
  <c r="R1086"/>
  <c r="R1085" s="1"/>
  <c r="R1084" s="1"/>
  <c r="R1082"/>
  <c r="R1081" s="1"/>
  <c r="R1080" s="1"/>
  <c r="R1073"/>
  <c r="R1072" s="1"/>
  <c r="R1071" s="1"/>
  <c r="R1069"/>
  <c r="R1068" s="1"/>
  <c r="R1067" s="1"/>
  <c r="R1064"/>
  <c r="R1063" s="1"/>
  <c r="R1062" s="1"/>
  <c r="R1061" s="1"/>
  <c r="R1057"/>
  <c r="R1056" s="1"/>
  <c r="R1055" s="1"/>
  <c r="R1054" s="1"/>
  <c r="R1053" s="1"/>
  <c r="R1051"/>
  <c r="R1050" s="1"/>
  <c r="R1049" s="1"/>
  <c r="R1048" s="1"/>
  <c r="R1046"/>
  <c r="R1045" s="1"/>
  <c r="R1044" s="1"/>
  <c r="R1043" s="1"/>
  <c r="R1037"/>
  <c r="R1035"/>
  <c r="R1026"/>
  <c r="R1025" s="1"/>
  <c r="R1024" s="1"/>
  <c r="R1022"/>
  <c r="R1021" s="1"/>
  <c r="R1020" s="1"/>
  <c r="R1013"/>
  <c r="R1012" s="1"/>
  <c r="R1011" s="1"/>
  <c r="R1009"/>
  <c r="R1008" s="1"/>
  <c r="R1007" s="1"/>
  <c r="R1005"/>
  <c r="R1004" s="1"/>
  <c r="R1003" s="1"/>
  <c r="R1001"/>
  <c r="R1000" s="1"/>
  <c r="R999" s="1"/>
  <c r="R992"/>
  <c r="R991" s="1"/>
  <c r="R990" s="1"/>
  <c r="R988"/>
  <c r="R987" s="1"/>
  <c r="R986" s="1"/>
  <c r="R984"/>
  <c r="R983" s="1"/>
  <c r="R982" s="1"/>
  <c r="R975"/>
  <c r="R974" s="1"/>
  <c r="R972"/>
  <c r="R971" s="1"/>
  <c r="R964"/>
  <c r="R963" s="1"/>
  <c r="R962" s="1"/>
  <c r="R960"/>
  <c r="R959" s="1"/>
  <c r="R958" s="1"/>
  <c r="R945"/>
  <c r="R944" s="1"/>
  <c r="R943" s="1"/>
  <c r="R942" s="1"/>
  <c r="R941" s="1"/>
  <c r="R938"/>
  <c r="R937" s="1"/>
  <c r="R936" s="1"/>
  <c r="R935" s="1"/>
  <c r="R934" s="1"/>
  <c r="R928"/>
  <c r="R927" s="1"/>
  <c r="R926" s="1"/>
  <c r="R921" s="1"/>
  <c r="R916"/>
  <c r="R915" s="1"/>
  <c r="R913"/>
  <c r="R906"/>
  <c r="R905" s="1"/>
  <c r="R904" s="1"/>
  <c r="R903" s="1"/>
  <c r="R902" s="1"/>
  <c r="R901" s="1"/>
  <c r="R900" s="1"/>
  <c r="R898"/>
  <c r="R897" s="1"/>
  <c r="R896" s="1"/>
  <c r="R895" s="1"/>
  <c r="R894" s="1"/>
  <c r="R893" s="1"/>
  <c r="R892" s="1"/>
  <c r="R890"/>
  <c r="R889" s="1"/>
  <c r="R888" s="1"/>
  <c r="R887" s="1"/>
  <c r="R886" s="1"/>
  <c r="R885" s="1"/>
  <c r="R884" s="1"/>
  <c r="R882"/>
  <c r="R881" s="1"/>
  <c r="R880" s="1"/>
  <c r="R879" s="1"/>
  <c r="R878" s="1"/>
  <c r="R877" s="1"/>
  <c r="O25" i="1" s="1"/>
  <c r="R875" i="5"/>
  <c r="R874" s="1"/>
  <c r="R872"/>
  <c r="R871" s="1"/>
  <c r="R869"/>
  <c r="R868" s="1"/>
  <c r="R866"/>
  <c r="R857"/>
  <c r="R856" s="1"/>
  <c r="R852" s="1"/>
  <c r="R851" s="1"/>
  <c r="R849"/>
  <c r="R848" s="1"/>
  <c r="R847" s="1"/>
  <c r="R846" s="1"/>
  <c r="R845" s="1"/>
  <c r="R843"/>
  <c r="R842" s="1"/>
  <c r="R841" s="1"/>
  <c r="R840" s="1"/>
  <c r="R835"/>
  <c r="R834" s="1"/>
  <c r="R833" s="1"/>
  <c r="R832" s="1"/>
  <c r="R830"/>
  <c r="R829" s="1"/>
  <c r="R828" s="1"/>
  <c r="R827" s="1"/>
  <c r="R826" s="1"/>
  <c r="R824"/>
  <c r="R823" s="1"/>
  <c r="R822" s="1"/>
  <c r="R821" s="1"/>
  <c r="R816"/>
  <c r="R815" s="1"/>
  <c r="R813"/>
  <c r="R810"/>
  <c r="R809" s="1"/>
  <c r="R808" s="1"/>
  <c r="R806"/>
  <c r="R803"/>
  <c r="R802" s="1"/>
  <c r="R801" s="1"/>
  <c r="R797"/>
  <c r="R796" s="1"/>
  <c r="R795" s="1"/>
  <c r="R794" s="1"/>
  <c r="R793" s="1"/>
  <c r="R791"/>
  <c r="R790" s="1"/>
  <c r="R787"/>
  <c r="R786" s="1"/>
  <c r="R784"/>
  <c r="R783" s="1"/>
  <c r="R774"/>
  <c r="R772"/>
  <c r="R769"/>
  <c r="R768" s="1"/>
  <c r="R764"/>
  <c r="R763" s="1"/>
  <c r="R762" s="1"/>
  <c r="R760"/>
  <c r="R759" s="1"/>
  <c r="R758" s="1"/>
  <c r="R755"/>
  <c r="R753"/>
  <c r="R750"/>
  <c r="R749" s="1"/>
  <c r="R746"/>
  <c r="R744"/>
  <c r="Q191" i="6" s="1"/>
  <c r="R740" i="5"/>
  <c r="R739" s="1"/>
  <c r="R738" s="1"/>
  <c r="R737" s="1"/>
  <c r="R735"/>
  <c r="R733"/>
  <c r="R728"/>
  <c r="R726"/>
  <c r="R722"/>
  <c r="R721" s="1"/>
  <c r="R720" s="1"/>
  <c r="R717"/>
  <c r="R715"/>
  <c r="R711"/>
  <c r="R710" s="1"/>
  <c r="R709" s="1"/>
  <c r="R705"/>
  <c r="R704" s="1"/>
  <c r="R703" s="1"/>
  <c r="R702" s="1"/>
  <c r="R700"/>
  <c r="R699" s="1"/>
  <c r="R698" s="1"/>
  <c r="R697" s="1"/>
  <c r="R695"/>
  <c r="R694" s="1"/>
  <c r="R693" s="1"/>
  <c r="R683"/>
  <c r="R682" s="1"/>
  <c r="R680"/>
  <c r="R679" s="1"/>
  <c r="R675"/>
  <c r="R674" s="1"/>
  <c r="R673" s="1"/>
  <c r="R672" s="1"/>
  <c r="R670"/>
  <c r="R669" s="1"/>
  <c r="R668" s="1"/>
  <c r="R667" s="1"/>
  <c r="R664"/>
  <c r="R663" s="1"/>
  <c r="R662" s="1"/>
  <c r="R660"/>
  <c r="R659" s="1"/>
  <c r="R658" s="1"/>
  <c r="R640"/>
  <c r="R639" s="1"/>
  <c r="R637"/>
  <c r="R636" s="1"/>
  <c r="R635" s="1"/>
  <c r="R633"/>
  <c r="R631"/>
  <c r="R624"/>
  <c r="R622"/>
  <c r="R616"/>
  <c r="R615" s="1"/>
  <c r="R614" s="1"/>
  <c r="R613" s="1"/>
  <c r="R611"/>
  <c r="R610" s="1"/>
  <c r="R609" s="1"/>
  <c r="R608" s="1"/>
  <c r="R599"/>
  <c r="R597"/>
  <c r="R593"/>
  <c r="R591"/>
  <c r="R583"/>
  <c r="R582" s="1"/>
  <c r="R581" s="1"/>
  <c r="R579"/>
  <c r="R578" s="1"/>
  <c r="R577" s="1"/>
  <c r="R569"/>
  <c r="R568" s="1"/>
  <c r="R566"/>
  <c r="R565" s="1"/>
  <c r="R563"/>
  <c r="R557"/>
  <c r="R556" s="1"/>
  <c r="R555" s="1"/>
  <c r="R553"/>
  <c r="R552" s="1"/>
  <c r="R551" s="1"/>
  <c r="R545"/>
  <c r="R544" s="1"/>
  <c r="R543" s="1"/>
  <c r="R542" s="1"/>
  <c r="R541" s="1"/>
  <c r="R540" s="1"/>
  <c r="R538"/>
  <c r="R537" s="1"/>
  <c r="R536" s="1"/>
  <c r="R535" s="1"/>
  <c r="R534" s="1"/>
  <c r="R533" s="1"/>
  <c r="R532" s="1"/>
  <c r="R530"/>
  <c r="R529" s="1"/>
  <c r="R528" s="1"/>
  <c r="R527" s="1"/>
  <c r="R526" s="1"/>
  <c r="R524"/>
  <c r="R523" s="1"/>
  <c r="R521"/>
  <c r="R520" s="1"/>
  <c r="R518"/>
  <c r="R511"/>
  <c r="R510" s="1"/>
  <c r="R509" s="1"/>
  <c r="R508" s="1"/>
  <c r="R506"/>
  <c r="R504"/>
  <c r="R503" s="1"/>
  <c r="R493"/>
  <c r="R492" s="1"/>
  <c r="R491" s="1"/>
  <c r="R489"/>
  <c r="R488" s="1"/>
  <c r="R487" s="1"/>
  <c r="R483"/>
  <c r="R482" s="1"/>
  <c r="R481" s="1"/>
  <c r="R480" s="1"/>
  <c r="R479" s="1"/>
  <c r="R475"/>
  <c r="R474" s="1"/>
  <c r="R473" s="1"/>
  <c r="R472" s="1"/>
  <c r="R471" s="1"/>
  <c r="R468"/>
  <c r="R465"/>
  <c r="R464" s="1"/>
  <c r="R463" s="1"/>
  <c r="R462" s="1"/>
  <c r="R459"/>
  <c r="R458" s="1"/>
  <c r="R457" s="1"/>
  <c r="R456" s="1"/>
  <c r="R454"/>
  <c r="R453" s="1"/>
  <c r="R452" s="1"/>
  <c r="R450"/>
  <c r="R449" s="1"/>
  <c r="R446"/>
  <c r="R445" s="1"/>
  <c r="R443"/>
  <c r="R428"/>
  <c r="R427" s="1"/>
  <c r="R426" s="1"/>
  <c r="R425" s="1"/>
  <c r="R424" s="1"/>
  <c r="R421"/>
  <c r="R420" s="1"/>
  <c r="R419" s="1"/>
  <c r="R418" s="1"/>
  <c r="R417" s="1"/>
  <c r="R416" s="1"/>
  <c r="R415" s="1"/>
  <c r="R412"/>
  <c r="R411" s="1"/>
  <c r="R409"/>
  <c r="R408" s="1"/>
  <c r="R405"/>
  <c r="R404" s="1"/>
  <c r="R402"/>
  <c r="R401" s="1"/>
  <c r="R399"/>
  <c r="R390"/>
  <c r="R389" s="1"/>
  <c r="R388" s="1"/>
  <c r="R385"/>
  <c r="R384" s="1"/>
  <c r="R382"/>
  <c r="R381" s="1"/>
  <c r="R379"/>
  <c r="R375"/>
  <c r="R374" s="1"/>
  <c r="R373" s="1"/>
  <c r="R372" s="1"/>
  <c r="R371" s="1"/>
  <c r="R367"/>
  <c r="R366" s="1"/>
  <c r="R365" s="1"/>
  <c r="R364" s="1"/>
  <c r="R362"/>
  <c r="R361" s="1"/>
  <c r="R360" s="1"/>
  <c r="R359" s="1"/>
  <c r="R349"/>
  <c r="R348" s="1"/>
  <c r="R347" s="1"/>
  <c r="R344"/>
  <c r="R343" s="1"/>
  <c r="R342" s="1"/>
  <c r="R338"/>
  <c r="R337" s="1"/>
  <c r="R336" s="1"/>
  <c r="R335" s="1"/>
  <c r="R334" s="1"/>
  <c r="O54" i="1" s="1"/>
  <c r="R331" i="5"/>
  <c r="R330" s="1"/>
  <c r="R329" s="1"/>
  <c r="R328" s="1"/>
  <c r="R327" s="1"/>
  <c r="R321"/>
  <c r="R320" s="1"/>
  <c r="R319" s="1"/>
  <c r="R317"/>
  <c r="R316" s="1"/>
  <c r="R315" s="1"/>
  <c r="R312"/>
  <c r="R311" s="1"/>
  <c r="R310" s="1"/>
  <c r="R308"/>
  <c r="R307" s="1"/>
  <c r="R306" s="1"/>
  <c r="R301"/>
  <c r="R300" s="1"/>
  <c r="R299" s="1"/>
  <c r="R298" s="1"/>
  <c r="R296"/>
  <c r="R295" s="1"/>
  <c r="R293"/>
  <c r="R292" s="1"/>
  <c r="R290"/>
  <c r="R289" s="1"/>
  <c r="R283"/>
  <c r="R282" s="1"/>
  <c r="R280"/>
  <c r="R279" s="1"/>
  <c r="R275"/>
  <c r="R274" s="1"/>
  <c r="R273" s="1"/>
  <c r="R271"/>
  <c r="R270" s="1"/>
  <c r="R269" s="1"/>
  <c r="R265"/>
  <c r="R264" s="1"/>
  <c r="R263" s="1"/>
  <c r="R262" s="1"/>
  <c r="R260"/>
  <c r="R259" s="1"/>
  <c r="R258" s="1"/>
  <c r="R257" s="1"/>
  <c r="R253"/>
  <c r="R252" s="1"/>
  <c r="R251" s="1"/>
  <c r="R249"/>
  <c r="R248" s="1"/>
  <c r="R247" s="1"/>
  <c r="R243"/>
  <c r="R242" s="1"/>
  <c r="R241" s="1"/>
  <c r="R240" s="1"/>
  <c r="R238"/>
  <c r="R237" s="1"/>
  <c r="R236" s="1"/>
  <c r="R235" s="1"/>
  <c r="R234" s="1"/>
  <c r="R231"/>
  <c r="R230" s="1"/>
  <c r="R228"/>
  <c r="R227" s="1"/>
  <c r="R225"/>
  <c r="R219"/>
  <c r="R218" s="1"/>
  <c r="R216"/>
  <c r="R215" s="1"/>
  <c r="R213"/>
  <c r="R212" s="1"/>
  <c r="R210"/>
  <c r="R207"/>
  <c r="R206" s="1"/>
  <c r="R204"/>
  <c r="R203" s="1"/>
  <c r="R202" s="1"/>
  <c r="R200"/>
  <c r="R199" s="1"/>
  <c r="R197"/>
  <c r="R196" s="1"/>
  <c r="R194"/>
  <c r="R190"/>
  <c r="R189" s="1"/>
  <c r="R188" s="1"/>
  <c r="R187" s="1"/>
  <c r="R184"/>
  <c r="R183" s="1"/>
  <c r="R182" s="1"/>
  <c r="R180"/>
  <c r="R179" s="1"/>
  <c r="R178" s="1"/>
  <c r="R173"/>
  <c r="R172" s="1"/>
  <c r="R171" s="1"/>
  <c r="R169"/>
  <c r="R168" s="1"/>
  <c r="R167" s="1"/>
  <c r="R162"/>
  <c r="R161" s="1"/>
  <c r="R160" s="1"/>
  <c r="R159" s="1"/>
  <c r="R158" s="1"/>
  <c r="R156"/>
  <c r="R155" s="1"/>
  <c r="R154" s="1"/>
  <c r="R152"/>
  <c r="R151" s="1"/>
  <c r="R150" s="1"/>
  <c r="R148"/>
  <c r="R147" s="1"/>
  <c r="R146" s="1"/>
  <c r="R144"/>
  <c r="R143" s="1"/>
  <c r="R142" s="1"/>
  <c r="R134"/>
  <c r="R133" s="1"/>
  <c r="R132" s="1"/>
  <c r="R131" s="1"/>
  <c r="R129"/>
  <c r="R128" s="1"/>
  <c r="R127" s="1"/>
  <c r="R126" s="1"/>
  <c r="R123"/>
  <c r="R122" s="1"/>
  <c r="R120"/>
  <c r="R119" s="1"/>
  <c r="R117"/>
  <c r="R112"/>
  <c r="R111" s="1"/>
  <c r="R110" s="1"/>
  <c r="R109" s="1"/>
  <c r="R107"/>
  <c r="R106" s="1"/>
  <c r="R105" s="1"/>
  <c r="R103"/>
  <c r="R101"/>
  <c r="R98"/>
  <c r="R97" s="1"/>
  <c r="R93"/>
  <c r="R92" s="1"/>
  <c r="R91" s="1"/>
  <c r="R90" s="1"/>
  <c r="R88"/>
  <c r="R87" s="1"/>
  <c r="R85"/>
  <c r="R81"/>
  <c r="R80" s="1"/>
  <c r="R78"/>
  <c r="R77" s="1"/>
  <c r="R75"/>
  <c r="R70"/>
  <c r="R69" s="1"/>
  <c r="R68" s="1"/>
  <c r="R67" s="1"/>
  <c r="R66" s="1"/>
  <c r="R65" s="1"/>
  <c r="O23" i="1" s="1"/>
  <c r="R63" i="5"/>
  <c r="R62" s="1"/>
  <c r="R54"/>
  <c r="R53" s="1"/>
  <c r="R52" s="1"/>
  <c r="R49"/>
  <c r="R47"/>
  <c r="R46" s="1"/>
  <c r="R44"/>
  <c r="R41"/>
  <c r="R40" s="1"/>
  <c r="R38"/>
  <c r="R37" s="1"/>
  <c r="R35"/>
  <c r="R28"/>
  <c r="R27" s="1"/>
  <c r="R26" s="1"/>
  <c r="R25" s="1"/>
  <c r="R24" s="1"/>
  <c r="R23" s="1"/>
  <c r="O20" i="1" s="1"/>
  <c r="O936" i="6"/>
  <c r="O935" s="1"/>
  <c r="A934"/>
  <c r="A936"/>
  <c r="A935"/>
  <c r="T964" l="1"/>
  <c r="R963"/>
  <c r="T963" s="1"/>
  <c r="R1066" i="5"/>
  <c r="Q954" i="6"/>
  <c r="Q947" s="1"/>
  <c r="Q1058"/>
  <c r="R981" i="5"/>
  <c r="Q258" i="6"/>
  <c r="R998" i="5"/>
  <c r="R1019"/>
  <c r="R346"/>
  <c r="R341" s="1"/>
  <c r="R340" s="1"/>
  <c r="Q301" i="6"/>
  <c r="R820" i="5"/>
  <c r="R1337"/>
  <c r="R1329" s="1"/>
  <c r="R486"/>
  <c r="R485" s="1"/>
  <c r="R478" s="1"/>
  <c r="O36" i="1" s="1"/>
  <c r="R1642" i="5"/>
  <c r="R1641" s="1"/>
  <c r="Q1104" i="6"/>
  <c r="Q1103" s="1"/>
  <c r="Q1102" s="1"/>
  <c r="R1518" i="5"/>
  <c r="R1517" s="1"/>
  <c r="R1516" s="1"/>
  <c r="R1232"/>
  <c r="R920"/>
  <c r="R919" s="1"/>
  <c r="R278"/>
  <c r="Q575" i="6"/>
  <c r="R1318" i="5"/>
  <c r="O55" i="1" s="1"/>
  <c r="R596" i="5"/>
  <c r="R595" s="1"/>
  <c r="R666"/>
  <c r="R771"/>
  <c r="R767" s="1"/>
  <c r="R1131"/>
  <c r="R1126" s="1"/>
  <c r="R1471"/>
  <c r="R1583"/>
  <c r="R1582" s="1"/>
  <c r="R1581" s="1"/>
  <c r="R1580" s="1"/>
  <c r="R1704"/>
  <c r="R1703" s="1"/>
  <c r="R1702" s="1"/>
  <c r="R1701" s="1"/>
  <c r="R1700" s="1"/>
  <c r="R1699" s="1"/>
  <c r="R1698" s="1"/>
  <c r="Q689" i="6"/>
  <c r="Q1288"/>
  <c r="Q1287" s="1"/>
  <c r="Q1286" s="1"/>
  <c r="Q1321"/>
  <c r="Q1320" s="1"/>
  <c r="Q1319" s="1"/>
  <c r="Q1318" s="1"/>
  <c r="Q1680"/>
  <c r="Q1679" s="1"/>
  <c r="Q1678" s="1"/>
  <c r="Q1767"/>
  <c r="Q1766" s="1"/>
  <c r="Q1758" s="1"/>
  <c r="R43" i="5"/>
  <c r="R398"/>
  <c r="R397" s="1"/>
  <c r="R396" s="1"/>
  <c r="R395" s="1"/>
  <c r="R394" s="1"/>
  <c r="R393" s="1"/>
  <c r="R392" s="1"/>
  <c r="R590"/>
  <c r="R589" s="1"/>
  <c r="Q1295" i="6"/>
  <c r="Q1294" s="1"/>
  <c r="Q1293" s="1"/>
  <c r="R100" i="5"/>
  <c r="R96" s="1"/>
  <c r="R95" s="1"/>
  <c r="R819"/>
  <c r="R1212"/>
  <c r="R1211" s="1"/>
  <c r="R1210" s="1"/>
  <c r="Q409" i="6"/>
  <c r="Q528"/>
  <c r="Q527" s="1"/>
  <c r="Q521" s="1"/>
  <c r="Q520" s="1"/>
  <c r="Q519" s="1"/>
  <c r="Q633"/>
  <c r="Q629" s="1"/>
  <c r="Q628" s="1"/>
  <c r="Q627" s="1"/>
  <c r="Q1000"/>
  <c r="Q1455"/>
  <c r="Q1454" s="1"/>
  <c r="Q1448" s="1"/>
  <c r="Q1447" s="1"/>
  <c r="Q1446" s="1"/>
  <c r="Q1479"/>
  <c r="Q1478" s="1"/>
  <c r="Q1472" s="1"/>
  <c r="Q1465" s="1"/>
  <c r="Q1464" s="1"/>
  <c r="R1181" i="5"/>
  <c r="R1180" s="1"/>
  <c r="R1179" s="1"/>
  <c r="R1178" s="1"/>
  <c r="R725"/>
  <c r="R724" s="1"/>
  <c r="R743"/>
  <c r="R742" s="1"/>
  <c r="R752"/>
  <c r="R748" s="1"/>
  <c r="R1088"/>
  <c r="R1199"/>
  <c r="R1198" s="1"/>
  <c r="R1197" s="1"/>
  <c r="R1196" s="1"/>
  <c r="R1262"/>
  <c r="O61" i="1" s="1"/>
  <c r="R1477" i="5"/>
  <c r="Q920" i="6"/>
  <c r="Q919" s="1"/>
  <c r="Q918" s="1"/>
  <c r="Q925"/>
  <c r="Q924" s="1"/>
  <c r="Q923" s="1"/>
  <c r="Q1029"/>
  <c r="Q1028" s="1"/>
  <c r="Q1025" s="1"/>
  <c r="Q1024" s="1"/>
  <c r="Q1023" s="1"/>
  <c r="Q1035"/>
  <c r="Q1381"/>
  <c r="Q1380" s="1"/>
  <c r="Q1374" s="1"/>
  <c r="Q1373" s="1"/>
  <c r="Q1372" s="1"/>
  <c r="Q1365" s="1"/>
  <c r="Q1529"/>
  <c r="Q1528" s="1"/>
  <c r="Q1522" s="1"/>
  <c r="R84" i="5"/>
  <c r="R116"/>
  <c r="R115" s="1"/>
  <c r="R114" s="1"/>
  <c r="R630"/>
  <c r="R629" s="1"/>
  <c r="Q1384" i="6"/>
  <c r="O66" i="1"/>
  <c r="O65" s="1"/>
  <c r="R732" i="5"/>
  <c r="R731" s="1"/>
  <c r="R730" s="1"/>
  <c r="R1408"/>
  <c r="O52" i="1"/>
  <c r="O51" s="1"/>
  <c r="Q503" i="6"/>
  <c r="Q502" s="1"/>
  <c r="Q501" s="1"/>
  <c r="Q35"/>
  <c r="Q32" s="1"/>
  <c r="Q31" s="1"/>
  <c r="Q26" s="1"/>
  <c r="Q25" s="1"/>
  <c r="Q351"/>
  <c r="Q344" s="1"/>
  <c r="Q470"/>
  <c r="Q469" s="1"/>
  <c r="Q468" s="1"/>
  <c r="Q467" s="1"/>
  <c r="Q478"/>
  <c r="Q477" s="1"/>
  <c r="Q476" s="1"/>
  <c r="Q475" s="1"/>
  <c r="Q510"/>
  <c r="Q509" s="1"/>
  <c r="Q508" s="1"/>
  <c r="Q591"/>
  <c r="Q700"/>
  <c r="Q738"/>
  <c r="Q737" s="1"/>
  <c r="Q736" s="1"/>
  <c r="Q735" s="1"/>
  <c r="Q734" s="1"/>
  <c r="Q727" s="1"/>
  <c r="Q988"/>
  <c r="Q1361"/>
  <c r="Q1360" s="1"/>
  <c r="Q1351" s="1"/>
  <c r="Q1350" s="1"/>
  <c r="Q1349" s="1"/>
  <c r="Q1407"/>
  <c r="Q1406" s="1"/>
  <c r="Q1405" s="1"/>
  <c r="Q1404" s="1"/>
  <c r="Q1403" s="1"/>
  <c r="Q1396" s="1"/>
  <c r="Q1599"/>
  <c r="Q1598" s="1"/>
  <c r="Q1606"/>
  <c r="Q1605" s="1"/>
  <c r="Q1729"/>
  <c r="Q607"/>
  <c r="Q56"/>
  <c r="Q55" s="1"/>
  <c r="Q54" s="1"/>
  <c r="Q53" s="1"/>
  <c r="Q201"/>
  <c r="Q197" s="1"/>
  <c r="Q196" s="1"/>
  <c r="Q195" s="1"/>
  <c r="Q398"/>
  <c r="Q397" s="1"/>
  <c r="Q396" s="1"/>
  <c r="Q395" s="1"/>
  <c r="Q654"/>
  <c r="Q650" s="1"/>
  <c r="Q649" s="1"/>
  <c r="Q643" s="1"/>
  <c r="Q864"/>
  <c r="Q863" s="1"/>
  <c r="Q862" s="1"/>
  <c r="Q1270"/>
  <c r="Q1266" s="1"/>
  <c r="Q1265" s="1"/>
  <c r="Q1259" s="1"/>
  <c r="Q1532"/>
  <c r="Q47"/>
  <c r="Q46" s="1"/>
  <c r="Q45" s="1"/>
  <c r="Q44" s="1"/>
  <c r="Q64"/>
  <c r="Q63" s="1"/>
  <c r="Q62" s="1"/>
  <c r="Q61" s="1"/>
  <c r="Q79"/>
  <c r="Q78" s="1"/>
  <c r="Q77" s="1"/>
  <c r="Q76" s="1"/>
  <c r="Q93"/>
  <c r="Q92" s="1"/>
  <c r="Q91" s="1"/>
  <c r="Q90" s="1"/>
  <c r="Q125"/>
  <c r="Q124" s="1"/>
  <c r="Q161"/>
  <c r="Q209"/>
  <c r="Q208" s="1"/>
  <c r="Q223"/>
  <c r="Q222" s="1"/>
  <c r="Q221" s="1"/>
  <c r="Q220" s="1"/>
  <c r="Q390"/>
  <c r="Q389" s="1"/>
  <c r="Q388" s="1"/>
  <c r="Q387" s="1"/>
  <c r="Q546"/>
  <c r="Q539" s="1"/>
  <c r="Q853"/>
  <c r="Q852" s="1"/>
  <c r="Q848" s="1"/>
  <c r="Q847" s="1"/>
  <c r="Q846" s="1"/>
  <c r="Q898"/>
  <c r="Q897" s="1"/>
  <c r="Q896" s="1"/>
  <c r="Q912"/>
  <c r="Q908" s="1"/>
  <c r="Q907" s="1"/>
  <c r="Q1017"/>
  <c r="Q1016" s="1"/>
  <c r="Q1015" s="1"/>
  <c r="Q1236"/>
  <c r="Q1235" s="1"/>
  <c r="Q1229" s="1"/>
  <c r="Q1228" s="1"/>
  <c r="Q1227" s="1"/>
  <c r="Q1558"/>
  <c r="Q1557" s="1"/>
  <c r="Q1551" s="1"/>
  <c r="Q1550" s="1"/>
  <c r="Q99"/>
  <c r="Q98" s="1"/>
  <c r="Q97" s="1"/>
  <c r="Q96" s="1"/>
  <c r="Q152"/>
  <c r="Q151" s="1"/>
  <c r="Q150" s="1"/>
  <c r="Q239"/>
  <c r="Q238" s="1"/>
  <c r="Q237" s="1"/>
  <c r="Q236" s="1"/>
  <c r="Q495"/>
  <c r="Q491" s="1"/>
  <c r="Q490" s="1"/>
  <c r="Q489" s="1"/>
  <c r="Q190"/>
  <c r="Q189" s="1"/>
  <c r="Q188" s="1"/>
  <c r="Q187" s="1"/>
  <c r="Q130"/>
  <c r="Q675"/>
  <c r="Q669" s="1"/>
  <c r="Q716"/>
  <c r="Q744"/>
  <c r="Q743" s="1"/>
  <c r="Q742" s="1"/>
  <c r="Q741" s="1"/>
  <c r="Q1078"/>
  <c r="Q1077" s="1"/>
  <c r="Q1423"/>
  <c r="Q1541"/>
  <c r="Q1572"/>
  <c r="Q1571" s="1"/>
  <c r="Q1582"/>
  <c r="Q1581" s="1"/>
  <c r="Q1666"/>
  <c r="Q1665" s="1"/>
  <c r="Q1664" s="1"/>
  <c r="Q1693"/>
  <c r="Q1712"/>
  <c r="Q1711" s="1"/>
  <c r="Q1710" s="1"/>
  <c r="Q1734"/>
  <c r="Q1733" s="1"/>
  <c r="Q1732" s="1"/>
  <c r="Q1775"/>
  <c r="Q1774" s="1"/>
  <c r="Q1773" s="1"/>
  <c r="Q533"/>
  <c r="Q532" s="1"/>
  <c r="Q531" s="1"/>
  <c r="Q1742"/>
  <c r="Q1741" s="1"/>
  <c r="Q1740" s="1"/>
  <c r="Q928"/>
  <c r="Q1213"/>
  <c r="Q1197" s="1"/>
  <c r="Q1589"/>
  <c r="Q1588" s="1"/>
  <c r="Q1622"/>
  <c r="Q1702"/>
  <c r="Q1562"/>
  <c r="Q1561" s="1"/>
  <c r="R957" i="5"/>
  <c r="R956" s="1"/>
  <c r="R940" s="1"/>
  <c r="R1453"/>
  <c r="R193"/>
  <c r="Q1337" i="6" s="1"/>
  <c r="Q1336" s="1"/>
  <c r="Q1335" s="1"/>
  <c r="Q1329" s="1"/>
  <c r="Q1328" s="1"/>
  <c r="Q1327" s="1"/>
  <c r="R865" i="5"/>
  <c r="R864" s="1"/>
  <c r="R863" s="1"/>
  <c r="R862" s="1"/>
  <c r="R861" s="1"/>
  <c r="R1447"/>
  <c r="R1446" s="1"/>
  <c r="R1459"/>
  <c r="R1282"/>
  <c r="R1281" s="1"/>
  <c r="R1280" s="1"/>
  <c r="R1279" s="1"/>
  <c r="R1273" s="1"/>
  <c r="R34"/>
  <c r="R33" s="1"/>
  <c r="R74"/>
  <c r="R442"/>
  <c r="R441" s="1"/>
  <c r="R440" s="1"/>
  <c r="R430" s="1"/>
  <c r="R714"/>
  <c r="R713" s="1"/>
  <c r="R1079"/>
  <c r="R1103"/>
  <c r="R1102" s="1"/>
  <c r="R1097" s="1"/>
  <c r="R1168"/>
  <c r="R1167" s="1"/>
  <c r="R1225"/>
  <c r="R1224" s="1"/>
  <c r="R305"/>
  <c r="R621"/>
  <c r="R620" s="1"/>
  <c r="R619" s="1"/>
  <c r="R618" s="1"/>
  <c r="R644"/>
  <c r="R643" s="1"/>
  <c r="R1034"/>
  <c r="R1033" s="1"/>
  <c r="R1032" s="1"/>
  <c r="R1150"/>
  <c r="R1149" s="1"/>
  <c r="R1219"/>
  <c r="R1218" s="1"/>
  <c r="R970"/>
  <c r="R969" s="1"/>
  <c r="R1303"/>
  <c r="R1298" s="1"/>
  <c r="R1297" s="1"/>
  <c r="R1296" s="1"/>
  <c r="R1604"/>
  <c r="R1603" s="1"/>
  <c r="R1602" s="1"/>
  <c r="R1595" s="1"/>
  <c r="R1633"/>
  <c r="R1628" s="1"/>
  <c r="R1627" s="1"/>
  <c r="R1422"/>
  <c r="R1421" s="1"/>
  <c r="R562"/>
  <c r="R561" s="1"/>
  <c r="R560" s="1"/>
  <c r="R559" s="1"/>
  <c r="R502"/>
  <c r="R501" s="1"/>
  <c r="R500" s="1"/>
  <c r="R499" s="1"/>
  <c r="O38" i="1" s="1"/>
  <c r="R378" i="5"/>
  <c r="R377" s="1"/>
  <c r="R370" s="1"/>
  <c r="R517"/>
  <c r="R516"/>
  <c r="R515" s="1"/>
  <c r="R514" s="1"/>
  <c r="R513" s="1"/>
  <c r="O39" i="1" s="1"/>
  <c r="R757" i="5"/>
  <c r="R141"/>
  <c r="R166"/>
  <c r="R165" s="1"/>
  <c r="R164" s="1"/>
  <c r="R246"/>
  <c r="R314"/>
  <c r="R607"/>
  <c r="R678"/>
  <c r="R677" s="1"/>
  <c r="R692"/>
  <c r="R691" s="1"/>
  <c r="R912"/>
  <c r="R911" s="1"/>
  <c r="R910" s="1"/>
  <c r="R909" s="1"/>
  <c r="R1505"/>
  <c r="O31" i="1" s="1"/>
  <c r="R1685" i="5"/>
  <c r="R1684" s="1"/>
  <c r="R177"/>
  <c r="R209"/>
  <c r="R224"/>
  <c r="R223" s="1"/>
  <c r="R222" s="1"/>
  <c r="R256"/>
  <c r="R268"/>
  <c r="R267" s="1"/>
  <c r="R461"/>
  <c r="R550"/>
  <c r="R576"/>
  <c r="R575" s="1"/>
  <c r="R574" s="1"/>
  <c r="O30" i="1" s="1"/>
  <c r="R657" i="5"/>
  <c r="R782"/>
  <c r="R781" s="1"/>
  <c r="R780" s="1"/>
  <c r="R812"/>
  <c r="R800" s="1"/>
  <c r="R799" s="1"/>
  <c r="R1108"/>
  <c r="R1486"/>
  <c r="R1485" s="1"/>
  <c r="R1484" s="1"/>
  <c r="R1566"/>
  <c r="R1557" s="1"/>
  <c r="R839"/>
  <c r="R838" s="1"/>
  <c r="O57" i="1" s="1"/>
  <c r="R1718" i="5"/>
  <c r="R1717" s="1"/>
  <c r="R1716" s="1"/>
  <c r="R1715" s="1"/>
  <c r="O41" i="1" s="1"/>
  <c r="R1733" i="5"/>
  <c r="R1732" s="1"/>
  <c r="R1731" s="1"/>
  <c r="R1730" s="1"/>
  <c r="R1724" s="1"/>
  <c r="O42" i="1" s="1"/>
  <c r="R288" i="5"/>
  <c r="P936" i="6"/>
  <c r="R936" s="1"/>
  <c r="T936" s="1"/>
  <c r="O934"/>
  <c r="P934" s="1"/>
  <c r="R934" s="1"/>
  <c r="T934" s="1"/>
  <c r="P935"/>
  <c r="R935" s="1"/>
  <c r="T935" s="1"/>
  <c r="Q1430" i="5"/>
  <c r="S1430" s="1"/>
  <c r="U1430" s="1"/>
  <c r="P1429"/>
  <c r="Q1429" s="1"/>
  <c r="S1429" s="1"/>
  <c r="U1429" s="1"/>
  <c r="A1430"/>
  <c r="A1428"/>
  <c r="A1429"/>
  <c r="Q380" i="6" l="1"/>
  <c r="Q235" s="1"/>
  <c r="R968" i="5"/>
  <c r="R967" s="1"/>
  <c r="O49" i="1" s="1"/>
  <c r="Q1416" i="6"/>
  <c r="Q1101"/>
  <c r="Q1364"/>
  <c r="Q1726"/>
  <c r="Q1720" s="1"/>
  <c r="Q1719" s="1"/>
  <c r="Q1718" s="1"/>
  <c r="R588" i="5"/>
  <c r="R245"/>
  <c r="R32"/>
  <c r="R31" s="1"/>
  <c r="R30" s="1"/>
  <c r="O22" i="1" s="1"/>
  <c r="O32"/>
  <c r="R918" i="5"/>
  <c r="R1640"/>
  <c r="R1620" s="1"/>
  <c r="Q113" i="6"/>
  <c r="R1231" i="5"/>
  <c r="O60" i="1" s="1"/>
  <c r="Q1285" i="6"/>
  <c r="Q1258" s="1"/>
  <c r="R1144" i="5"/>
  <c r="R1143" s="1"/>
  <c r="O21" i="1"/>
  <c r="R1546" i="5"/>
  <c r="R1504" s="1"/>
  <c r="Q500" i="6"/>
  <c r="Q460" s="1"/>
  <c r="Q1672"/>
  <c r="Q917"/>
  <c r="Q906" s="1"/>
  <c r="Q759" s="1"/>
  <c r="O62" i="1"/>
  <c r="R628" i="5"/>
  <c r="R627" s="1"/>
  <c r="R626" s="1"/>
  <c r="O45" i="1" s="1"/>
  <c r="R73" i="5"/>
  <c r="R72" s="1"/>
  <c r="R1445"/>
  <c r="R1444" s="1"/>
  <c r="R1407" s="1"/>
  <c r="O58" i="1" s="1"/>
  <c r="Q518" i="6"/>
  <c r="R708" i="5"/>
  <c r="R707" s="1"/>
  <c r="R818"/>
  <c r="R192"/>
  <c r="R186" s="1"/>
  <c r="R176" s="1"/>
  <c r="Q1014" i="6"/>
  <c r="Q1013" s="1"/>
  <c r="R573" i="5"/>
  <c r="O37" i="1"/>
  <c r="O35" s="1"/>
  <c r="O40"/>
  <c r="R369" i="5"/>
  <c r="O64" i="1"/>
  <c r="O63" s="1"/>
  <c r="R860" i="5"/>
  <c r="R859" s="1"/>
  <c r="O24" i="1"/>
  <c r="R277" i="5"/>
  <c r="Q1326" i="6"/>
  <c r="Q207"/>
  <c r="Q206" s="1"/>
  <c r="Q52"/>
  <c r="Q1521"/>
  <c r="Q626"/>
  <c r="Q149"/>
  <c r="R333" i="5"/>
  <c r="O56" i="1"/>
  <c r="R1217" i="5"/>
  <c r="R1209" s="1"/>
  <c r="R1195" s="1"/>
  <c r="R1060"/>
  <c r="R423"/>
  <c r="R304"/>
  <c r="R549"/>
  <c r="R548" s="1"/>
  <c r="R547" s="1"/>
  <c r="R1714"/>
  <c r="R1713" s="1"/>
  <c r="R477"/>
  <c r="P1428"/>
  <c r="Q1428" s="1"/>
  <c r="S1428" s="1"/>
  <c r="U1428" s="1"/>
  <c r="O1559" i="6"/>
  <c r="P1559" s="1"/>
  <c r="R1559" s="1"/>
  <c r="T1559" s="1"/>
  <c r="A1559"/>
  <c r="Q112" l="1"/>
  <c r="Q75" s="1"/>
  <c r="Q18" s="1"/>
  <c r="Q1520"/>
  <c r="Q1514" s="1"/>
  <c r="Q1513" s="1"/>
  <c r="Q1512" s="1"/>
  <c r="R233" i="5"/>
  <c r="R587"/>
  <c r="R586" s="1"/>
  <c r="O44" i="1" s="1"/>
  <c r="R1059" i="5"/>
  <c r="O50" i="1" s="1"/>
  <c r="R1230" i="5"/>
  <c r="R1194" s="1"/>
  <c r="O59" i="1"/>
  <c r="R1483" i="5"/>
  <c r="O53" i="1"/>
  <c r="Q1257" i="6"/>
  <c r="O33" i="1"/>
  <c r="O47"/>
  <c r="R175" i="5"/>
  <c r="O28" i="1"/>
  <c r="O27" s="1"/>
  <c r="R22" i="5"/>
  <c r="O26" i="1"/>
  <c r="O19" s="1"/>
  <c r="R303" i="5"/>
  <c r="O46" i="1"/>
  <c r="R1317" i="5"/>
  <c r="R1288" s="1"/>
  <c r="O34" i="1"/>
  <c r="R414" i="5"/>
  <c r="O999" i="6"/>
  <c r="P999" s="1"/>
  <c r="R999" s="1"/>
  <c r="T999" s="1"/>
  <c r="A995"/>
  <c r="A996"/>
  <c r="A999"/>
  <c r="A998"/>
  <c r="Q1812" l="1"/>
  <c r="R21" i="5"/>
  <c r="R585"/>
  <c r="R572" s="1"/>
  <c r="O48" i="1"/>
  <c r="R966" i="5"/>
  <c r="R908" s="1"/>
  <c r="O43" i="1"/>
  <c r="O29"/>
  <c r="O998" i="6"/>
  <c r="Q244" i="5"/>
  <c r="S244" s="1"/>
  <c r="U244" s="1"/>
  <c r="P243"/>
  <c r="Q243" s="1"/>
  <c r="S243" s="1"/>
  <c r="U243" s="1"/>
  <c r="A244"/>
  <c r="A243"/>
  <c r="A241"/>
  <c r="A570"/>
  <c r="A242"/>
  <c r="R1742" l="1"/>
  <c r="O67" i="1"/>
  <c r="P242" i="5"/>
  <c r="Q242" s="1"/>
  <c r="S242" s="1"/>
  <c r="U242" s="1"/>
  <c r="O997" i="6"/>
  <c r="P998"/>
  <c r="R998" s="1"/>
  <c r="T998" s="1"/>
  <c r="Q570" i="5"/>
  <c r="S570" s="1"/>
  <c r="U570" s="1"/>
  <c r="P569"/>
  <c r="P568" s="1"/>
  <c r="P387"/>
  <c r="O1457" i="6" s="1"/>
  <c r="P383" i="5"/>
  <c r="P382" s="1"/>
  <c r="P381" s="1"/>
  <c r="P1740"/>
  <c r="P1739" s="1"/>
  <c r="P1737"/>
  <c r="P1736" s="1"/>
  <c r="P1734"/>
  <c r="P1728"/>
  <c r="P1727" s="1"/>
  <c r="P1726" s="1"/>
  <c r="P1725" s="1"/>
  <c r="P1722"/>
  <c r="P1721" s="1"/>
  <c r="P1719"/>
  <c r="P1711"/>
  <c r="P1710" s="1"/>
  <c r="P1708"/>
  <c r="P1707" s="1"/>
  <c r="P1705"/>
  <c r="P1696"/>
  <c r="P1695" s="1"/>
  <c r="P1694" s="1"/>
  <c r="P1693" s="1"/>
  <c r="P1692" s="1"/>
  <c r="P1690"/>
  <c r="P1689" s="1"/>
  <c r="P1688" s="1"/>
  <c r="P1687" s="1"/>
  <c r="P1686" s="1"/>
  <c r="P1676"/>
  <c r="P1675" s="1"/>
  <c r="P1674" s="1"/>
  <c r="P1673" s="1"/>
  <c r="P1672" s="1"/>
  <c r="P1671" s="1"/>
  <c r="P1665"/>
  <c r="P1664" s="1"/>
  <c r="P1663" s="1"/>
  <c r="P1657"/>
  <c r="P1656" s="1"/>
  <c r="P1655" s="1"/>
  <c r="P1653"/>
  <c r="P1652" s="1"/>
  <c r="P1651" s="1"/>
  <c r="P1649"/>
  <c r="P1648" s="1"/>
  <c r="P1647" s="1"/>
  <c r="P1645"/>
  <c r="P1644" s="1"/>
  <c r="P1643" s="1"/>
  <c r="P1638"/>
  <c r="P1637" s="1"/>
  <c r="P1635"/>
  <c r="P1634" s="1"/>
  <c r="P1631"/>
  <c r="P1630" s="1"/>
  <c r="P1629" s="1"/>
  <c r="P1625"/>
  <c r="P1624" s="1"/>
  <c r="P1623" s="1"/>
  <c r="P1622" s="1"/>
  <c r="P1621" s="1"/>
  <c r="P1618"/>
  <c r="P1617" s="1"/>
  <c r="P1616" s="1"/>
  <c r="P1615" s="1"/>
  <c r="P1614" s="1"/>
  <c r="P1613" s="1"/>
  <c r="P1611"/>
  <c r="P1610" s="1"/>
  <c r="P1609" s="1"/>
  <c r="P1607"/>
  <c r="P1606" s="1"/>
  <c r="P1605" s="1"/>
  <c r="P1593"/>
  <c r="P1592" s="1"/>
  <c r="P1590"/>
  <c r="P1589" s="1"/>
  <c r="P1587"/>
  <c r="P1586" s="1"/>
  <c r="P1584"/>
  <c r="P1573"/>
  <c r="P1572" s="1"/>
  <c r="P1570"/>
  <c r="P1569" s="1"/>
  <c r="P1567"/>
  <c r="P1564"/>
  <c r="P1563" s="1"/>
  <c r="P1562" s="1"/>
  <c r="P1555"/>
  <c r="P1554" s="1"/>
  <c r="P1553" s="1"/>
  <c r="P1552" s="1"/>
  <c r="P1550"/>
  <c r="P1549" s="1"/>
  <c r="P1548" s="1"/>
  <c r="P1547" s="1"/>
  <c r="P1544"/>
  <c r="P1543" s="1"/>
  <c r="P1542" s="1"/>
  <c r="P1541" s="1"/>
  <c r="P1540" s="1"/>
  <c r="P1539" s="1"/>
  <c r="P1521"/>
  <c r="P1520" s="1"/>
  <c r="P1519" s="1"/>
  <c r="P1518" s="1"/>
  <c r="P1517" s="1"/>
  <c r="P1516" s="1"/>
  <c r="P1514"/>
  <c r="P1513" s="1"/>
  <c r="P1512" s="1"/>
  <c r="P1511" s="1"/>
  <c r="P1509"/>
  <c r="P1508" s="1"/>
  <c r="P1507" s="1"/>
  <c r="P1506" s="1"/>
  <c r="P1498"/>
  <c r="P1497" s="1"/>
  <c r="P1496" s="1"/>
  <c r="P1495" s="1"/>
  <c r="P1493"/>
  <c r="P1492" s="1"/>
  <c r="P1491" s="1"/>
  <c r="P1489"/>
  <c r="P1488" s="1"/>
  <c r="P1487" s="1"/>
  <c r="P1481"/>
  <c r="P1480" s="1"/>
  <c r="P1478"/>
  <c r="P1475"/>
  <c r="P1474" s="1"/>
  <c r="P1472"/>
  <c r="P1468"/>
  <c r="P1465" s="1"/>
  <c r="P1463"/>
  <c r="P1462" s="1"/>
  <c r="P1460"/>
  <c r="P1457"/>
  <c r="P1456" s="1"/>
  <c r="P1454"/>
  <c r="P1451"/>
  <c r="P1450" s="1"/>
  <c r="P1448"/>
  <c r="P1436"/>
  <c r="P1435" s="1"/>
  <c r="P1431" s="1"/>
  <c r="P1426"/>
  <c r="P1425" s="1"/>
  <c r="P1423"/>
  <c r="P1419"/>
  <c r="P1418" s="1"/>
  <c r="P1417" s="1"/>
  <c r="P1411"/>
  <c r="P1410" s="1"/>
  <c r="P1409" s="1"/>
  <c r="P1404"/>
  <c r="P1403" s="1"/>
  <c r="P1399" s="1"/>
  <c r="P1397"/>
  <c r="P1396" s="1"/>
  <c r="P1392" s="1"/>
  <c r="P1389"/>
  <c r="P1388" s="1"/>
  <c r="P1384" s="1"/>
  <c r="P1373"/>
  <c r="P1372" s="1"/>
  <c r="P1371" s="1"/>
  <c r="P1370" s="1"/>
  <c r="P1368"/>
  <c r="P1367" s="1"/>
  <c r="P1363" s="1"/>
  <c r="P1362" s="1"/>
  <c r="P1360"/>
  <c r="P1359" s="1"/>
  <c r="P1355" s="1"/>
  <c r="P1354" s="1"/>
  <c r="P1352"/>
  <c r="P1351" s="1"/>
  <c r="P1347" s="1"/>
  <c r="P1346" s="1"/>
  <c r="P1344"/>
  <c r="P1343" s="1"/>
  <c r="P1339" s="1"/>
  <c r="P1338" s="1"/>
  <c r="P1334"/>
  <c r="P1333" s="1"/>
  <c r="P1332" s="1"/>
  <c r="P1331" s="1"/>
  <c r="P1330" s="1"/>
  <c r="P1326"/>
  <c r="P1325" s="1"/>
  <c r="P1324" s="1"/>
  <c r="P1319" s="1"/>
  <c r="P1318" s="1"/>
  <c r="M55" i="1" s="1"/>
  <c r="P1315" i="5"/>
  <c r="P1314" s="1"/>
  <c r="P1313" s="1"/>
  <c r="P1311"/>
  <c r="P1310" s="1"/>
  <c r="P1309" s="1"/>
  <c r="P1307"/>
  <c r="P1305"/>
  <c r="P1304" s="1"/>
  <c r="P1301"/>
  <c r="P1300" s="1"/>
  <c r="P1299" s="1"/>
  <c r="P1286"/>
  <c r="P1285" s="1"/>
  <c r="P1283"/>
  <c r="P1277"/>
  <c r="P1276" s="1"/>
  <c r="P1275" s="1"/>
  <c r="P1274" s="1"/>
  <c r="P1271"/>
  <c r="P1270" s="1"/>
  <c r="P1269" s="1"/>
  <c r="P1268" s="1"/>
  <c r="P1266"/>
  <c r="P1265" s="1"/>
  <c r="P1264" s="1"/>
  <c r="P1263" s="1"/>
  <c r="P1254"/>
  <c r="P1253" s="1"/>
  <c r="P1252" s="1"/>
  <c r="P1250"/>
  <c r="P1248"/>
  <c r="P1245"/>
  <c r="P1244" s="1"/>
  <c r="P1241"/>
  <c r="P1239"/>
  <c r="P1235"/>
  <c r="P1234" s="1"/>
  <c r="P1233" s="1"/>
  <c r="P1228"/>
  <c r="P1226"/>
  <c r="P1222"/>
  <c r="P1220"/>
  <c r="P1215"/>
  <c r="P1213"/>
  <c r="P1207"/>
  <c r="P1206" s="1"/>
  <c r="P1205" s="1"/>
  <c r="P1204" s="1"/>
  <c r="P1202"/>
  <c r="P1200"/>
  <c r="P1192"/>
  <c r="P1191" s="1"/>
  <c r="P1190" s="1"/>
  <c r="P1188"/>
  <c r="P1187" s="1"/>
  <c r="P1185"/>
  <c r="P1184" s="1"/>
  <c r="P1182"/>
  <c r="P1171"/>
  <c r="P1169"/>
  <c r="P1153"/>
  <c r="P1151"/>
  <c r="P1147"/>
  <c r="P1146" s="1"/>
  <c r="P1145" s="1"/>
  <c r="P1141"/>
  <c r="P1140" s="1"/>
  <c r="P1139" s="1"/>
  <c r="P1137"/>
  <c r="P1136" s="1"/>
  <c r="P1135" s="1"/>
  <c r="P1133"/>
  <c r="P1132" s="1"/>
  <c r="P1129"/>
  <c r="P1128" s="1"/>
  <c r="P1127" s="1"/>
  <c r="P1124"/>
  <c r="P1123" s="1"/>
  <c r="P1122" s="1"/>
  <c r="P1121" s="1"/>
  <c r="P1119"/>
  <c r="P1118" s="1"/>
  <c r="P1117" s="1"/>
  <c r="P1115"/>
  <c r="P1114" s="1"/>
  <c r="P1113" s="1"/>
  <c r="P1111"/>
  <c r="P1110" s="1"/>
  <c r="P1109" s="1"/>
  <c r="P1106"/>
  <c r="P1104"/>
  <c r="P1100"/>
  <c r="P1099" s="1"/>
  <c r="P1098" s="1"/>
  <c r="P1095"/>
  <c r="P1094" s="1"/>
  <c r="P1093" s="1"/>
  <c r="P1091"/>
  <c r="P1090" s="1"/>
  <c r="P1089" s="1"/>
  <c r="P1086"/>
  <c r="P1085" s="1"/>
  <c r="P1084" s="1"/>
  <c r="P1082"/>
  <c r="P1081" s="1"/>
  <c r="P1080" s="1"/>
  <c r="P1073"/>
  <c r="P1072" s="1"/>
  <c r="P1071" s="1"/>
  <c r="P1069"/>
  <c r="P1068" s="1"/>
  <c r="P1067" s="1"/>
  <c r="P1064"/>
  <c r="P1063" s="1"/>
  <c r="P1062" s="1"/>
  <c r="P1061" s="1"/>
  <c r="P1057"/>
  <c r="P1056" s="1"/>
  <c r="P1055" s="1"/>
  <c r="P1054" s="1"/>
  <c r="P1053" s="1"/>
  <c r="P1051"/>
  <c r="P1050" s="1"/>
  <c r="P1049" s="1"/>
  <c r="P1048" s="1"/>
  <c r="P1046"/>
  <c r="P1045" s="1"/>
  <c r="P1044" s="1"/>
  <c r="P1043" s="1"/>
  <c r="P1037"/>
  <c r="P1035"/>
  <c r="P1026"/>
  <c r="P1025" s="1"/>
  <c r="P1024" s="1"/>
  <c r="P1022"/>
  <c r="P1021" s="1"/>
  <c r="P1020" s="1"/>
  <c r="P1013"/>
  <c r="P1012" s="1"/>
  <c r="P1011" s="1"/>
  <c r="P1009"/>
  <c r="P1008" s="1"/>
  <c r="P1007" s="1"/>
  <c r="P1005"/>
  <c r="P1004" s="1"/>
  <c r="P1003" s="1"/>
  <c r="P1001"/>
  <c r="P1000" s="1"/>
  <c r="P999" s="1"/>
  <c r="P992"/>
  <c r="P991" s="1"/>
  <c r="P990" s="1"/>
  <c r="P988"/>
  <c r="P987" s="1"/>
  <c r="P986" s="1"/>
  <c r="P984"/>
  <c r="P983" s="1"/>
  <c r="P982" s="1"/>
  <c r="P975"/>
  <c r="P974" s="1"/>
  <c r="P972"/>
  <c r="P971" s="1"/>
  <c r="P964"/>
  <c r="P963" s="1"/>
  <c r="P962" s="1"/>
  <c r="P960"/>
  <c r="P959" s="1"/>
  <c r="P958" s="1"/>
  <c r="P945"/>
  <c r="P944" s="1"/>
  <c r="P943" s="1"/>
  <c r="P942" s="1"/>
  <c r="P941" s="1"/>
  <c r="P938"/>
  <c r="P937" s="1"/>
  <c r="P936" s="1"/>
  <c r="P935" s="1"/>
  <c r="P934" s="1"/>
  <c r="P928"/>
  <c r="P927" s="1"/>
  <c r="P926" s="1"/>
  <c r="P921" s="1"/>
  <c r="P920" s="1"/>
  <c r="P919" s="1"/>
  <c r="P916"/>
  <c r="P915" s="1"/>
  <c r="P913"/>
  <c r="P906"/>
  <c r="P905" s="1"/>
  <c r="P904" s="1"/>
  <c r="P903" s="1"/>
  <c r="P902" s="1"/>
  <c r="P901" s="1"/>
  <c r="P898"/>
  <c r="P897" s="1"/>
  <c r="P896" s="1"/>
  <c r="P895" s="1"/>
  <c r="P894" s="1"/>
  <c r="P893" s="1"/>
  <c r="P892" s="1"/>
  <c r="P890"/>
  <c r="P889" s="1"/>
  <c r="P888" s="1"/>
  <c r="P887" s="1"/>
  <c r="P886" s="1"/>
  <c r="P885" s="1"/>
  <c r="P884" s="1"/>
  <c r="P882"/>
  <c r="P881" s="1"/>
  <c r="P880" s="1"/>
  <c r="P879" s="1"/>
  <c r="P878" s="1"/>
  <c r="P877" s="1"/>
  <c r="M25" i="1" s="1"/>
  <c r="P875" i="5"/>
  <c r="P874" s="1"/>
  <c r="P872"/>
  <c r="P871" s="1"/>
  <c r="P869"/>
  <c r="P868" s="1"/>
  <c r="P866"/>
  <c r="P857"/>
  <c r="P856" s="1"/>
  <c r="P852" s="1"/>
  <c r="P851" s="1"/>
  <c r="P849"/>
  <c r="P848" s="1"/>
  <c r="P847" s="1"/>
  <c r="P846" s="1"/>
  <c r="P845" s="1"/>
  <c r="P843"/>
  <c r="P842" s="1"/>
  <c r="P841" s="1"/>
  <c r="P840" s="1"/>
  <c r="P835"/>
  <c r="P834" s="1"/>
  <c r="P833" s="1"/>
  <c r="P832" s="1"/>
  <c r="P830"/>
  <c r="P829" s="1"/>
  <c r="P828" s="1"/>
  <c r="P827" s="1"/>
  <c r="P826" s="1"/>
  <c r="P824"/>
  <c r="P823" s="1"/>
  <c r="P822" s="1"/>
  <c r="P821" s="1"/>
  <c r="P816"/>
  <c r="P815" s="1"/>
  <c r="P813"/>
  <c r="P810"/>
  <c r="P809" s="1"/>
  <c r="P808" s="1"/>
  <c r="P806"/>
  <c r="P803"/>
  <c r="P802" s="1"/>
  <c r="P801" s="1"/>
  <c r="P797"/>
  <c r="P796" s="1"/>
  <c r="P795" s="1"/>
  <c r="P794" s="1"/>
  <c r="P793" s="1"/>
  <c r="P791"/>
  <c r="P790" s="1"/>
  <c r="P787"/>
  <c r="P786" s="1"/>
  <c r="P784"/>
  <c r="P783" s="1"/>
  <c r="P774"/>
  <c r="P772"/>
  <c r="P769"/>
  <c r="P768" s="1"/>
  <c r="P764"/>
  <c r="P763" s="1"/>
  <c r="P762" s="1"/>
  <c r="P760"/>
  <c r="P759" s="1"/>
  <c r="P758" s="1"/>
  <c r="P755"/>
  <c r="P753"/>
  <c r="P750"/>
  <c r="P749" s="1"/>
  <c r="P746"/>
  <c r="P744"/>
  <c r="P740"/>
  <c r="P739" s="1"/>
  <c r="P738" s="1"/>
  <c r="P737" s="1"/>
  <c r="P735"/>
  <c r="P733"/>
  <c r="P728"/>
  <c r="P726"/>
  <c r="P722"/>
  <c r="P721" s="1"/>
  <c r="P720" s="1"/>
  <c r="P717"/>
  <c r="P715"/>
  <c r="P711"/>
  <c r="P710" s="1"/>
  <c r="P709" s="1"/>
  <c r="P705"/>
  <c r="P704" s="1"/>
  <c r="P703" s="1"/>
  <c r="P702" s="1"/>
  <c r="P700"/>
  <c r="P699" s="1"/>
  <c r="P698" s="1"/>
  <c r="P697" s="1"/>
  <c r="P695"/>
  <c r="P694" s="1"/>
  <c r="P693" s="1"/>
  <c r="P683"/>
  <c r="P682" s="1"/>
  <c r="P680"/>
  <c r="P679" s="1"/>
  <c r="P675"/>
  <c r="P674" s="1"/>
  <c r="P673" s="1"/>
  <c r="P672" s="1"/>
  <c r="P670"/>
  <c r="P669" s="1"/>
  <c r="P668" s="1"/>
  <c r="P667" s="1"/>
  <c r="P664"/>
  <c r="P663" s="1"/>
  <c r="P662" s="1"/>
  <c r="P660"/>
  <c r="P659" s="1"/>
  <c r="P658" s="1"/>
  <c r="P653"/>
  <c r="P652" s="1"/>
  <c r="P651" s="1"/>
  <c r="P648"/>
  <c r="P645"/>
  <c r="P640"/>
  <c r="P639" s="1"/>
  <c r="P637"/>
  <c r="P636" s="1"/>
  <c r="P635" s="1"/>
  <c r="P633"/>
  <c r="P631"/>
  <c r="P624"/>
  <c r="P622"/>
  <c r="P616"/>
  <c r="P615" s="1"/>
  <c r="P614" s="1"/>
  <c r="P613" s="1"/>
  <c r="P611"/>
  <c r="P610" s="1"/>
  <c r="P609" s="1"/>
  <c r="P608" s="1"/>
  <c r="P599"/>
  <c r="P597"/>
  <c r="P593"/>
  <c r="P591"/>
  <c r="P583"/>
  <c r="P582" s="1"/>
  <c r="P581" s="1"/>
  <c r="P579"/>
  <c r="P578" s="1"/>
  <c r="P577" s="1"/>
  <c r="P566"/>
  <c r="P565" s="1"/>
  <c r="P563"/>
  <c r="P557"/>
  <c r="P556" s="1"/>
  <c r="P555" s="1"/>
  <c r="P553"/>
  <c r="P552" s="1"/>
  <c r="P551" s="1"/>
  <c r="P545"/>
  <c r="P544" s="1"/>
  <c r="P543" s="1"/>
  <c r="P542" s="1"/>
  <c r="P541" s="1"/>
  <c r="P540" s="1"/>
  <c r="P538"/>
  <c r="P537" s="1"/>
  <c r="P536" s="1"/>
  <c r="P535" s="1"/>
  <c r="P534" s="1"/>
  <c r="P533" s="1"/>
  <c r="P530"/>
  <c r="P529" s="1"/>
  <c r="P528" s="1"/>
  <c r="P527" s="1"/>
  <c r="P524"/>
  <c r="P523" s="1"/>
  <c r="P521"/>
  <c r="P520" s="1"/>
  <c r="P518"/>
  <c r="P511"/>
  <c r="P510" s="1"/>
  <c r="P509" s="1"/>
  <c r="P508" s="1"/>
  <c r="P506"/>
  <c r="P504"/>
  <c r="P503" s="1"/>
  <c r="P493"/>
  <c r="P492" s="1"/>
  <c r="P491" s="1"/>
  <c r="P489"/>
  <c r="P488" s="1"/>
  <c r="P487" s="1"/>
  <c r="P483"/>
  <c r="P482" s="1"/>
  <c r="P481" s="1"/>
  <c r="P480" s="1"/>
  <c r="P479" s="1"/>
  <c r="P475"/>
  <c r="P474" s="1"/>
  <c r="P473" s="1"/>
  <c r="P472" s="1"/>
  <c r="P471" s="1"/>
  <c r="P468"/>
  <c r="P465"/>
  <c r="P464" s="1"/>
  <c r="P463" s="1"/>
  <c r="P462" s="1"/>
  <c r="P459"/>
  <c r="P458" s="1"/>
  <c r="P457" s="1"/>
  <c r="P456" s="1"/>
  <c r="P454"/>
  <c r="P453" s="1"/>
  <c r="P452" s="1"/>
  <c r="P450"/>
  <c r="P449" s="1"/>
  <c r="P446"/>
  <c r="P445" s="1"/>
  <c r="P443"/>
  <c r="P428"/>
  <c r="P427" s="1"/>
  <c r="P426" s="1"/>
  <c r="P425" s="1"/>
  <c r="P424" s="1"/>
  <c r="P421"/>
  <c r="P420" s="1"/>
  <c r="P419" s="1"/>
  <c r="P418" s="1"/>
  <c r="P417" s="1"/>
  <c r="P416" s="1"/>
  <c r="P415" s="1"/>
  <c r="P412"/>
  <c r="P411" s="1"/>
  <c r="P409"/>
  <c r="P408" s="1"/>
  <c r="P405"/>
  <c r="P404" s="1"/>
  <c r="P402"/>
  <c r="P401" s="1"/>
  <c r="P399"/>
  <c r="P390"/>
  <c r="P389" s="1"/>
  <c r="P388" s="1"/>
  <c r="P385"/>
  <c r="P384" s="1"/>
  <c r="P379"/>
  <c r="P375"/>
  <c r="P374" s="1"/>
  <c r="P373" s="1"/>
  <c r="P372" s="1"/>
  <c r="P371" s="1"/>
  <c r="P367"/>
  <c r="P366" s="1"/>
  <c r="P365" s="1"/>
  <c r="P364" s="1"/>
  <c r="P362"/>
  <c r="P361" s="1"/>
  <c r="P360" s="1"/>
  <c r="P359" s="1"/>
  <c r="P349"/>
  <c r="P348" s="1"/>
  <c r="P347" s="1"/>
  <c r="P346" s="1"/>
  <c r="P344"/>
  <c r="P343" s="1"/>
  <c r="P342" s="1"/>
  <c r="P338"/>
  <c r="P337" s="1"/>
  <c r="P336" s="1"/>
  <c r="P335" s="1"/>
  <c r="P334" s="1"/>
  <c r="M54" i="1" s="1"/>
  <c r="P331" i="5"/>
  <c r="P330" s="1"/>
  <c r="P329" s="1"/>
  <c r="P328" s="1"/>
  <c r="P327" s="1"/>
  <c r="P321"/>
  <c r="P320" s="1"/>
  <c r="P319" s="1"/>
  <c r="P317"/>
  <c r="P316" s="1"/>
  <c r="P315" s="1"/>
  <c r="P312"/>
  <c r="P311" s="1"/>
  <c r="P310" s="1"/>
  <c r="P308"/>
  <c r="P307" s="1"/>
  <c r="P306" s="1"/>
  <c r="P301"/>
  <c r="P300" s="1"/>
  <c r="P299" s="1"/>
  <c r="P298" s="1"/>
  <c r="P296"/>
  <c r="P295" s="1"/>
  <c r="P293"/>
  <c r="P292" s="1"/>
  <c r="P290"/>
  <c r="P289" s="1"/>
  <c r="P283"/>
  <c r="P282" s="1"/>
  <c r="P280"/>
  <c r="P279" s="1"/>
  <c r="P275"/>
  <c r="P274" s="1"/>
  <c r="P273" s="1"/>
  <c r="P271"/>
  <c r="P270" s="1"/>
  <c r="P269" s="1"/>
  <c r="P265"/>
  <c r="P264" s="1"/>
  <c r="P263" s="1"/>
  <c r="P262" s="1"/>
  <c r="P260"/>
  <c r="P259" s="1"/>
  <c r="P258" s="1"/>
  <c r="P257" s="1"/>
  <c r="P253"/>
  <c r="P252" s="1"/>
  <c r="P251" s="1"/>
  <c r="P249"/>
  <c r="P248" s="1"/>
  <c r="P247" s="1"/>
  <c r="P238"/>
  <c r="P237" s="1"/>
  <c r="P236" s="1"/>
  <c r="P235" s="1"/>
  <c r="P234" s="1"/>
  <c r="P231"/>
  <c r="P230" s="1"/>
  <c r="P228"/>
  <c r="P227" s="1"/>
  <c r="P225"/>
  <c r="P219"/>
  <c r="P218" s="1"/>
  <c r="P216"/>
  <c r="P215" s="1"/>
  <c r="P213"/>
  <c r="P212" s="1"/>
  <c r="P210"/>
  <c r="P207"/>
  <c r="P206" s="1"/>
  <c r="P204"/>
  <c r="P203" s="1"/>
  <c r="P202" s="1"/>
  <c r="P200"/>
  <c r="P199" s="1"/>
  <c r="P197"/>
  <c r="P196" s="1"/>
  <c r="P194"/>
  <c r="P190"/>
  <c r="P189" s="1"/>
  <c r="P188" s="1"/>
  <c r="P187" s="1"/>
  <c r="P184"/>
  <c r="P183" s="1"/>
  <c r="P182" s="1"/>
  <c r="P180"/>
  <c r="P179" s="1"/>
  <c r="P178" s="1"/>
  <c r="P173"/>
  <c r="P172" s="1"/>
  <c r="P171" s="1"/>
  <c r="P169"/>
  <c r="P168" s="1"/>
  <c r="P167" s="1"/>
  <c r="P162"/>
  <c r="P161" s="1"/>
  <c r="P160" s="1"/>
  <c r="P159" s="1"/>
  <c r="P158" s="1"/>
  <c r="P156"/>
  <c r="P155" s="1"/>
  <c r="P154" s="1"/>
  <c r="P152"/>
  <c r="P151" s="1"/>
  <c r="P150" s="1"/>
  <c r="P148"/>
  <c r="P147" s="1"/>
  <c r="P146" s="1"/>
  <c r="P144"/>
  <c r="P143" s="1"/>
  <c r="P142" s="1"/>
  <c r="P134"/>
  <c r="P133" s="1"/>
  <c r="P132" s="1"/>
  <c r="P131" s="1"/>
  <c r="P129"/>
  <c r="P128" s="1"/>
  <c r="P127" s="1"/>
  <c r="P126" s="1"/>
  <c r="P123"/>
  <c r="P122" s="1"/>
  <c r="P120"/>
  <c r="P119" s="1"/>
  <c r="P117"/>
  <c r="P112"/>
  <c r="P111" s="1"/>
  <c r="P110" s="1"/>
  <c r="P109" s="1"/>
  <c r="P107"/>
  <c r="P106" s="1"/>
  <c r="P105" s="1"/>
  <c r="P103"/>
  <c r="P101"/>
  <c r="P98"/>
  <c r="P97" s="1"/>
  <c r="P93"/>
  <c r="P92" s="1"/>
  <c r="P91" s="1"/>
  <c r="P90" s="1"/>
  <c r="P88"/>
  <c r="P87" s="1"/>
  <c r="P85"/>
  <c r="P81"/>
  <c r="P80" s="1"/>
  <c r="P78"/>
  <c r="P77" s="1"/>
  <c r="P75"/>
  <c r="P70"/>
  <c r="P69" s="1"/>
  <c r="P68" s="1"/>
  <c r="P67" s="1"/>
  <c r="P66" s="1"/>
  <c r="P65" s="1"/>
  <c r="M23" i="1" s="1"/>
  <c r="P63" i="5"/>
  <c r="P62" s="1"/>
  <c r="P54"/>
  <c r="P53" s="1"/>
  <c r="P52" s="1"/>
  <c r="P49"/>
  <c r="P47"/>
  <c r="P46" s="1"/>
  <c r="P44"/>
  <c r="P41"/>
  <c r="P40" s="1"/>
  <c r="P38"/>
  <c r="P37" s="1"/>
  <c r="P35"/>
  <c r="P28"/>
  <c r="P27" s="1"/>
  <c r="P26" s="1"/>
  <c r="P25" s="1"/>
  <c r="P24" s="1"/>
  <c r="P23" s="1"/>
  <c r="M20" i="1" s="1"/>
  <c r="M29" i="6"/>
  <c r="O29"/>
  <c r="O28" s="1"/>
  <c r="O27" s="1"/>
  <c r="O1811"/>
  <c r="O1806"/>
  <c r="O1795"/>
  <c r="O1790"/>
  <c r="O1785"/>
  <c r="O1780"/>
  <c r="O1777"/>
  <c r="O1772"/>
  <c r="O1769"/>
  <c r="O1757"/>
  <c r="O1752"/>
  <c r="O1747"/>
  <c r="O1744"/>
  <c r="O1739"/>
  <c r="O1736"/>
  <c r="O1731"/>
  <c r="O1730"/>
  <c r="O1725"/>
  <c r="O1722"/>
  <c r="O1721" s="1"/>
  <c r="O1717"/>
  <c r="O1714"/>
  <c r="O1709"/>
  <c r="O1705"/>
  <c r="O1701"/>
  <c r="O1697"/>
  <c r="O1696" s="1"/>
  <c r="O1692"/>
  <c r="O1688"/>
  <c r="O1684"/>
  <c r="O1682"/>
  <c r="O1677"/>
  <c r="O1671"/>
  <c r="O1668"/>
  <c r="O1658"/>
  <c r="O1652"/>
  <c r="O1646"/>
  <c r="O1640"/>
  <c r="O1634"/>
  <c r="O1628"/>
  <c r="O1621"/>
  <c r="O1616"/>
  <c r="O1611"/>
  <c r="O1608"/>
  <c r="O1604"/>
  <c r="O1601"/>
  <c r="O1597"/>
  <c r="O1594"/>
  <c r="O1591"/>
  <c r="O1587"/>
  <c r="O1584"/>
  <c r="O1580"/>
  <c r="O1577"/>
  <c r="O1574"/>
  <c r="O1570"/>
  <c r="O1567"/>
  <c r="O1564"/>
  <c r="O1560"/>
  <c r="O1558" s="1"/>
  <c r="O1557" s="1"/>
  <c r="O1556"/>
  <c r="O1553"/>
  <c r="O1549"/>
  <c r="O1546"/>
  <c r="O1545" s="1"/>
  <c r="O1543"/>
  <c r="O1540"/>
  <c r="O1539" s="1"/>
  <c r="O1537"/>
  <c r="O1534"/>
  <c r="O1531"/>
  <c r="O1530"/>
  <c r="O1527"/>
  <c r="O1524"/>
  <c r="O1519"/>
  <c r="O1504"/>
  <c r="O1503" s="1"/>
  <c r="O1497"/>
  <c r="O1491"/>
  <c r="O1487"/>
  <c r="O1484"/>
  <c r="O1481"/>
  <c r="O1477"/>
  <c r="O1471"/>
  <c r="O1463"/>
  <c r="O1456"/>
  <c r="O1453"/>
  <c r="O1450"/>
  <c r="O1445"/>
  <c r="O1439"/>
  <c r="O1433"/>
  <c r="O1432" s="1"/>
  <c r="O1428"/>
  <c r="O1422"/>
  <c r="O1409"/>
  <c r="O1408"/>
  <c r="O1402"/>
  <c r="O1401" s="1"/>
  <c r="O1395"/>
  <c r="O1390"/>
  <c r="O1383"/>
  <c r="O1382"/>
  <c r="O1379"/>
  <c r="O1376"/>
  <c r="O1371"/>
  <c r="O1363"/>
  <c r="O1362"/>
  <c r="O1359"/>
  <c r="O1358" s="1"/>
  <c r="O1356"/>
  <c r="O1353"/>
  <c r="O1348"/>
  <c r="O1343"/>
  <c r="O1334"/>
  <c r="O1331"/>
  <c r="O1330" s="1"/>
  <c r="O1325"/>
  <c r="O1323"/>
  <c r="O1299"/>
  <c r="O1297"/>
  <c r="O1292"/>
  <c r="O1290"/>
  <c r="O1284"/>
  <c r="O1279"/>
  <c r="O1274"/>
  <c r="O1272"/>
  <c r="O1269"/>
  <c r="O1268" s="1"/>
  <c r="O1264"/>
  <c r="O1263" s="1"/>
  <c r="O1238"/>
  <c r="O1237"/>
  <c r="O1234"/>
  <c r="O1233" s="1"/>
  <c r="O1231"/>
  <c r="O1230" s="1"/>
  <c r="O1226"/>
  <c r="O1221"/>
  <c r="O1217"/>
  <c r="O1207"/>
  <c r="O1202"/>
  <c r="O1166"/>
  <c r="O1160"/>
  <c r="O1154"/>
  <c r="O1153" s="1"/>
  <c r="O1148"/>
  <c r="O1142"/>
  <c r="O1136"/>
  <c r="O1135" s="1"/>
  <c r="O1126"/>
  <c r="O1125" s="1"/>
  <c r="O1121"/>
  <c r="O1112"/>
  <c r="O1108"/>
  <c r="O1100"/>
  <c r="O1094"/>
  <c r="O1093" s="1"/>
  <c r="O1088"/>
  <c r="O1083"/>
  <c r="O1070"/>
  <c r="O1064"/>
  <c r="O1063" s="1"/>
  <c r="O1057"/>
  <c r="O1051"/>
  <c r="O1045"/>
  <c r="O1040"/>
  <c r="O1034"/>
  <c r="O1031"/>
  <c r="O1030"/>
  <c r="O1027"/>
  <c r="O1026" s="1"/>
  <c r="O1022"/>
  <c r="O1020"/>
  <c r="O1012"/>
  <c r="O1006"/>
  <c r="O994"/>
  <c r="O987"/>
  <c r="O986" s="1"/>
  <c r="O979"/>
  <c r="O972"/>
  <c r="O960"/>
  <c r="O953"/>
  <c r="O945"/>
  <c r="O933"/>
  <c r="O930"/>
  <c r="O927"/>
  <c r="O926"/>
  <c r="O922"/>
  <c r="O921"/>
  <c r="O916"/>
  <c r="O914"/>
  <c r="O911"/>
  <c r="O905"/>
  <c r="O904" s="1"/>
  <c r="O901"/>
  <c r="O895"/>
  <c r="O886"/>
  <c r="O869"/>
  <c r="O867"/>
  <c r="O861"/>
  <c r="O855"/>
  <c r="O854"/>
  <c r="O832"/>
  <c r="O821"/>
  <c r="O807"/>
  <c r="O797"/>
  <c r="O787"/>
  <c r="O771"/>
  <c r="O765"/>
  <c r="O764" s="1"/>
  <c r="O758"/>
  <c r="O752"/>
  <c r="O751" s="1"/>
  <c r="O749"/>
  <c r="O746"/>
  <c r="O740"/>
  <c r="O739"/>
  <c r="O733"/>
  <c r="O726"/>
  <c r="O721"/>
  <c r="O720" s="1"/>
  <c r="O719" s="1"/>
  <c r="O710"/>
  <c r="O705"/>
  <c r="O704" s="1"/>
  <c r="O699"/>
  <c r="O698" s="1"/>
  <c r="O694"/>
  <c r="O688"/>
  <c r="O683"/>
  <c r="O682" s="1"/>
  <c r="O679"/>
  <c r="O678" s="1"/>
  <c r="O674"/>
  <c r="O668"/>
  <c r="O667" s="1"/>
  <c r="O663"/>
  <c r="O662" s="1"/>
  <c r="O658"/>
  <c r="O656"/>
  <c r="O653"/>
  <c r="O652" s="1"/>
  <c r="O648"/>
  <c r="O642"/>
  <c r="O637"/>
  <c r="O636" s="1"/>
  <c r="O635"/>
  <c r="O632"/>
  <c r="O625"/>
  <c r="O619"/>
  <c r="O618" s="1"/>
  <c r="O613"/>
  <c r="O606"/>
  <c r="O601"/>
  <c r="O600" s="1"/>
  <c r="O596"/>
  <c r="O595" s="1"/>
  <c r="O585"/>
  <c r="O580"/>
  <c r="O574"/>
  <c r="O573" s="1"/>
  <c r="O567"/>
  <c r="O566" s="1"/>
  <c r="O562"/>
  <c r="O556"/>
  <c r="O551"/>
  <c r="O550" s="1"/>
  <c r="O549" s="1"/>
  <c r="O545"/>
  <c r="O538"/>
  <c r="O537" s="1"/>
  <c r="O535"/>
  <c r="O534" s="1"/>
  <c r="O530"/>
  <c r="O529"/>
  <c r="O526"/>
  <c r="O525" s="1"/>
  <c r="O523"/>
  <c r="O522" s="1"/>
  <c r="O517"/>
  <c r="O513"/>
  <c r="O512"/>
  <c r="O511" s="1"/>
  <c r="O507"/>
  <c r="O506" s="1"/>
  <c r="O505"/>
  <c r="O499"/>
  <c r="O498" s="1"/>
  <c r="O497"/>
  <c r="O494"/>
  <c r="O493" s="1"/>
  <c r="O488"/>
  <c r="O487" s="1"/>
  <c r="O486" s="1"/>
  <c r="O485" s="1"/>
  <c r="O482"/>
  <c r="O481" s="1"/>
  <c r="O480"/>
  <c r="O474"/>
  <c r="O473" s="1"/>
  <c r="O472"/>
  <c r="O466"/>
  <c r="O465" s="1"/>
  <c r="O459"/>
  <c r="O458" s="1"/>
  <c r="O457" s="1"/>
  <c r="O447"/>
  <c r="O434"/>
  <c r="O433" s="1"/>
  <c r="O427"/>
  <c r="O426" s="1"/>
  <c r="O425" s="1"/>
  <c r="O421"/>
  <c r="O415"/>
  <c r="O414" s="1"/>
  <c r="O413" s="1"/>
  <c r="O402"/>
  <c r="O400"/>
  <c r="O399" s="1"/>
  <c r="O394"/>
  <c r="O392"/>
  <c r="O386"/>
  <c r="O385" s="1"/>
  <c r="O373"/>
  <c r="O372" s="1"/>
  <c r="O371" s="1"/>
  <c r="O367"/>
  <c r="O366" s="1"/>
  <c r="O361"/>
  <c r="O360" s="1"/>
  <c r="O359" s="1"/>
  <c r="O356"/>
  <c r="O355" s="1"/>
  <c r="O354" s="1"/>
  <c r="O353" s="1"/>
  <c r="O352" s="1"/>
  <c r="O350"/>
  <c r="O349" s="1"/>
  <c r="O348" s="1"/>
  <c r="O347" s="1"/>
  <c r="O346" s="1"/>
  <c r="O345" s="1"/>
  <c r="O337"/>
  <c r="O336" s="1"/>
  <c r="O335" s="1"/>
  <c r="O334" s="1"/>
  <c r="O333" s="1"/>
  <c r="O332" s="1"/>
  <c r="O331"/>
  <c r="O330" s="1"/>
  <c r="O325"/>
  <c r="O324" s="1"/>
  <c r="O319"/>
  <c r="O318" s="1"/>
  <c r="O317" s="1"/>
  <c r="O313"/>
  <c r="O312" s="1"/>
  <c r="O311" s="1"/>
  <c r="O310" s="1"/>
  <c r="O309" s="1"/>
  <c r="O308" s="1"/>
  <c r="O307"/>
  <c r="O306" s="1"/>
  <c r="O305" s="1"/>
  <c r="O304" s="1"/>
  <c r="O303" s="1"/>
  <c r="O302" s="1"/>
  <c r="O288"/>
  <c r="O287" s="1"/>
  <c r="O286" s="1"/>
  <c r="O285" s="1"/>
  <c r="O284" s="1"/>
  <c r="O283" s="1"/>
  <c r="O282"/>
  <c r="O281" s="1"/>
  <c r="O276"/>
  <c r="O275" s="1"/>
  <c r="O274" s="1"/>
  <c r="O273" s="1"/>
  <c r="O272" s="1"/>
  <c r="O271" s="1"/>
  <c r="O270"/>
  <c r="O269" s="1"/>
  <c r="O264"/>
  <c r="O263" s="1"/>
  <c r="O262" s="1"/>
  <c r="O261" s="1"/>
  <c r="O260" s="1"/>
  <c r="O259" s="1"/>
  <c r="O251"/>
  <c r="O250" s="1"/>
  <c r="O249" s="1"/>
  <c r="O248" s="1"/>
  <c r="O247" s="1"/>
  <c r="O246" s="1"/>
  <c r="O245"/>
  <c r="O244" s="1"/>
  <c r="O243" s="1"/>
  <c r="O242"/>
  <c r="O241" s="1"/>
  <c r="O240" s="1"/>
  <c r="O228"/>
  <c r="O227" s="1"/>
  <c r="O226" s="1"/>
  <c r="O225"/>
  <c r="O224"/>
  <c r="O219"/>
  <c r="O218" s="1"/>
  <c r="O217" s="1"/>
  <c r="O216" s="1"/>
  <c r="O215"/>
  <c r="O214" s="1"/>
  <c r="O213" s="1"/>
  <c r="O212"/>
  <c r="O205"/>
  <c r="O204" s="1"/>
  <c r="O203"/>
  <c r="O202" s="1"/>
  <c r="O200"/>
  <c r="O194"/>
  <c r="O193" s="1"/>
  <c r="O192"/>
  <c r="O191"/>
  <c r="O186"/>
  <c r="O185" s="1"/>
  <c r="O184" s="1"/>
  <c r="O183" s="1"/>
  <c r="O182" s="1"/>
  <c r="O181" s="1"/>
  <c r="O180" s="1"/>
  <c r="O179"/>
  <c r="O178" s="1"/>
  <c r="O177" s="1"/>
  <c r="O176" s="1"/>
  <c r="O175" s="1"/>
  <c r="O174" s="1"/>
  <c r="O173"/>
  <c r="O172" s="1"/>
  <c r="O167"/>
  <c r="O166" s="1"/>
  <c r="O165" s="1"/>
  <c r="O164" s="1"/>
  <c r="O163" s="1"/>
  <c r="O162" s="1"/>
  <c r="O160"/>
  <c r="O156"/>
  <c r="O148"/>
  <c r="O142"/>
  <c r="O141" s="1"/>
  <c r="O140" s="1"/>
  <c r="O139" s="1"/>
  <c r="O138" s="1"/>
  <c r="O137" s="1"/>
  <c r="O136"/>
  <c r="O129"/>
  <c r="O127"/>
  <c r="O126" s="1"/>
  <c r="O123"/>
  <c r="O122" s="1"/>
  <c r="O121" s="1"/>
  <c r="O120" s="1"/>
  <c r="O111"/>
  <c r="O110" s="1"/>
  <c r="O104"/>
  <c r="O103" s="1"/>
  <c r="O101"/>
  <c r="O95"/>
  <c r="O94"/>
  <c r="O89"/>
  <c r="O83"/>
  <c r="O82" s="1"/>
  <c r="O81"/>
  <c r="O80" s="1"/>
  <c r="O74"/>
  <c r="O73" s="1"/>
  <c r="O72" s="1"/>
  <c r="O71" s="1"/>
  <c r="O70" s="1"/>
  <c r="O69" s="1"/>
  <c r="O68"/>
  <c r="O67" s="1"/>
  <c r="O66"/>
  <c r="O65" s="1"/>
  <c r="O60"/>
  <c r="O59" s="1"/>
  <c r="O58"/>
  <c r="O57" s="1"/>
  <c r="O51"/>
  <c r="O50" s="1"/>
  <c r="O49"/>
  <c r="O48" s="1"/>
  <c r="O43"/>
  <c r="O42" s="1"/>
  <c r="O41" s="1"/>
  <c r="O40" s="1"/>
  <c r="O39" s="1"/>
  <c r="O38" s="1"/>
  <c r="O37"/>
  <c r="O36"/>
  <c r="O34"/>
  <c r="O33" s="1"/>
  <c r="O24"/>
  <c r="M1634"/>
  <c r="N1634" s="1"/>
  <c r="O174" i="5"/>
  <c r="Q174" s="1"/>
  <c r="S174" s="1"/>
  <c r="U174" s="1"/>
  <c r="N173"/>
  <c r="O173" s="1"/>
  <c r="N41"/>
  <c r="N40" s="1"/>
  <c r="A1629" i="6"/>
  <c r="A1633"/>
  <c r="A1630"/>
  <c r="A172" i="5"/>
  <c r="A1632" i="6"/>
  <c r="A1634"/>
  <c r="A174" i="5"/>
  <c r="A173"/>
  <c r="A171"/>
  <c r="Q1814" i="6" l="1"/>
  <c r="O70" i="1"/>
  <c r="O69"/>
  <c r="P590" i="5"/>
  <c r="P589" s="1"/>
  <c r="P607"/>
  <c r="P1247"/>
  <c r="P1243" s="1"/>
  <c r="Q173"/>
  <c r="S173" s="1"/>
  <c r="U173" s="1"/>
  <c r="P241"/>
  <c r="P240" s="1"/>
  <c r="Q240" s="1"/>
  <c r="S240" s="1"/>
  <c r="U240" s="1"/>
  <c r="P1422"/>
  <c r="P1421" s="1"/>
  <c r="P246"/>
  <c r="P288"/>
  <c r="P732"/>
  <c r="P731" s="1"/>
  <c r="P730" s="1"/>
  <c r="P1034"/>
  <c r="P1033" s="1"/>
  <c r="P1032" s="1"/>
  <c r="P1486"/>
  <c r="P1485" s="1"/>
  <c r="P1484" s="1"/>
  <c r="O996" i="6"/>
  <c r="P997"/>
  <c r="R997" s="1"/>
  <c r="T997" s="1"/>
  <c r="P644" i="5"/>
  <c r="P643" s="1"/>
  <c r="P1471"/>
  <c r="P1505"/>
  <c r="P84"/>
  <c r="P209"/>
  <c r="P224"/>
  <c r="P223" s="1"/>
  <c r="P222" s="1"/>
  <c r="P314"/>
  <c r="P743"/>
  <c r="P742" s="1"/>
  <c r="P981"/>
  <c r="P100"/>
  <c r="P96" s="1"/>
  <c r="P95" s="1"/>
  <c r="P839"/>
  <c r="P838" s="1"/>
  <c r="M57" i="1" s="1"/>
  <c r="P1079" i="5"/>
  <c r="P1212"/>
  <c r="P1211" s="1"/>
  <c r="P1210" s="1"/>
  <c r="P1303"/>
  <c r="P1298" s="1"/>
  <c r="P1297" s="1"/>
  <c r="P1296" s="1"/>
  <c r="P305"/>
  <c r="P304" s="1"/>
  <c r="P532"/>
  <c r="M52" i="1"/>
  <c r="M51" s="1"/>
  <c r="P900" i="5"/>
  <c r="M66" i="1"/>
  <c r="M65" s="1"/>
  <c r="P657" i="5"/>
  <c r="P526"/>
  <c r="P278"/>
  <c r="P596"/>
  <c r="P595" s="1"/>
  <c r="P621"/>
  <c r="P620" s="1"/>
  <c r="P619" s="1"/>
  <c r="P618" s="1"/>
  <c r="P725"/>
  <c r="P724" s="1"/>
  <c r="P957"/>
  <c r="P956" s="1"/>
  <c r="P940" s="1"/>
  <c r="P918" s="1"/>
  <c r="P1019"/>
  <c r="P1604"/>
  <c r="P1603" s="1"/>
  <c r="P1602" s="1"/>
  <c r="M37" i="1" s="1"/>
  <c r="M1633" i="6"/>
  <c r="M1632" s="1"/>
  <c r="N1632" s="1"/>
  <c r="P341" i="5"/>
  <c r="P340" s="1"/>
  <c r="P333" s="1"/>
  <c r="P1131"/>
  <c r="P1126" s="1"/>
  <c r="P1150"/>
  <c r="P1149" s="1"/>
  <c r="P1219"/>
  <c r="P1218" s="1"/>
  <c r="P1225"/>
  <c r="P1224" s="1"/>
  <c r="O1124" i="6"/>
  <c r="O1123" s="1"/>
  <c r="O703"/>
  <c r="O702" s="1"/>
  <c r="O701" s="1"/>
  <c r="O763"/>
  <c r="O762" s="1"/>
  <c r="O109"/>
  <c r="O108" s="1"/>
  <c r="O107" s="1"/>
  <c r="O106" s="1"/>
  <c r="O985"/>
  <c r="O984" s="1"/>
  <c r="O1092"/>
  <c r="O1091" s="1"/>
  <c r="O599"/>
  <c r="O598" s="1"/>
  <c r="O597" s="1"/>
  <c r="O1357"/>
  <c r="O365"/>
  <c r="O364" s="1"/>
  <c r="O363" s="1"/>
  <c r="O362" s="1"/>
  <c r="O1431"/>
  <c r="O1430" s="1"/>
  <c r="P1704" i="5"/>
  <c r="P1703" s="1"/>
  <c r="P1702" s="1"/>
  <c r="P1701" s="1"/>
  <c r="P1700" s="1"/>
  <c r="P1699" s="1"/>
  <c r="P1698" s="1"/>
  <c r="P1066"/>
  <c r="O100" i="6"/>
  <c r="O99" s="1"/>
  <c r="O128"/>
  <c r="O125" s="1"/>
  <c r="O124" s="1"/>
  <c r="O113" s="1"/>
  <c r="O329"/>
  <c r="O328" s="1"/>
  <c r="O199"/>
  <c r="O198" s="1"/>
  <c r="O239"/>
  <c r="O238" s="1"/>
  <c r="O237" s="1"/>
  <c r="O236" s="1"/>
  <c r="O561"/>
  <c r="O560" s="1"/>
  <c r="O748"/>
  <c r="O747" s="1"/>
  <c r="O1220"/>
  <c r="O1219" s="1"/>
  <c r="O1444"/>
  <c r="O1555"/>
  <c r="O1554" s="1"/>
  <c r="P116" i="5"/>
  <c r="P115" s="1"/>
  <c r="P114" s="1"/>
  <c r="P502"/>
  <c r="P501" s="1"/>
  <c r="P500" s="1"/>
  <c r="P499" s="1"/>
  <c r="M38" i="1" s="1"/>
  <c r="P630" i="5"/>
  <c r="P629" s="1"/>
  <c r="P714"/>
  <c r="P713" s="1"/>
  <c r="P757"/>
  <c r="P771"/>
  <c r="P767" s="1"/>
  <c r="P782"/>
  <c r="P781" s="1"/>
  <c r="P780" s="1"/>
  <c r="P820"/>
  <c r="P1103"/>
  <c r="P1102" s="1"/>
  <c r="P1097" s="1"/>
  <c r="P1181"/>
  <c r="P1180" s="1"/>
  <c r="P1179" s="1"/>
  <c r="P1178" s="1"/>
  <c r="P1199"/>
  <c r="P1198" s="1"/>
  <c r="P1197" s="1"/>
  <c r="P1196" s="1"/>
  <c r="P1238"/>
  <c r="P1237" s="1"/>
  <c r="P461"/>
  <c r="P998"/>
  <c r="P1088"/>
  <c r="P1282"/>
  <c r="P1281" s="1"/>
  <c r="P1280" s="1"/>
  <c r="P1279" s="1"/>
  <c r="P1273" s="1"/>
  <c r="P1337"/>
  <c r="P1329" s="1"/>
  <c r="P1642"/>
  <c r="P1641" s="1"/>
  <c r="P1640" s="1"/>
  <c r="O323" i="6"/>
  <c r="O322" s="1"/>
  <c r="O321" s="1"/>
  <c r="O320" s="1"/>
  <c r="O401"/>
  <c r="O398" s="1"/>
  <c r="O510"/>
  <c r="O509" s="1"/>
  <c r="O631"/>
  <c r="O630" s="1"/>
  <c r="O732"/>
  <c r="O731" s="1"/>
  <c r="O730" s="1"/>
  <c r="O745"/>
  <c r="O796"/>
  <c r="O952"/>
  <c r="O1050"/>
  <c r="O1049" s="1"/>
  <c r="O1134"/>
  <c r="O1133" s="1"/>
  <c r="O1159"/>
  <c r="O1291"/>
  <c r="O1333"/>
  <c r="O1332" s="1"/>
  <c r="O1389"/>
  <c r="O1388" s="1"/>
  <c r="O1483"/>
  <c r="O1482" s="1"/>
  <c r="O1523"/>
  <c r="O1600"/>
  <c r="O1681"/>
  <c r="O1704"/>
  <c r="O1703" s="1"/>
  <c r="O1738"/>
  <c r="O1737" s="1"/>
  <c r="O1789"/>
  <c r="O1788" s="1"/>
  <c r="P74" i="5"/>
  <c r="P398"/>
  <c r="P397" s="1"/>
  <c r="P396" s="1"/>
  <c r="P395" s="1"/>
  <c r="P394" s="1"/>
  <c r="P752"/>
  <c r="P748" s="1"/>
  <c r="P865"/>
  <c r="P864" s="1"/>
  <c r="P863" s="1"/>
  <c r="P862" s="1"/>
  <c r="P861" s="1"/>
  <c r="P1447"/>
  <c r="P1446" s="1"/>
  <c r="P1566"/>
  <c r="P1557" s="1"/>
  <c r="P1583"/>
  <c r="P1582" s="1"/>
  <c r="P1581" s="1"/>
  <c r="P1580" s="1"/>
  <c r="P1633"/>
  <c r="P1628" s="1"/>
  <c r="P1627" s="1"/>
  <c r="O155" i="6"/>
  <c r="O154" s="1"/>
  <c r="O153" s="1"/>
  <c r="O391"/>
  <c r="O88"/>
  <c r="O87" s="1"/>
  <c r="O86" s="1"/>
  <c r="O85" s="1"/>
  <c r="O84" s="1"/>
  <c r="O647"/>
  <c r="O910"/>
  <c r="O909" s="1"/>
  <c r="O929"/>
  <c r="O1056"/>
  <c r="O1713"/>
  <c r="O1746"/>
  <c r="O1745" s="1"/>
  <c r="P666" i="5"/>
  <c r="P1168"/>
  <c r="P1167" s="1"/>
  <c r="P1453"/>
  <c r="O1082" i="6"/>
  <c r="O831"/>
  <c r="O830" s="1"/>
  <c r="O1651"/>
  <c r="O1650" s="1"/>
  <c r="P378" i="5"/>
  <c r="O1452" i="6"/>
  <c r="P166" i="5"/>
  <c r="P165" s="1"/>
  <c r="P164" s="1"/>
  <c r="O1533" i="6"/>
  <c r="P34" i="5"/>
  <c r="P33" s="1"/>
  <c r="O524" i="6"/>
  <c r="O666"/>
  <c r="O358"/>
  <c r="O432"/>
  <c r="O171"/>
  <c r="O565"/>
  <c r="O594"/>
  <c r="O697"/>
  <c r="O750"/>
  <c r="O316"/>
  <c r="O384"/>
  <c r="O496"/>
  <c r="O544"/>
  <c r="O584"/>
  <c r="O492"/>
  <c r="O536"/>
  <c r="O533" s="1"/>
  <c r="O709"/>
  <c r="O770"/>
  <c r="O424"/>
  <c r="O456"/>
  <c r="O484"/>
  <c r="O548"/>
  <c r="O572"/>
  <c r="O617"/>
  <c r="O661"/>
  <c r="O677"/>
  <c r="O693"/>
  <c r="O820"/>
  <c r="O860"/>
  <c r="O868"/>
  <c r="O894"/>
  <c r="O903"/>
  <c r="O1005"/>
  <c r="O1033"/>
  <c r="O1111"/>
  <c r="O1152"/>
  <c r="O1206"/>
  <c r="O1262"/>
  <c r="O1278"/>
  <c r="O1298"/>
  <c r="O1347"/>
  <c r="O1375"/>
  <c r="O1400"/>
  <c r="O1421"/>
  <c r="O1548"/>
  <c r="O1573"/>
  <c r="O1583"/>
  <c r="O1603"/>
  <c r="O1683"/>
  <c r="O1756"/>
  <c r="O1779"/>
  <c r="O1810"/>
  <c r="O280"/>
  <c r="O634"/>
  <c r="O651"/>
  <c r="O885"/>
  <c r="O920"/>
  <c r="O925"/>
  <c r="O1381"/>
  <c r="O1476"/>
  <c r="O1596"/>
  <c r="O1620"/>
  <c r="O1639"/>
  <c r="O1676"/>
  <c r="O446"/>
  <c r="O516"/>
  <c r="O605"/>
  <c r="O657"/>
  <c r="O718"/>
  <c r="O915"/>
  <c r="O1021"/>
  <c r="O1107"/>
  <c r="O1273"/>
  <c r="O1289"/>
  <c r="O1324"/>
  <c r="O1490"/>
  <c r="O1502"/>
  <c r="O1538"/>
  <c r="O1569"/>
  <c r="O1579"/>
  <c r="O1593"/>
  <c r="O1615"/>
  <c r="O1633"/>
  <c r="P1634"/>
  <c r="R1634" s="1"/>
  <c r="T1634" s="1"/>
  <c r="O1670"/>
  <c r="O1695"/>
  <c r="O1729"/>
  <c r="O1776"/>
  <c r="O1805"/>
  <c r="O420"/>
  <c r="O641"/>
  <c r="O1087"/>
  <c r="O1099"/>
  <c r="O1355"/>
  <c r="O1407"/>
  <c r="O1438"/>
  <c r="O1449"/>
  <c r="O1470"/>
  <c r="O1486"/>
  <c r="O1529"/>
  <c r="O1536"/>
  <c r="O1544"/>
  <c r="O1566"/>
  <c r="O1590"/>
  <c r="O1610"/>
  <c r="O1627"/>
  <c r="O1645"/>
  <c r="O1667"/>
  <c r="O1691"/>
  <c r="O1771"/>
  <c r="O35"/>
  <c r="O201"/>
  <c r="O268"/>
  <c r="O471"/>
  <c r="O806"/>
  <c r="O866"/>
  <c r="O971"/>
  <c r="O1039"/>
  <c r="O1062"/>
  <c r="O1141"/>
  <c r="O1147"/>
  <c r="O1165"/>
  <c r="O1201"/>
  <c r="O1225"/>
  <c r="O1232"/>
  <c r="O1267"/>
  <c r="O1296"/>
  <c r="O1342"/>
  <c r="O1361"/>
  <c r="O1370"/>
  <c r="O1378"/>
  <c r="O1394"/>
  <c r="O1455"/>
  <c r="O1480"/>
  <c r="O1751"/>
  <c r="O528"/>
  <c r="O673"/>
  <c r="O412"/>
  <c r="O738"/>
  <c r="O1029"/>
  <c r="O464"/>
  <c r="O504"/>
  <c r="O503" s="1"/>
  <c r="O681"/>
  <c r="O1069"/>
  <c r="O1352"/>
  <c r="O1462"/>
  <c r="O1526"/>
  <c r="O1542"/>
  <c r="O1552"/>
  <c r="O1563"/>
  <c r="O1586"/>
  <c r="O1607"/>
  <c r="O1657"/>
  <c r="O1687"/>
  <c r="O1768"/>
  <c r="O1784"/>
  <c r="O23"/>
  <c r="O93"/>
  <c r="O135"/>
  <c r="O370"/>
  <c r="O555"/>
  <c r="O624"/>
  <c r="O687"/>
  <c r="O725"/>
  <c r="O900"/>
  <c r="O959"/>
  <c r="O993"/>
  <c r="O1011"/>
  <c r="O1044"/>
  <c r="O147"/>
  <c r="O159"/>
  <c r="O211"/>
  <c r="O223"/>
  <c r="O393"/>
  <c r="O479"/>
  <c r="O579"/>
  <c r="O612"/>
  <c r="O655"/>
  <c r="O757"/>
  <c r="O786"/>
  <c r="O853"/>
  <c r="O913"/>
  <c r="O932"/>
  <c r="O944"/>
  <c r="O978"/>
  <c r="O1019"/>
  <c r="O1120"/>
  <c r="O1216"/>
  <c r="O1236"/>
  <c r="O1271"/>
  <c r="O1283"/>
  <c r="O1322"/>
  <c r="O1427"/>
  <c r="O1496"/>
  <c r="O1518"/>
  <c r="O1576"/>
  <c r="O1700"/>
  <c r="O1708"/>
  <c r="O1716"/>
  <c r="O1724"/>
  <c r="O1735"/>
  <c r="O1743"/>
  <c r="O1794"/>
  <c r="P193" i="5"/>
  <c r="P442"/>
  <c r="P441" s="1"/>
  <c r="P440" s="1"/>
  <c r="P430" s="1"/>
  <c r="P550"/>
  <c r="P678"/>
  <c r="P677" s="1"/>
  <c r="P692"/>
  <c r="P691" s="1"/>
  <c r="P970"/>
  <c r="P969" s="1"/>
  <c r="P1408"/>
  <c r="P1459"/>
  <c r="P562"/>
  <c r="P1718"/>
  <c r="P1717" s="1"/>
  <c r="P1716" s="1"/>
  <c r="P1715" s="1"/>
  <c r="M41" i="1" s="1"/>
  <c r="P1733" i="5"/>
  <c r="P1732" s="1"/>
  <c r="P1731" s="1"/>
  <c r="P1730" s="1"/>
  <c r="P1724" s="1"/>
  <c r="M42" i="1" s="1"/>
  <c r="P43" i="5"/>
  <c r="P141"/>
  <c r="P177"/>
  <c r="P256"/>
  <c r="P268"/>
  <c r="P267" s="1"/>
  <c r="P486"/>
  <c r="P485" s="1"/>
  <c r="P478" s="1"/>
  <c r="M36" i="1" s="1"/>
  <c r="P516" i="5"/>
  <c r="P515" s="1"/>
  <c r="P514" s="1"/>
  <c r="P513" s="1"/>
  <c r="M39" i="1" s="1"/>
  <c r="P576" i="5"/>
  <c r="P575" s="1"/>
  <c r="P574" s="1"/>
  <c r="P812"/>
  <c r="P800" s="1"/>
  <c r="P799" s="1"/>
  <c r="P912"/>
  <c r="P911" s="1"/>
  <c r="P910" s="1"/>
  <c r="P909" s="1"/>
  <c r="P1108"/>
  <c r="P1262"/>
  <c r="P1477"/>
  <c r="P1685"/>
  <c r="P1684" s="1"/>
  <c r="P517"/>
  <c r="O47" i="6"/>
  <c r="O79"/>
  <c r="O190"/>
  <c r="O56"/>
  <c r="O64"/>
  <c r="N172" i="5"/>
  <c r="N383"/>
  <c r="N29" i="6"/>
  <c r="P29" s="1"/>
  <c r="R29" s="1"/>
  <c r="T29" s="1"/>
  <c r="M28"/>
  <c r="N28" s="1"/>
  <c r="P28" s="1"/>
  <c r="R28" s="1"/>
  <c r="T28" s="1"/>
  <c r="O696" i="5"/>
  <c r="Q696" s="1"/>
  <c r="S696" s="1"/>
  <c r="U696" s="1"/>
  <c r="N695"/>
  <c r="O695" s="1"/>
  <c r="Q695" s="1"/>
  <c r="S695" s="1"/>
  <c r="U695" s="1"/>
  <c r="N632"/>
  <c r="N883"/>
  <c r="M832" i="6"/>
  <c r="N832" s="1"/>
  <c r="P832" s="1"/>
  <c r="R832" s="1"/>
  <c r="T832" s="1"/>
  <c r="O1374" i="5"/>
  <c r="Q1374" s="1"/>
  <c r="S1374" s="1"/>
  <c r="U1374" s="1"/>
  <c r="N1373"/>
  <c r="N1372" s="1"/>
  <c r="M1652" i="6"/>
  <c r="M1651" s="1"/>
  <c r="A826"/>
  <c r="A1648"/>
  <c r="A1647"/>
  <c r="A827"/>
  <c r="A1373" i="5"/>
  <c r="A832" i="6"/>
  <c r="A1371" i="5"/>
  <c r="A28" i="6"/>
  <c r="A1650"/>
  <c r="A828"/>
  <c r="A20"/>
  <c r="A29"/>
  <c r="A696" i="5"/>
  <c r="A695"/>
  <c r="A693"/>
  <c r="A831" i="6"/>
  <c r="A1651"/>
  <c r="A26"/>
  <c r="A1652"/>
  <c r="A830"/>
  <c r="A1370" i="5"/>
  <c r="A1372"/>
  <c r="A25" i="6"/>
  <c r="A1374" i="5"/>
  <c r="A694"/>
  <c r="P588" l="1"/>
  <c r="P587" s="1"/>
  <c r="P586" s="1"/>
  <c r="M44" i="1" s="1"/>
  <c r="P73" i="5"/>
  <c r="P72" s="1"/>
  <c r="M26" i="1" s="1"/>
  <c r="Q241" i="5"/>
  <c r="S241" s="1"/>
  <c r="U241" s="1"/>
  <c r="P1144"/>
  <c r="P1143" s="1"/>
  <c r="M31" i="1"/>
  <c r="P277" i="5"/>
  <c r="M1631" i="6"/>
  <c r="N1631" s="1"/>
  <c r="O197"/>
  <c r="O196" s="1"/>
  <c r="P1595" i="5"/>
  <c r="P708"/>
  <c r="P707" s="1"/>
  <c r="P1217"/>
  <c r="P1209" s="1"/>
  <c r="P1195" s="1"/>
  <c r="P1546"/>
  <c r="P1504" s="1"/>
  <c r="M62" i="1"/>
  <c r="P1232" i="5"/>
  <c r="P1231" s="1"/>
  <c r="M60" i="1" s="1"/>
  <c r="P1060" i="5"/>
  <c r="P628"/>
  <c r="P627" s="1"/>
  <c r="O995" i="6"/>
  <c r="P995" s="1"/>
  <c r="R995" s="1"/>
  <c r="T995" s="1"/>
  <c r="P996"/>
  <c r="R996" s="1"/>
  <c r="T996" s="1"/>
  <c r="M35" i="1"/>
  <c r="P1445" i="5"/>
  <c r="P1444" s="1"/>
  <c r="P1407" s="1"/>
  <c r="P245"/>
  <c r="P1620"/>
  <c r="M40" i="1"/>
  <c r="P573" i="5"/>
  <c r="M30" i="1"/>
  <c r="P968" i="5"/>
  <c r="P967" s="1"/>
  <c r="M49" i="1" s="1"/>
  <c r="P860" i="5"/>
  <c r="P859" s="1"/>
  <c r="M24" i="1"/>
  <c r="M61"/>
  <c r="P393" i="5"/>
  <c r="P392" s="1"/>
  <c r="M21" i="1"/>
  <c r="P303" i="5"/>
  <c r="M46" i="1"/>
  <c r="N1633" i="6"/>
  <c r="P1633" s="1"/>
  <c r="R1633" s="1"/>
  <c r="T1633" s="1"/>
  <c r="P423" i="5"/>
  <c r="M32" i="1"/>
  <c r="P561" i="5"/>
  <c r="P819"/>
  <c r="P377"/>
  <c r="O1055" i="6"/>
  <c r="O1158"/>
  <c r="P477" i="5"/>
  <c r="P32"/>
  <c r="P31" s="1"/>
  <c r="P30" s="1"/>
  <c r="M22" i="1" s="1"/>
  <c r="O951" i="6"/>
  <c r="O950" s="1"/>
  <c r="O949" s="1"/>
  <c r="O1443"/>
  <c r="O1442" s="1"/>
  <c r="O1441" s="1"/>
  <c r="O646"/>
  <c r="O645" s="1"/>
  <c r="O644" s="1"/>
  <c r="O795"/>
  <c r="O791" s="1"/>
  <c r="O790" s="1"/>
  <c r="O1081"/>
  <c r="O32"/>
  <c r="O31" s="1"/>
  <c r="O26" s="1"/>
  <c r="O25" s="1"/>
  <c r="O1451"/>
  <c r="O1495"/>
  <c r="O1018"/>
  <c r="O146"/>
  <c r="O22"/>
  <c r="O1656"/>
  <c r="O1525"/>
  <c r="O527"/>
  <c r="O78"/>
  <c r="O1699"/>
  <c r="O1426"/>
  <c r="O1235"/>
  <c r="O1229" s="1"/>
  <c r="O977"/>
  <c r="O852"/>
  <c r="O611"/>
  <c r="O222"/>
  <c r="O958"/>
  <c r="O686"/>
  <c r="O327"/>
  <c r="O1369"/>
  <c r="O1164"/>
  <c r="O1132"/>
  <c r="O970"/>
  <c r="O267"/>
  <c r="O1770"/>
  <c r="O1626"/>
  <c r="O1565"/>
  <c r="O1528"/>
  <c r="O1469"/>
  <c r="O1437"/>
  <c r="O1354"/>
  <c r="O1086"/>
  <c r="O1595"/>
  <c r="O919"/>
  <c r="O633"/>
  <c r="O1809"/>
  <c r="O1755"/>
  <c r="O1602"/>
  <c r="O1547"/>
  <c r="O1541" s="1"/>
  <c r="O1420"/>
  <c r="O1295"/>
  <c r="O1261"/>
  <c r="O1151"/>
  <c r="O1048"/>
  <c r="O1004"/>
  <c r="O893"/>
  <c r="O859"/>
  <c r="O729"/>
  <c r="O676"/>
  <c r="O616"/>
  <c r="O559"/>
  <c r="O483"/>
  <c r="O423"/>
  <c r="O708"/>
  <c r="O543"/>
  <c r="O383"/>
  <c r="O744"/>
  <c r="O357"/>
  <c r="O654"/>
  <c r="O1270"/>
  <c r="O369"/>
  <c r="O680"/>
  <c r="O1377"/>
  <c r="O1200"/>
  <c r="O1140"/>
  <c r="O1038"/>
  <c r="O470"/>
  <c r="O1804"/>
  <c r="O1742"/>
  <c r="O1726"/>
  <c r="O1694"/>
  <c r="O1649"/>
  <c r="O1614"/>
  <c r="O1578"/>
  <c r="O1489"/>
  <c r="O1429"/>
  <c r="O1321"/>
  <c r="O1122"/>
  <c r="O1090"/>
  <c r="O983"/>
  <c r="O912"/>
  <c r="O761"/>
  <c r="O445"/>
  <c r="O1619"/>
  <c r="O924"/>
  <c r="O593"/>
  <c r="O170"/>
  <c r="O55"/>
  <c r="O1707"/>
  <c r="O992"/>
  <c r="O1585"/>
  <c r="O463"/>
  <c r="O411"/>
  <c r="O1750"/>
  <c r="O63"/>
  <c r="O98"/>
  <c r="O502"/>
  <c r="P192" i="5"/>
  <c r="P186" s="1"/>
  <c r="P176" s="1"/>
  <c r="O1337" i="6"/>
  <c r="O1793"/>
  <c r="O1715"/>
  <c r="O1517"/>
  <c r="O1282"/>
  <c r="O1119"/>
  <c r="O931"/>
  <c r="O928" s="1"/>
  <c r="O756"/>
  <c r="O158"/>
  <c r="O1010"/>
  <c r="O899"/>
  <c r="O554"/>
  <c r="O92"/>
  <c r="O1393"/>
  <c r="O1341"/>
  <c r="O1224"/>
  <c r="O1146"/>
  <c r="O805"/>
  <c r="O1787"/>
  <c r="O1690"/>
  <c r="O1644"/>
  <c r="O1609"/>
  <c r="O1535"/>
  <c r="O1485"/>
  <c r="O1406"/>
  <c r="O1098"/>
  <c r="O640"/>
  <c r="O419"/>
  <c r="O1638"/>
  <c r="O1380"/>
  <c r="O829"/>
  <c r="O1778"/>
  <c r="O1775" s="1"/>
  <c r="O1680"/>
  <c r="O1399"/>
  <c r="O1346"/>
  <c r="O1277"/>
  <c r="O1205"/>
  <c r="O1110"/>
  <c r="O1032"/>
  <c r="O819"/>
  <c r="O692"/>
  <c r="O660"/>
  <c r="O571"/>
  <c r="O547"/>
  <c r="O455"/>
  <c r="O769"/>
  <c r="O583"/>
  <c r="O495"/>
  <c r="O315"/>
  <c r="O696"/>
  <c r="O564"/>
  <c r="O431"/>
  <c r="O665"/>
  <c r="O390"/>
  <c r="O189"/>
  <c r="O724"/>
  <c r="O1028"/>
  <c r="O397"/>
  <c r="O112"/>
  <c r="O532"/>
  <c r="O46"/>
  <c r="O1723"/>
  <c r="O1575"/>
  <c r="O1215"/>
  <c r="O943"/>
  <c r="O785"/>
  <c r="O578"/>
  <c r="O210"/>
  <c r="O1043"/>
  <c r="O623"/>
  <c r="O134"/>
  <c r="O1783"/>
  <c r="O1686"/>
  <c r="O1461"/>
  <c r="O1068"/>
  <c r="O737"/>
  <c r="O672"/>
  <c r="O1454"/>
  <c r="O1360"/>
  <c r="O1061"/>
  <c r="O865"/>
  <c r="O1734"/>
  <c r="O1669"/>
  <c r="O1632"/>
  <c r="O1592"/>
  <c r="O1568"/>
  <c r="O1501"/>
  <c r="O1387"/>
  <c r="O1288"/>
  <c r="O1218"/>
  <c r="O1106"/>
  <c r="O717"/>
  <c r="O604"/>
  <c r="O515"/>
  <c r="O1675"/>
  <c r="O1475"/>
  <c r="O884"/>
  <c r="O279"/>
  <c r="P1714" i="5"/>
  <c r="P1713" s="1"/>
  <c r="O478" i="6"/>
  <c r="O172" i="5"/>
  <c r="Q172" s="1"/>
  <c r="S172" s="1"/>
  <c r="U172" s="1"/>
  <c r="N171"/>
  <c r="O171" s="1"/>
  <c r="Q171" s="1"/>
  <c r="S171" s="1"/>
  <c r="U171" s="1"/>
  <c r="M27" i="6"/>
  <c r="N694" i="5"/>
  <c r="N1371"/>
  <c r="O1372"/>
  <c r="Q1372" s="1"/>
  <c r="S1372" s="1"/>
  <c r="U1372" s="1"/>
  <c r="O1373"/>
  <c r="Q1373" s="1"/>
  <c r="S1373" s="1"/>
  <c r="U1373" s="1"/>
  <c r="M831" i="6"/>
  <c r="M1650"/>
  <c r="N1651"/>
  <c r="P1651" s="1"/>
  <c r="R1651" s="1"/>
  <c r="T1651" s="1"/>
  <c r="N1652"/>
  <c r="P1652" s="1"/>
  <c r="R1652" s="1"/>
  <c r="T1652" s="1"/>
  <c r="M1640"/>
  <c r="M1639" s="1"/>
  <c r="A1635"/>
  <c r="A1636"/>
  <c r="A1638"/>
  <c r="A1640"/>
  <c r="A1639"/>
  <c r="A1641"/>
  <c r="P1059" i="5" l="1"/>
  <c r="P966" s="1"/>
  <c r="P908" s="1"/>
  <c r="M1630" i="6"/>
  <c r="M1629" s="1"/>
  <c r="N1629" s="1"/>
  <c r="M47" i="1"/>
  <c r="P1483" i="5"/>
  <c r="P1230"/>
  <c r="P1194" s="1"/>
  <c r="M59" i="1"/>
  <c r="M33"/>
  <c r="P233" i="5"/>
  <c r="P414"/>
  <c r="P1317"/>
  <c r="P1288" s="1"/>
  <c r="M58" i="1"/>
  <c r="M19"/>
  <c r="P175" i="5"/>
  <c r="M28" i="1"/>
  <c r="M27" s="1"/>
  <c r="P560" i="5"/>
  <c r="P626"/>
  <c r="P585" s="1"/>
  <c r="M56" i="1"/>
  <c r="P818" i="5"/>
  <c r="P370"/>
  <c r="O1054" i="6"/>
  <c r="O1053" s="1"/>
  <c r="O1052" s="1"/>
  <c r="O1157"/>
  <c r="O1156" s="1"/>
  <c r="O1155" s="1"/>
  <c r="O1351"/>
  <c r="O1350" s="1"/>
  <c r="P22" i="5"/>
  <c r="O1080" i="6"/>
  <c r="O864"/>
  <c r="O1042"/>
  <c r="O939"/>
  <c r="O723"/>
  <c r="O389"/>
  <c r="O664"/>
  <c r="O563"/>
  <c r="O314"/>
  <c r="O582"/>
  <c r="O454"/>
  <c r="O570"/>
  <c r="O691"/>
  <c r="O1204"/>
  <c r="O1345"/>
  <c r="O1551"/>
  <c r="O418"/>
  <c r="O1097"/>
  <c r="O1532"/>
  <c r="O1643"/>
  <c r="O1786"/>
  <c r="O1118"/>
  <c r="O1516"/>
  <c r="O30"/>
  <c r="O97"/>
  <c r="O462"/>
  <c r="O991"/>
  <c r="O54"/>
  <c r="O650"/>
  <c r="O743"/>
  <c r="O542"/>
  <c r="O422"/>
  <c r="O558"/>
  <c r="O675"/>
  <c r="O858"/>
  <c r="O1003"/>
  <c r="O1150"/>
  <c r="O1294"/>
  <c r="O1419"/>
  <c r="O1599"/>
  <c r="O1808"/>
  <c r="O918"/>
  <c r="O1085"/>
  <c r="O1436"/>
  <c r="O1625"/>
  <c r="O266"/>
  <c r="O326"/>
  <c r="O957"/>
  <c r="O221"/>
  <c r="O848"/>
  <c r="O1698"/>
  <c r="O1693" s="1"/>
  <c r="O521"/>
  <c r="O1655"/>
  <c r="O145"/>
  <c r="O1448"/>
  <c r="O1266"/>
  <c r="O1500"/>
  <c r="O1666"/>
  <c r="O1774"/>
  <c r="O1060"/>
  <c r="O736"/>
  <c r="O1067"/>
  <c r="O1782"/>
  <c r="O209"/>
  <c r="O1214"/>
  <c r="O1720"/>
  <c r="O531"/>
  <c r="O1025"/>
  <c r="O188"/>
  <c r="O1223"/>
  <c r="O1392"/>
  <c r="O553"/>
  <c r="O1009"/>
  <c r="O755"/>
  <c r="O1792"/>
  <c r="O1749"/>
  <c r="O169"/>
  <c r="O444"/>
  <c r="O760"/>
  <c r="O982"/>
  <c r="O1648"/>
  <c r="O1803"/>
  <c r="O1494"/>
  <c r="O278"/>
  <c r="O514"/>
  <c r="O948"/>
  <c r="O1589"/>
  <c r="O1474"/>
  <c r="O622"/>
  <c r="O781"/>
  <c r="O430"/>
  <c r="O695"/>
  <c r="O491"/>
  <c r="O768"/>
  <c r="O659"/>
  <c r="O815"/>
  <c r="O1109"/>
  <c r="O1276"/>
  <c r="O1398"/>
  <c r="O1679"/>
  <c r="O1637"/>
  <c r="O639"/>
  <c r="O1405"/>
  <c r="O1479"/>
  <c r="O1606"/>
  <c r="O1689"/>
  <c r="O801"/>
  <c r="O91"/>
  <c r="O157"/>
  <c r="O1281"/>
  <c r="O1712"/>
  <c r="O501"/>
  <c r="O62"/>
  <c r="O410"/>
  <c r="O1582"/>
  <c r="O1706"/>
  <c r="O923"/>
  <c r="O1037"/>
  <c r="O1199"/>
  <c r="O351"/>
  <c r="O382"/>
  <c r="O707"/>
  <c r="O615"/>
  <c r="O728"/>
  <c r="O889"/>
  <c r="O1047"/>
  <c r="O1260"/>
  <c r="O1754"/>
  <c r="O629"/>
  <c r="O1468"/>
  <c r="O1562"/>
  <c r="O1767"/>
  <c r="O1163"/>
  <c r="O685"/>
  <c r="O1425"/>
  <c r="O77"/>
  <c r="O1522"/>
  <c r="O21"/>
  <c r="O1374"/>
  <c r="O477"/>
  <c r="O883"/>
  <c r="O1386"/>
  <c r="O1228"/>
  <c r="O1674"/>
  <c r="O603"/>
  <c r="O789"/>
  <c r="O1105"/>
  <c r="O1287"/>
  <c r="O1440"/>
  <c r="O1631"/>
  <c r="P1632"/>
  <c r="R1632" s="1"/>
  <c r="T1632" s="1"/>
  <c r="O1733"/>
  <c r="O671"/>
  <c r="O1460"/>
  <c r="O1685"/>
  <c r="O133"/>
  <c r="O577"/>
  <c r="O1572"/>
  <c r="O45"/>
  <c r="O195"/>
  <c r="O396"/>
  <c r="O828"/>
  <c r="O1145"/>
  <c r="O1340"/>
  <c r="O898"/>
  <c r="O1336"/>
  <c r="O592"/>
  <c r="O1618"/>
  <c r="O908"/>
  <c r="O1089"/>
  <c r="O1320"/>
  <c r="O1488"/>
  <c r="O1613"/>
  <c r="O1741"/>
  <c r="O469"/>
  <c r="O1139"/>
  <c r="O368"/>
  <c r="O969"/>
  <c r="O1368"/>
  <c r="O610"/>
  <c r="O976"/>
  <c r="O1017"/>
  <c r="N27"/>
  <c r="P27" s="1"/>
  <c r="R27" s="1"/>
  <c r="T27" s="1"/>
  <c r="O694" i="5"/>
  <c r="Q694" s="1"/>
  <c r="S694" s="1"/>
  <c r="U694" s="1"/>
  <c r="N693"/>
  <c r="O693" s="1"/>
  <c r="Q693" s="1"/>
  <c r="S693" s="1"/>
  <c r="U693" s="1"/>
  <c r="N1370"/>
  <c r="O1370" s="1"/>
  <c r="Q1370" s="1"/>
  <c r="S1370" s="1"/>
  <c r="U1370" s="1"/>
  <c r="O1371"/>
  <c r="Q1371" s="1"/>
  <c r="S1371" s="1"/>
  <c r="U1371" s="1"/>
  <c r="M830" i="6"/>
  <c r="N831"/>
  <c r="P831" s="1"/>
  <c r="R831" s="1"/>
  <c r="T831" s="1"/>
  <c r="M1649"/>
  <c r="N1650"/>
  <c r="P1650" s="1"/>
  <c r="R1650" s="1"/>
  <c r="T1650" s="1"/>
  <c r="M1638"/>
  <c r="N1639"/>
  <c r="P1639" s="1"/>
  <c r="R1639" s="1"/>
  <c r="T1639" s="1"/>
  <c r="N1640"/>
  <c r="P1640" s="1"/>
  <c r="R1640" s="1"/>
  <c r="T1640" s="1"/>
  <c r="N583" i="5"/>
  <c r="N582" s="1"/>
  <c r="O582" s="1"/>
  <c r="Q582" s="1"/>
  <c r="S582" s="1"/>
  <c r="U582" s="1"/>
  <c r="N579"/>
  <c r="N578" s="1"/>
  <c r="O580"/>
  <c r="Q580" s="1"/>
  <c r="S580" s="1"/>
  <c r="U580" s="1"/>
  <c r="O584"/>
  <c r="Q584" s="1"/>
  <c r="S584" s="1"/>
  <c r="U584" s="1"/>
  <c r="A573"/>
  <c r="A581"/>
  <c r="A584"/>
  <c r="A578"/>
  <c r="A575"/>
  <c r="A582"/>
  <c r="A580"/>
  <c r="A576"/>
  <c r="A583"/>
  <c r="A579"/>
  <c r="A577"/>
  <c r="M50" i="1" l="1"/>
  <c r="M48" s="1"/>
  <c r="N1630" i="6"/>
  <c r="P559" i="5"/>
  <c r="M45" i="1"/>
  <c r="P572" i="5"/>
  <c r="M53" i="1"/>
  <c r="P369" i="5"/>
  <c r="M64" i="1"/>
  <c r="O1079" i="6"/>
  <c r="O968"/>
  <c r="O1144"/>
  <c r="O602"/>
  <c r="O591" s="1"/>
  <c r="O1373"/>
  <c r="O1521"/>
  <c r="O1424"/>
  <c r="O684"/>
  <c r="O1467"/>
  <c r="O1753"/>
  <c r="O1046"/>
  <c r="O706"/>
  <c r="O1036"/>
  <c r="O1702"/>
  <c r="O409"/>
  <c r="O1280"/>
  <c r="O152"/>
  <c r="O800"/>
  <c r="O1404"/>
  <c r="O1636"/>
  <c r="O1397"/>
  <c r="O767"/>
  <c r="O1473"/>
  <c r="O508"/>
  <c r="O1493"/>
  <c r="O1647"/>
  <c r="O168"/>
  <c r="O1791"/>
  <c r="O1008"/>
  <c r="O1391"/>
  <c r="O187"/>
  <c r="O1213"/>
  <c r="O1781"/>
  <c r="O735"/>
  <c r="O1773"/>
  <c r="O1499"/>
  <c r="O144"/>
  <c r="O847"/>
  <c r="O956"/>
  <c r="O265"/>
  <c r="O1435"/>
  <c r="O917"/>
  <c r="O1293"/>
  <c r="O1002"/>
  <c r="O742"/>
  <c r="O53"/>
  <c r="O461"/>
  <c r="O1117"/>
  <c r="O417"/>
  <c r="O1344"/>
  <c r="O690"/>
  <c r="O301"/>
  <c r="O722"/>
  <c r="O1349"/>
  <c r="O975"/>
  <c r="O1335"/>
  <c r="O1459"/>
  <c r="O1630"/>
  <c r="P1631"/>
  <c r="R1631" s="1"/>
  <c r="T1631" s="1"/>
  <c r="O1286"/>
  <c r="O788"/>
  <c r="O1673"/>
  <c r="O1385"/>
  <c r="O476"/>
  <c r="O1766"/>
  <c r="O344"/>
  <c r="O1605"/>
  <c r="O780"/>
  <c r="O520"/>
  <c r="O1598"/>
  <c r="O1041"/>
  <c r="O1016"/>
  <c r="O1367"/>
  <c r="O1339"/>
  <c r="O1571"/>
  <c r="O20"/>
  <c r="O76"/>
  <c r="O1162"/>
  <c r="O888"/>
  <c r="O381"/>
  <c r="O61"/>
  <c r="O1711"/>
  <c r="O90"/>
  <c r="O638"/>
  <c r="O1678"/>
  <c r="O1275"/>
  <c r="O814"/>
  <c r="O429"/>
  <c r="O621"/>
  <c r="O277"/>
  <c r="O1802"/>
  <c r="O981"/>
  <c r="O443"/>
  <c r="O1748"/>
  <c r="O552"/>
  <c r="O1222"/>
  <c r="O1066"/>
  <c r="O1059"/>
  <c r="O1447"/>
  <c r="O1654"/>
  <c r="O220"/>
  <c r="O1624"/>
  <c r="O1084"/>
  <c r="O1807"/>
  <c r="O1418"/>
  <c r="O1149"/>
  <c r="O857"/>
  <c r="O557"/>
  <c r="O541"/>
  <c r="O649"/>
  <c r="O990"/>
  <c r="O96"/>
  <c r="O1515"/>
  <c r="O1642"/>
  <c r="O1096"/>
  <c r="O1203"/>
  <c r="O569"/>
  <c r="O581"/>
  <c r="O388"/>
  <c r="O863"/>
  <c r="O468"/>
  <c r="O1617"/>
  <c r="O827"/>
  <c r="O132"/>
  <c r="O609"/>
  <c r="O1138"/>
  <c r="O1740"/>
  <c r="O1612"/>
  <c r="O1319"/>
  <c r="O907"/>
  <c r="O897"/>
  <c r="O395"/>
  <c r="O44"/>
  <c r="O576"/>
  <c r="O670"/>
  <c r="O1732"/>
  <c r="O1104"/>
  <c r="O1227"/>
  <c r="O882"/>
  <c r="O1561"/>
  <c r="O628"/>
  <c r="O614"/>
  <c r="O1198"/>
  <c r="O1581"/>
  <c r="O1478"/>
  <c r="O490"/>
  <c r="O1588"/>
  <c r="O754"/>
  <c r="O1024"/>
  <c r="O1719"/>
  <c r="O208"/>
  <c r="O1665"/>
  <c r="O1265"/>
  <c r="O1550"/>
  <c r="O938"/>
  <c r="M829"/>
  <c r="N830"/>
  <c r="P830" s="1"/>
  <c r="R830" s="1"/>
  <c r="T830" s="1"/>
  <c r="O579" i="5"/>
  <c r="Q579" s="1"/>
  <c r="S579" s="1"/>
  <c r="U579" s="1"/>
  <c r="O583"/>
  <c r="Q583" s="1"/>
  <c r="S583" s="1"/>
  <c r="U583" s="1"/>
  <c r="M1648" i="6"/>
  <c r="N1649"/>
  <c r="P1649" s="1"/>
  <c r="R1649" s="1"/>
  <c r="T1649" s="1"/>
  <c r="M1637"/>
  <c r="N1638"/>
  <c r="P1638" s="1"/>
  <c r="R1638" s="1"/>
  <c r="T1638" s="1"/>
  <c r="N581" i="5"/>
  <c r="O581" s="1"/>
  <c r="Q581" s="1"/>
  <c r="S581" s="1"/>
  <c r="U581" s="1"/>
  <c r="O578"/>
  <c r="Q578" s="1"/>
  <c r="S578" s="1"/>
  <c r="U578" s="1"/>
  <c r="N577"/>
  <c r="O577" s="1"/>
  <c r="Q577" s="1"/>
  <c r="S577" s="1"/>
  <c r="U577" s="1"/>
  <c r="N70"/>
  <c r="N69" s="1"/>
  <c r="N68" s="1"/>
  <c r="N67" s="1"/>
  <c r="O67" s="1"/>
  <c r="Q67" s="1"/>
  <c r="S67" s="1"/>
  <c r="U67" s="1"/>
  <c r="A66"/>
  <c r="A70"/>
  <c r="A68"/>
  <c r="A69"/>
  <c r="A67"/>
  <c r="O1259" i="6" l="1"/>
  <c r="P549" i="5"/>
  <c r="M43" i="1"/>
  <c r="P21" i="5"/>
  <c r="M63" i="1"/>
  <c r="O1520" i="6"/>
  <c r="O937"/>
  <c r="O207"/>
  <c r="O1023"/>
  <c r="O1472"/>
  <c r="O1197"/>
  <c r="O627"/>
  <c r="O881"/>
  <c r="O1103"/>
  <c r="O669"/>
  <c r="O896"/>
  <c r="O1137"/>
  <c r="O131"/>
  <c r="O862"/>
  <c r="O1641"/>
  <c r="O643"/>
  <c r="O1623"/>
  <c r="O1653"/>
  <c r="O980"/>
  <c r="O428"/>
  <c r="O1710"/>
  <c r="O75"/>
  <c r="O1366"/>
  <c r="O519"/>
  <c r="O1758"/>
  <c r="O1384"/>
  <c r="O1629"/>
  <c r="P1629" s="1"/>
  <c r="R1629" s="1"/>
  <c r="T1629" s="1"/>
  <c r="P1630"/>
  <c r="R1630" s="1"/>
  <c r="T1630" s="1"/>
  <c r="O1329"/>
  <c r="O1434"/>
  <c r="O955"/>
  <c r="O143"/>
  <c r="O1007"/>
  <c r="O161"/>
  <c r="O1492"/>
  <c r="O766"/>
  <c r="O1635"/>
  <c r="O799"/>
  <c r="O1035"/>
  <c r="O967"/>
  <c r="O1664"/>
  <c r="O1718"/>
  <c r="O753"/>
  <c r="O489"/>
  <c r="O575"/>
  <c r="O1318"/>
  <c r="O608"/>
  <c r="O826"/>
  <c r="O467"/>
  <c r="O387"/>
  <c r="O568"/>
  <c r="O1095"/>
  <c r="O989"/>
  <c r="O988" s="1"/>
  <c r="O540"/>
  <c r="O856"/>
  <c r="O1417"/>
  <c r="O1078"/>
  <c r="O1446"/>
  <c r="O1065"/>
  <c r="O546"/>
  <c r="O442"/>
  <c r="O1801"/>
  <c r="O620"/>
  <c r="O813"/>
  <c r="O887"/>
  <c r="O1161"/>
  <c r="O19"/>
  <c r="O1338"/>
  <c r="O1015"/>
  <c r="O779"/>
  <c r="O475"/>
  <c r="O1672"/>
  <c r="O1285"/>
  <c r="O1458"/>
  <c r="O974"/>
  <c r="O716"/>
  <c r="O689"/>
  <c r="O416"/>
  <c r="O52"/>
  <c r="O1001"/>
  <c r="O258"/>
  <c r="O846"/>
  <c r="O1498"/>
  <c r="O734"/>
  <c r="O1403"/>
  <c r="O700"/>
  <c r="O1466"/>
  <c r="O1423"/>
  <c r="O1372"/>
  <c r="O1143"/>
  <c r="O500"/>
  <c r="O906"/>
  <c r="O151"/>
  <c r="M828"/>
  <c r="N829"/>
  <c r="P829" s="1"/>
  <c r="R829" s="1"/>
  <c r="T829" s="1"/>
  <c r="M1647"/>
  <c r="N1647" s="1"/>
  <c r="P1647" s="1"/>
  <c r="R1647" s="1"/>
  <c r="T1647" s="1"/>
  <c r="N1648"/>
  <c r="P1648" s="1"/>
  <c r="R1648" s="1"/>
  <c r="T1648" s="1"/>
  <c r="M1636"/>
  <c r="N1637"/>
  <c r="P1637" s="1"/>
  <c r="R1637" s="1"/>
  <c r="T1637" s="1"/>
  <c r="N576" i="5"/>
  <c r="O576" s="1"/>
  <c r="Q576" s="1"/>
  <c r="S576" s="1"/>
  <c r="U576" s="1"/>
  <c r="N66"/>
  <c r="O66" s="1"/>
  <c r="Q66" s="1"/>
  <c r="S66" s="1"/>
  <c r="U66" s="1"/>
  <c r="G70"/>
  <c r="G69" s="1"/>
  <c r="A71"/>
  <c r="P548" l="1"/>
  <c r="M34" i="1"/>
  <c r="O607" i="6"/>
  <c r="O798"/>
  <c r="O1465"/>
  <c r="O1077"/>
  <c r="O1102"/>
  <c r="O1514"/>
  <c r="O1396"/>
  <c r="O460"/>
  <c r="O380"/>
  <c r="O973"/>
  <c r="O1014"/>
  <c r="O435"/>
  <c r="O1622"/>
  <c r="O130"/>
  <c r="O626"/>
  <c r="O206"/>
  <c r="O727"/>
  <c r="O1000"/>
  <c r="O778"/>
  <c r="O812"/>
  <c r="O1416"/>
  <c r="O954"/>
  <c r="O518"/>
  <c r="O1058"/>
  <c r="O1258"/>
  <c r="O1365"/>
  <c r="O150"/>
  <c r="O539"/>
  <c r="O1328"/>
  <c r="O741"/>
  <c r="M827"/>
  <c r="N828"/>
  <c r="P828" s="1"/>
  <c r="R828" s="1"/>
  <c r="T828" s="1"/>
  <c r="N65" i="5"/>
  <c r="M1635" i="6"/>
  <c r="N1635" s="1"/>
  <c r="P1635" s="1"/>
  <c r="R1635" s="1"/>
  <c r="T1635" s="1"/>
  <c r="N1636"/>
  <c r="P1636" s="1"/>
  <c r="R1636" s="1"/>
  <c r="T1636" s="1"/>
  <c r="N575" i="5"/>
  <c r="G68"/>
  <c r="I69"/>
  <c r="K69" s="1"/>
  <c r="M69" s="1"/>
  <c r="O69" s="1"/>
  <c r="Q69" s="1"/>
  <c r="S69" s="1"/>
  <c r="U69" s="1"/>
  <c r="I70"/>
  <c r="K70" s="1"/>
  <c r="M70" s="1"/>
  <c r="O70" s="1"/>
  <c r="Q70" s="1"/>
  <c r="S70" s="1"/>
  <c r="U70" s="1"/>
  <c r="I71"/>
  <c r="K71" s="1"/>
  <c r="M71" s="1"/>
  <c r="O71" s="1"/>
  <c r="Q71" s="1"/>
  <c r="S71" s="1"/>
  <c r="U71" s="1"/>
  <c r="M29" i="1" l="1"/>
  <c r="P547" i="5"/>
  <c r="O759" i="6"/>
  <c r="O1013"/>
  <c r="O1327"/>
  <c r="O1364"/>
  <c r="O1464"/>
  <c r="O1101"/>
  <c r="O1513"/>
  <c r="O149"/>
  <c r="O947"/>
  <c r="O235"/>
  <c r="M826"/>
  <c r="N826" s="1"/>
  <c r="P826" s="1"/>
  <c r="R826" s="1"/>
  <c r="T826" s="1"/>
  <c r="N827"/>
  <c r="P827" s="1"/>
  <c r="R827" s="1"/>
  <c r="T827" s="1"/>
  <c r="O575" i="5"/>
  <c r="Q575" s="1"/>
  <c r="S575" s="1"/>
  <c r="U575" s="1"/>
  <c r="N574"/>
  <c r="K30" i="1" s="1"/>
  <c r="G65" i="5"/>
  <c r="I65" s="1"/>
  <c r="K65" s="1"/>
  <c r="M65" s="1"/>
  <c r="O65" s="1"/>
  <c r="Q65" s="1"/>
  <c r="S65" s="1"/>
  <c r="U65" s="1"/>
  <c r="I68"/>
  <c r="K68" s="1"/>
  <c r="M68" s="1"/>
  <c r="O68" s="1"/>
  <c r="Q68" s="1"/>
  <c r="S68" s="1"/>
  <c r="U68" s="1"/>
  <c r="N593"/>
  <c r="M37" i="6"/>
  <c r="N37" s="1"/>
  <c r="P37" s="1"/>
  <c r="R37" s="1"/>
  <c r="T37" s="1"/>
  <c r="A37"/>
  <c r="M67" i="1" l="1"/>
  <c r="P1742" i="5"/>
  <c r="O1326" i="6"/>
  <c r="O18"/>
  <c r="O1512"/>
  <c r="O574" i="5"/>
  <c r="Q574" s="1"/>
  <c r="S574" s="1"/>
  <c r="U574" s="1"/>
  <c r="N573"/>
  <c r="N717"/>
  <c r="L717"/>
  <c r="O719"/>
  <c r="Q719" s="1"/>
  <c r="S719" s="1"/>
  <c r="U719" s="1"/>
  <c r="A719"/>
  <c r="O1257" i="6" l="1"/>
  <c r="O573" i="5"/>
  <c r="Q573" s="1"/>
  <c r="S573" s="1"/>
  <c r="U573" s="1"/>
  <c r="N448"/>
  <c r="N446" s="1"/>
  <c r="N1740"/>
  <c r="N1737"/>
  <c r="N1736" s="1"/>
  <c r="N1734"/>
  <c r="N1728"/>
  <c r="N1727" s="1"/>
  <c r="N1722"/>
  <c r="N1719"/>
  <c r="N1711"/>
  <c r="N1708"/>
  <c r="N1707" s="1"/>
  <c r="N1705"/>
  <c r="N1696"/>
  <c r="N1695" s="1"/>
  <c r="N1690"/>
  <c r="N1676"/>
  <c r="N1675" s="1"/>
  <c r="N1665"/>
  <c r="N1664" s="1"/>
  <c r="N1657"/>
  <c r="N1656" s="1"/>
  <c r="N1655" s="1"/>
  <c r="N1653"/>
  <c r="N1649"/>
  <c r="N1648" s="1"/>
  <c r="N1645"/>
  <c r="N1638"/>
  <c r="N1637" s="1"/>
  <c r="N1635"/>
  <c r="N1631"/>
  <c r="N1630" s="1"/>
  <c r="N1629" s="1"/>
  <c r="N1625"/>
  <c r="N1618"/>
  <c r="N1611"/>
  <c r="N1607"/>
  <c r="N1606" s="1"/>
  <c r="N1605" s="1"/>
  <c r="N1593"/>
  <c r="N1592" s="1"/>
  <c r="N1590"/>
  <c r="N1589" s="1"/>
  <c r="N1587"/>
  <c r="N1584"/>
  <c r="N1573"/>
  <c r="N1572" s="1"/>
  <c r="N1570"/>
  <c r="N1567"/>
  <c r="N1564"/>
  <c r="N1563" s="1"/>
  <c r="N1562" s="1"/>
  <c r="N1555"/>
  <c r="N1554" s="1"/>
  <c r="N1550"/>
  <c r="N1549" s="1"/>
  <c r="N1548" s="1"/>
  <c r="N1547" s="1"/>
  <c r="N1544"/>
  <c r="N1521"/>
  <c r="N1514"/>
  <c r="N1513" s="1"/>
  <c r="N1509"/>
  <c r="N1508" s="1"/>
  <c r="N1498"/>
  <c r="N1497" s="1"/>
  <c r="N1496" s="1"/>
  <c r="N1495" s="1"/>
  <c r="N1493"/>
  <c r="N1492" s="1"/>
  <c r="N1489"/>
  <c r="N1481"/>
  <c r="N1480" s="1"/>
  <c r="N1478"/>
  <c r="N1475"/>
  <c r="N1474" s="1"/>
  <c r="N1472"/>
  <c r="N1468"/>
  <c r="N1463"/>
  <c r="N1462" s="1"/>
  <c r="N1460"/>
  <c r="N1457"/>
  <c r="N1456" s="1"/>
  <c r="N1454"/>
  <c r="N1451"/>
  <c r="N1450" s="1"/>
  <c r="N1448"/>
  <c r="N1436"/>
  <c r="N1435" s="1"/>
  <c r="N1431" s="1"/>
  <c r="N1426"/>
  <c r="N1423"/>
  <c r="N1419"/>
  <c r="N1411"/>
  <c r="N1410" s="1"/>
  <c r="N1409" s="1"/>
  <c r="N1404"/>
  <c r="N1403" s="1"/>
  <c r="N1397"/>
  <c r="N1389"/>
  <c r="N1368"/>
  <c r="N1367" s="1"/>
  <c r="N1363" s="1"/>
  <c r="N1362" s="1"/>
  <c r="N1360"/>
  <c r="N1359" s="1"/>
  <c r="N1352"/>
  <c r="N1351" s="1"/>
  <c r="N1347" s="1"/>
  <c r="N1344"/>
  <c r="N1334"/>
  <c r="N1333" s="1"/>
  <c r="N1332" s="1"/>
  <c r="N1326"/>
  <c r="N1325" s="1"/>
  <c r="N1324" s="1"/>
  <c r="N1319" s="1"/>
  <c r="N1315"/>
  <c r="N1314" s="1"/>
  <c r="N1311"/>
  <c r="N1310" s="1"/>
  <c r="N1309" s="1"/>
  <c r="N1307"/>
  <c r="N1305"/>
  <c r="N1301"/>
  <c r="N1300" s="1"/>
  <c r="N1299" s="1"/>
  <c r="N1286"/>
  <c r="N1285" s="1"/>
  <c r="N1283"/>
  <c r="N1277"/>
  <c r="N1276" s="1"/>
  <c r="N1271"/>
  <c r="N1270" s="1"/>
  <c r="N1266"/>
  <c r="N1265" s="1"/>
  <c r="N1254"/>
  <c r="N1253" s="1"/>
  <c r="N1252" s="1"/>
  <c r="N1250"/>
  <c r="N1248"/>
  <c r="N1245"/>
  <c r="N1244" s="1"/>
  <c r="N1241"/>
  <c r="N1239"/>
  <c r="N1235"/>
  <c r="N1234" s="1"/>
  <c r="N1228"/>
  <c r="N1226"/>
  <c r="N1222"/>
  <c r="N1220"/>
  <c r="N1215"/>
  <c r="N1213"/>
  <c r="N1207"/>
  <c r="N1202"/>
  <c r="N1200"/>
  <c r="N1192"/>
  <c r="N1191" s="1"/>
  <c r="N1190" s="1"/>
  <c r="N1188"/>
  <c r="N1187" s="1"/>
  <c r="N1185"/>
  <c r="N1184" s="1"/>
  <c r="N1182"/>
  <c r="N1171"/>
  <c r="N1169"/>
  <c r="N1153"/>
  <c r="N1151"/>
  <c r="N1147"/>
  <c r="N1146" s="1"/>
  <c r="N1145" s="1"/>
  <c r="N1141"/>
  <c r="N1140" s="1"/>
  <c r="N1137"/>
  <c r="N1136" s="1"/>
  <c r="N1133"/>
  <c r="N1129"/>
  <c r="N1128" s="1"/>
  <c r="N1127" s="1"/>
  <c r="N1124"/>
  <c r="N1119"/>
  <c r="N1115"/>
  <c r="N1111"/>
  <c r="N1110" s="1"/>
  <c r="N1109" s="1"/>
  <c r="N1106"/>
  <c r="N1104"/>
  <c r="N1100"/>
  <c r="N1099" s="1"/>
  <c r="N1095"/>
  <c r="N1094" s="1"/>
  <c r="N1093" s="1"/>
  <c r="N1091"/>
  <c r="N1090" s="1"/>
  <c r="N1086"/>
  <c r="N1085" s="1"/>
  <c r="N1084" s="1"/>
  <c r="N1082"/>
  <c r="N1081" s="1"/>
  <c r="N1073"/>
  <c r="N1072" s="1"/>
  <c r="N1071" s="1"/>
  <c r="N1069"/>
  <c r="N1068" s="1"/>
  <c r="N1064"/>
  <c r="N1063" s="1"/>
  <c r="N1062" s="1"/>
  <c r="N1057"/>
  <c r="N1051"/>
  <c r="N1050" s="1"/>
  <c r="N1046"/>
  <c r="N1037"/>
  <c r="N1035"/>
  <c r="N1026"/>
  <c r="N1025" s="1"/>
  <c r="N1024" s="1"/>
  <c r="N1022"/>
  <c r="N1013"/>
  <c r="N1009"/>
  <c r="N1005"/>
  <c r="N1004" s="1"/>
  <c r="N1001"/>
  <c r="N992"/>
  <c r="N991" s="1"/>
  <c r="N988"/>
  <c r="N984"/>
  <c r="N983" s="1"/>
  <c r="N975"/>
  <c r="N974" s="1"/>
  <c r="N972"/>
  <c r="N964"/>
  <c r="N963" s="1"/>
  <c r="N962" s="1"/>
  <c r="N960"/>
  <c r="N959" s="1"/>
  <c r="N945"/>
  <c r="N944" s="1"/>
  <c r="N943" s="1"/>
  <c r="N942" s="1"/>
  <c r="N938"/>
  <c r="N937" s="1"/>
  <c r="N928"/>
  <c r="N916"/>
  <c r="N913"/>
  <c r="N906"/>
  <c r="N905" s="1"/>
  <c r="N898"/>
  <c r="N897" s="1"/>
  <c r="N896" s="1"/>
  <c r="N895" s="1"/>
  <c r="N890"/>
  <c r="N882"/>
  <c r="N881" s="1"/>
  <c r="N880" s="1"/>
  <c r="N875"/>
  <c r="N872"/>
  <c r="N871" s="1"/>
  <c r="N869"/>
  <c r="N868" s="1"/>
  <c r="N866"/>
  <c r="N857"/>
  <c r="N856" s="1"/>
  <c r="N849"/>
  <c r="N848" s="1"/>
  <c r="N847" s="1"/>
  <c r="N846" s="1"/>
  <c r="N845" s="1"/>
  <c r="N843"/>
  <c r="N835"/>
  <c r="N830"/>
  <c r="N829" s="1"/>
  <c r="N828" s="1"/>
  <c r="N827" s="1"/>
  <c r="N826" s="1"/>
  <c r="N824"/>
  <c r="N816"/>
  <c r="N815" s="1"/>
  <c r="N813"/>
  <c r="N810"/>
  <c r="N809" s="1"/>
  <c r="N808" s="1"/>
  <c r="N806"/>
  <c r="N803"/>
  <c r="N797"/>
  <c r="N796" s="1"/>
  <c r="N795" s="1"/>
  <c r="N791"/>
  <c r="N790" s="1"/>
  <c r="N787"/>
  <c r="N786" s="1"/>
  <c r="N784"/>
  <c r="N783" s="1"/>
  <c r="N774"/>
  <c r="N772"/>
  <c r="N769"/>
  <c r="N768" s="1"/>
  <c r="N764"/>
  <c r="N760"/>
  <c r="N759" s="1"/>
  <c r="N758" s="1"/>
  <c r="N755"/>
  <c r="N753"/>
  <c r="N750"/>
  <c r="N746"/>
  <c r="N744"/>
  <c r="M191" i="6" s="1"/>
  <c r="N740" i="5"/>
  <c r="N739" s="1"/>
  <c r="N735"/>
  <c r="N733"/>
  <c r="N728"/>
  <c r="N726"/>
  <c r="N722"/>
  <c r="N721" s="1"/>
  <c r="N720" s="1"/>
  <c r="N715"/>
  <c r="N714" s="1"/>
  <c r="N713" s="1"/>
  <c r="N711"/>
  <c r="N705"/>
  <c r="N704" s="1"/>
  <c r="N703" s="1"/>
  <c r="N700"/>
  <c r="N683"/>
  <c r="N682" s="1"/>
  <c r="N680"/>
  <c r="N679" s="1"/>
  <c r="N675"/>
  <c r="N674" s="1"/>
  <c r="N673" s="1"/>
  <c r="N670"/>
  <c r="N664"/>
  <c r="N663" s="1"/>
  <c r="N662" s="1"/>
  <c r="N660"/>
  <c r="N653"/>
  <c r="N652" s="1"/>
  <c r="N651" s="1"/>
  <c r="N648"/>
  <c r="N645"/>
  <c r="N640"/>
  <c r="N639" s="1"/>
  <c r="N637"/>
  <c r="N636" s="1"/>
  <c r="N633"/>
  <c r="N631"/>
  <c r="N624"/>
  <c r="N622"/>
  <c r="N616"/>
  <c r="N615" s="1"/>
  <c r="N614" s="1"/>
  <c r="N611"/>
  <c r="N599"/>
  <c r="N597"/>
  <c r="N591"/>
  <c r="N569"/>
  <c r="N568" s="1"/>
  <c r="N566"/>
  <c r="N565" s="1"/>
  <c r="N563"/>
  <c r="N557"/>
  <c r="N556" s="1"/>
  <c r="N545"/>
  <c r="N544" s="1"/>
  <c r="N543" s="1"/>
  <c r="N542" s="1"/>
  <c r="N538"/>
  <c r="N537" s="1"/>
  <c r="N530"/>
  <c r="N529" s="1"/>
  <c r="N528" s="1"/>
  <c r="N527" s="1"/>
  <c r="N524"/>
  <c r="N521"/>
  <c r="N520" s="1"/>
  <c r="N518"/>
  <c r="N511"/>
  <c r="N510" s="1"/>
  <c r="N509" s="1"/>
  <c r="N506"/>
  <c r="N504"/>
  <c r="N493"/>
  <c r="N492" s="1"/>
  <c r="N491" s="1"/>
  <c r="N489"/>
  <c r="N483"/>
  <c r="N482" s="1"/>
  <c r="N481" s="1"/>
  <c r="N475"/>
  <c r="N474" s="1"/>
  <c r="N468"/>
  <c r="N465"/>
  <c r="N464" s="1"/>
  <c r="N459"/>
  <c r="N458" s="1"/>
  <c r="N457" s="1"/>
  <c r="N456" s="1"/>
  <c r="N454"/>
  <c r="N453" s="1"/>
  <c r="N450"/>
  <c r="N449" s="1"/>
  <c r="N443"/>
  <c r="N428"/>
  <c r="N421"/>
  <c r="N420" s="1"/>
  <c r="N419" s="1"/>
  <c r="N418" s="1"/>
  <c r="N412"/>
  <c r="N411" s="1"/>
  <c r="N409"/>
  <c r="N408" s="1"/>
  <c r="N405"/>
  <c r="N404" s="1"/>
  <c r="N402"/>
  <c r="N399"/>
  <c r="N390"/>
  <c r="N385"/>
  <c r="N379"/>
  <c r="N375"/>
  <c r="N374" s="1"/>
  <c r="N367"/>
  <c r="N366" s="1"/>
  <c r="N365" s="1"/>
  <c r="N364" s="1"/>
  <c r="N362"/>
  <c r="N361" s="1"/>
  <c r="N349"/>
  <c r="N348" s="1"/>
  <c r="N347" s="1"/>
  <c r="N344"/>
  <c r="N338"/>
  <c r="N337" s="1"/>
  <c r="N336" s="1"/>
  <c r="N331"/>
  <c r="N321"/>
  <c r="N320" s="1"/>
  <c r="N319" s="1"/>
  <c r="N317"/>
  <c r="N316" s="1"/>
  <c r="N312"/>
  <c r="N311" s="1"/>
  <c r="N310" s="1"/>
  <c r="N308"/>
  <c r="N307" s="1"/>
  <c r="N301"/>
  <c r="N300" s="1"/>
  <c r="N299" s="1"/>
  <c r="N296"/>
  <c r="N293"/>
  <c r="N292" s="1"/>
  <c r="N290"/>
  <c r="N289" s="1"/>
  <c r="N283"/>
  <c r="N282" s="1"/>
  <c r="N280"/>
  <c r="N275"/>
  <c r="N274" s="1"/>
  <c r="N273" s="1"/>
  <c r="N271"/>
  <c r="N265"/>
  <c r="N264" s="1"/>
  <c r="N263" s="1"/>
  <c r="N262" s="1"/>
  <c r="N260"/>
  <c r="N259" s="1"/>
  <c r="N253"/>
  <c r="N252" s="1"/>
  <c r="N251" s="1"/>
  <c r="N249"/>
  <c r="N248" s="1"/>
  <c r="N238"/>
  <c r="N237" s="1"/>
  <c r="N236" s="1"/>
  <c r="N235" s="1"/>
  <c r="N231"/>
  <c r="N230" s="1"/>
  <c r="N228"/>
  <c r="N227" s="1"/>
  <c r="N225"/>
  <c r="N219"/>
  <c r="N218" s="1"/>
  <c r="N216"/>
  <c r="N215" s="1"/>
  <c r="N213"/>
  <c r="N212" s="1"/>
  <c r="N210"/>
  <c r="N207"/>
  <c r="N206" s="1"/>
  <c r="N204"/>
  <c r="N200"/>
  <c r="N199" s="1"/>
  <c r="N197"/>
  <c r="N194"/>
  <c r="N190"/>
  <c r="N184"/>
  <c r="N183" s="1"/>
  <c r="N182" s="1"/>
  <c r="N180"/>
  <c r="N179" s="1"/>
  <c r="N169"/>
  <c r="N168" s="1"/>
  <c r="N167" s="1"/>
  <c r="N166" s="1"/>
  <c r="N162"/>
  <c r="N156"/>
  <c r="N155" s="1"/>
  <c r="N154" s="1"/>
  <c r="N152"/>
  <c r="N148"/>
  <c r="N147" s="1"/>
  <c r="N146" s="1"/>
  <c r="N144"/>
  <c r="N134"/>
  <c r="N133" s="1"/>
  <c r="N132" s="1"/>
  <c r="N129"/>
  <c r="N123"/>
  <c r="N122" s="1"/>
  <c r="N120"/>
  <c r="N119" s="1"/>
  <c r="N117"/>
  <c r="N112"/>
  <c r="N111" s="1"/>
  <c r="N110" s="1"/>
  <c r="N107"/>
  <c r="N106" s="1"/>
  <c r="N103"/>
  <c r="N101"/>
  <c r="N98"/>
  <c r="N97" s="1"/>
  <c r="N93"/>
  <c r="N92" s="1"/>
  <c r="N88"/>
  <c r="N87" s="1"/>
  <c r="N85"/>
  <c r="N81"/>
  <c r="N80" s="1"/>
  <c r="N78"/>
  <c r="N77" s="1"/>
  <c r="N75"/>
  <c r="N63"/>
  <c r="N62" s="1"/>
  <c r="N54"/>
  <c r="N53" s="1"/>
  <c r="N52" s="1"/>
  <c r="N49"/>
  <c r="N47"/>
  <c r="N46" s="1"/>
  <c r="N44"/>
  <c r="N38"/>
  <c r="N37" s="1"/>
  <c r="N35"/>
  <c r="N28"/>
  <c r="N27" s="1"/>
  <c r="N26" s="1"/>
  <c r="N25" s="1"/>
  <c r="N24" s="1"/>
  <c r="N23" s="1"/>
  <c r="M1811" i="6"/>
  <c r="M1806"/>
  <c r="M1795"/>
  <c r="M1790"/>
  <c r="M1785"/>
  <c r="M1780"/>
  <c r="M1777"/>
  <c r="M1772"/>
  <c r="M1769"/>
  <c r="M1757"/>
  <c r="M1752"/>
  <c r="M1747"/>
  <c r="M1744"/>
  <c r="M1739"/>
  <c r="M1736"/>
  <c r="M1731"/>
  <c r="M1730"/>
  <c r="M1725"/>
  <c r="M1722"/>
  <c r="M1717"/>
  <c r="M1714"/>
  <c r="M1709"/>
  <c r="M1705"/>
  <c r="M1701"/>
  <c r="M1697"/>
  <c r="M1692"/>
  <c r="M1691" s="1"/>
  <c r="M1688"/>
  <c r="M1684"/>
  <c r="M1683" s="1"/>
  <c r="M1682"/>
  <c r="M1658"/>
  <c r="M1677"/>
  <c r="M1671"/>
  <c r="M1668"/>
  <c r="M1646"/>
  <c r="M1628"/>
  <c r="M1621"/>
  <c r="M1620" s="1"/>
  <c r="M1616"/>
  <c r="M1611"/>
  <c r="M1610" s="1"/>
  <c r="M1608"/>
  <c r="M1604"/>
  <c r="M1601"/>
  <c r="M1597"/>
  <c r="M1596" s="1"/>
  <c r="M1594"/>
  <c r="M1591"/>
  <c r="M1590" s="1"/>
  <c r="M1587"/>
  <c r="M1584"/>
  <c r="M1580"/>
  <c r="M1577"/>
  <c r="M1576" s="1"/>
  <c r="M1574"/>
  <c r="M1570"/>
  <c r="M1567"/>
  <c r="M1564"/>
  <c r="M1560"/>
  <c r="M1556"/>
  <c r="M1555" s="1"/>
  <c r="M1553"/>
  <c r="M1549"/>
  <c r="M1546"/>
  <c r="M1543"/>
  <c r="M1540"/>
  <c r="M1539" s="1"/>
  <c r="M1537"/>
  <c r="M1534"/>
  <c r="M1531"/>
  <c r="M1530"/>
  <c r="M1527"/>
  <c r="M1524"/>
  <c r="M1519"/>
  <c r="M1504"/>
  <c r="M1497"/>
  <c r="M1496" s="1"/>
  <c r="M1491"/>
  <c r="M1487"/>
  <c r="M1486" s="1"/>
  <c r="M1484"/>
  <c r="M1481"/>
  <c r="M1480" s="1"/>
  <c r="M1477"/>
  <c r="M1471"/>
  <c r="M1470" s="1"/>
  <c r="M1463"/>
  <c r="M1457"/>
  <c r="M1456"/>
  <c r="M1453"/>
  <c r="M1450"/>
  <c r="M1445"/>
  <c r="M1439"/>
  <c r="M1433"/>
  <c r="M1428"/>
  <c r="M1422"/>
  <c r="M1409"/>
  <c r="M1408"/>
  <c r="M1402"/>
  <c r="M1395"/>
  <c r="M1394" s="1"/>
  <c r="M1390"/>
  <c r="M1383"/>
  <c r="M1382"/>
  <c r="M1379"/>
  <c r="M1376"/>
  <c r="M1371"/>
  <c r="M1363"/>
  <c r="M1362"/>
  <c r="M1359"/>
  <c r="M1356"/>
  <c r="M1353"/>
  <c r="M1348"/>
  <c r="M1343"/>
  <c r="M1342" s="1"/>
  <c r="M1334"/>
  <c r="M1331"/>
  <c r="M1330" s="1"/>
  <c r="M1325"/>
  <c r="M1323"/>
  <c r="M1322" s="1"/>
  <c r="M1299"/>
  <c r="M1298" s="1"/>
  <c r="M1297"/>
  <c r="M1296" s="1"/>
  <c r="M1292"/>
  <c r="M1290"/>
  <c r="M1284"/>
  <c r="M1279"/>
  <c r="M1278" s="1"/>
  <c r="M1274"/>
  <c r="M1272"/>
  <c r="M1269"/>
  <c r="M1264"/>
  <c r="M1238"/>
  <c r="M1237"/>
  <c r="M1234"/>
  <c r="M1231"/>
  <c r="M1230" s="1"/>
  <c r="M1226"/>
  <c r="M1221"/>
  <c r="M1220" s="1"/>
  <c r="M1217"/>
  <c r="M1207"/>
  <c r="M1206" s="1"/>
  <c r="M1205" s="1"/>
  <c r="M1202"/>
  <c r="M1201" s="1"/>
  <c r="M1200" s="1"/>
  <c r="M1199" s="1"/>
  <c r="M1166"/>
  <c r="M1160"/>
  <c r="M1159" s="1"/>
  <c r="M1154"/>
  <c r="M1153" s="1"/>
  <c r="M1148"/>
  <c r="M1147" s="1"/>
  <c r="M1142"/>
  <c r="M1141" s="1"/>
  <c r="M1136"/>
  <c r="M1135" s="1"/>
  <c r="M1126"/>
  <c r="M1121"/>
  <c r="M1120" s="1"/>
  <c r="M1112"/>
  <c r="M1111" s="1"/>
  <c r="M1110" s="1"/>
  <c r="M1108"/>
  <c r="M1100"/>
  <c r="M1094"/>
  <c r="M1093" s="1"/>
  <c r="M1092" s="1"/>
  <c r="M1088"/>
  <c r="M1083"/>
  <c r="M1082" s="1"/>
  <c r="M1070"/>
  <c r="M1064"/>
  <c r="M1057"/>
  <c r="M1056" s="1"/>
  <c r="M1051"/>
  <c r="M1050" s="1"/>
  <c r="M1045"/>
  <c r="M1044" s="1"/>
  <c r="M1043" s="1"/>
  <c r="M1042" s="1"/>
  <c r="M1041" s="1"/>
  <c r="M1040"/>
  <c r="M1039" s="1"/>
  <c r="M1038" s="1"/>
  <c r="M1037" s="1"/>
  <c r="M1036" s="1"/>
  <c r="M1034"/>
  <c r="M1030"/>
  <c r="M1027"/>
  <c r="M1022"/>
  <c r="M1021" s="1"/>
  <c r="M1020"/>
  <c r="M1012"/>
  <c r="M1011" s="1"/>
  <c r="M1010" s="1"/>
  <c r="M1006"/>
  <c r="M994"/>
  <c r="M993" s="1"/>
  <c r="M992" s="1"/>
  <c r="M991" s="1"/>
  <c r="M987"/>
  <c r="M979"/>
  <c r="M972"/>
  <c r="M971" s="1"/>
  <c r="M970" s="1"/>
  <c r="M960"/>
  <c r="M959" s="1"/>
  <c r="M958" s="1"/>
  <c r="M957" s="1"/>
  <c r="M953"/>
  <c r="M952" s="1"/>
  <c r="M951" s="1"/>
  <c r="M945"/>
  <c r="M933"/>
  <c r="M932" s="1"/>
  <c r="M931" s="1"/>
  <c r="M930"/>
  <c r="M929" s="1"/>
  <c r="M927"/>
  <c r="M926"/>
  <c r="M922"/>
  <c r="M921"/>
  <c r="M916"/>
  <c r="M914"/>
  <c r="M913" s="1"/>
  <c r="M911"/>
  <c r="M910" s="1"/>
  <c r="M909" s="1"/>
  <c r="M905"/>
  <c r="M901"/>
  <c r="M900" s="1"/>
  <c r="M899" s="1"/>
  <c r="M895"/>
  <c r="M894" s="1"/>
  <c r="M893" s="1"/>
  <c r="M889" s="1"/>
  <c r="M886"/>
  <c r="M885" s="1"/>
  <c r="M884" s="1"/>
  <c r="M883" s="1"/>
  <c r="M869"/>
  <c r="M868" s="1"/>
  <c r="M867"/>
  <c r="M866" s="1"/>
  <c r="M865" s="1"/>
  <c r="M861"/>
  <c r="M860" s="1"/>
  <c r="M859" s="1"/>
  <c r="M858" s="1"/>
  <c r="M855"/>
  <c r="M854"/>
  <c r="M821"/>
  <c r="M820" s="1"/>
  <c r="M819" s="1"/>
  <c r="M815" s="1"/>
  <c r="M807"/>
  <c r="M806" s="1"/>
  <c r="M805" s="1"/>
  <c r="M801" s="1"/>
  <c r="M797"/>
  <c r="M787"/>
  <c r="M771"/>
  <c r="M770" s="1"/>
  <c r="M769" s="1"/>
  <c r="M768" s="1"/>
  <c r="M765"/>
  <c r="M764" s="1"/>
  <c r="M763" s="1"/>
  <c r="M758"/>
  <c r="M757" s="1"/>
  <c r="M752"/>
  <c r="M751" s="1"/>
  <c r="M750" s="1"/>
  <c r="M749"/>
  <c r="M748" s="1"/>
  <c r="M746"/>
  <c r="M745" s="1"/>
  <c r="M740"/>
  <c r="M739"/>
  <c r="M733"/>
  <c r="M732" s="1"/>
  <c r="M731" s="1"/>
  <c r="M726"/>
  <c r="M725" s="1"/>
  <c r="M721"/>
  <c r="M720" s="1"/>
  <c r="M719" s="1"/>
  <c r="M718" s="1"/>
  <c r="M710"/>
  <c r="M709" s="1"/>
  <c r="M708" s="1"/>
  <c r="M705"/>
  <c r="M699"/>
  <c r="M694"/>
  <c r="M693" s="1"/>
  <c r="M692" s="1"/>
  <c r="M688"/>
  <c r="M687" s="1"/>
  <c r="M686" s="1"/>
  <c r="M685" s="1"/>
  <c r="M683"/>
  <c r="M682" s="1"/>
  <c r="M679"/>
  <c r="M674"/>
  <c r="M673" s="1"/>
  <c r="M668"/>
  <c r="M667" s="1"/>
  <c r="M663"/>
  <c r="M662" s="1"/>
  <c r="M658"/>
  <c r="M657" s="1"/>
  <c r="M656"/>
  <c r="M655" s="1"/>
  <c r="M653"/>
  <c r="M652" s="1"/>
  <c r="M648"/>
  <c r="M647" s="1"/>
  <c r="M646" s="1"/>
  <c r="M645" s="1"/>
  <c r="M642"/>
  <c r="M641" s="1"/>
  <c r="M640" s="1"/>
  <c r="M637"/>
  <c r="M636" s="1"/>
  <c r="M635"/>
  <c r="M634" s="1"/>
  <c r="M632"/>
  <c r="M625"/>
  <c r="M619"/>
  <c r="M618" s="1"/>
  <c r="M617" s="1"/>
  <c r="M616" s="1"/>
  <c r="M613"/>
  <c r="M612" s="1"/>
  <c r="M606"/>
  <c r="M605" s="1"/>
  <c r="M604" s="1"/>
  <c r="M601"/>
  <c r="M600" s="1"/>
  <c r="M596"/>
  <c r="M595" s="1"/>
  <c r="M594" s="1"/>
  <c r="M593" s="1"/>
  <c r="M585"/>
  <c r="M584" s="1"/>
  <c r="M583" s="1"/>
  <c r="M580"/>
  <c r="M574"/>
  <c r="M573" s="1"/>
  <c r="M572" s="1"/>
  <c r="M567"/>
  <c r="M562"/>
  <c r="M561" s="1"/>
  <c r="M556"/>
  <c r="M555" s="1"/>
  <c r="M551"/>
  <c r="M545"/>
  <c r="M538"/>
  <c r="M537" s="1"/>
  <c r="M535"/>
  <c r="M530"/>
  <c r="M529"/>
  <c r="M526"/>
  <c r="M525" s="1"/>
  <c r="M523"/>
  <c r="M517"/>
  <c r="M513"/>
  <c r="M512"/>
  <c r="M507"/>
  <c r="M505"/>
  <c r="M499"/>
  <c r="M497"/>
  <c r="M494"/>
  <c r="M493" s="1"/>
  <c r="M488"/>
  <c r="M487" s="1"/>
  <c r="M482"/>
  <c r="M481" s="1"/>
  <c r="M480"/>
  <c r="M474"/>
  <c r="M473" s="1"/>
  <c r="M472"/>
  <c r="M471" s="1"/>
  <c r="M466"/>
  <c r="M465" s="1"/>
  <c r="M459"/>
  <c r="M447"/>
  <c r="M434"/>
  <c r="M433" s="1"/>
  <c r="M427"/>
  <c r="M421"/>
  <c r="M415"/>
  <c r="M402"/>
  <c r="M400"/>
  <c r="M394"/>
  <c r="M393" s="1"/>
  <c r="M392"/>
  <c r="M391" s="1"/>
  <c r="M386"/>
  <c r="M373"/>
  <c r="M367"/>
  <c r="M361"/>
  <c r="M356"/>
  <c r="M355" s="1"/>
  <c r="M350"/>
  <c r="M349" s="1"/>
  <c r="M337"/>
  <c r="M331"/>
  <c r="M325"/>
  <c r="M319"/>
  <c r="M313"/>
  <c r="M307"/>
  <c r="M288"/>
  <c r="M287" s="1"/>
  <c r="M282"/>
  <c r="M276"/>
  <c r="M270"/>
  <c r="M269" s="1"/>
  <c r="M264"/>
  <c r="M263" s="1"/>
  <c r="M251"/>
  <c r="M245"/>
  <c r="M242"/>
  <c r="M241" s="1"/>
  <c r="M225"/>
  <c r="M224"/>
  <c r="M219"/>
  <c r="M215"/>
  <c r="M214" s="1"/>
  <c r="M212"/>
  <c r="M205"/>
  <c r="M204" s="1"/>
  <c r="M203"/>
  <c r="M202" s="1"/>
  <c r="M200"/>
  <c r="M194"/>
  <c r="M192"/>
  <c r="M186"/>
  <c r="M179"/>
  <c r="M178" s="1"/>
  <c r="M173"/>
  <c r="M172" s="1"/>
  <c r="M167"/>
  <c r="M166" s="1"/>
  <c r="M165" s="1"/>
  <c r="M160"/>
  <c r="M159" s="1"/>
  <c r="M156"/>
  <c r="M148"/>
  <c r="M147" s="1"/>
  <c r="M142"/>
  <c r="M141" s="1"/>
  <c r="M136"/>
  <c r="M135" s="1"/>
  <c r="M129"/>
  <c r="M128" s="1"/>
  <c r="M127"/>
  <c r="M126" s="1"/>
  <c r="M123"/>
  <c r="M122" s="1"/>
  <c r="M111"/>
  <c r="M104"/>
  <c r="M103" s="1"/>
  <c r="M101"/>
  <c r="M100" s="1"/>
  <c r="M95"/>
  <c r="M94"/>
  <c r="M89"/>
  <c r="M83"/>
  <c r="M82" s="1"/>
  <c r="M81"/>
  <c r="M80" s="1"/>
  <c r="M74"/>
  <c r="M73" s="1"/>
  <c r="M68"/>
  <c r="M66"/>
  <c r="M60"/>
  <c r="M58"/>
  <c r="M57" s="1"/>
  <c r="M51"/>
  <c r="M50" s="1"/>
  <c r="M49"/>
  <c r="M48" s="1"/>
  <c r="M43"/>
  <c r="M36"/>
  <c r="M35" s="1"/>
  <c r="M34"/>
  <c r="M33" s="1"/>
  <c r="M24"/>
  <c r="M23" s="1"/>
  <c r="M22" s="1"/>
  <c r="M1031" l="1"/>
  <c r="M1029" s="1"/>
  <c r="O1812"/>
  <c r="N644" i="5"/>
  <c r="N643" s="1"/>
  <c r="M925" i="6"/>
  <c r="M924" s="1"/>
  <c r="M923" s="1"/>
  <c r="N596" i="5"/>
  <c r="N595" s="1"/>
  <c r="M79" i="6"/>
  <c r="M78" s="1"/>
  <c r="N812" i="5"/>
  <c r="N1212"/>
  <c r="N1211" s="1"/>
  <c r="N1168"/>
  <c r="N1167" s="1"/>
  <c r="M633" i="6"/>
  <c r="M864"/>
  <c r="M863" s="1"/>
  <c r="M920"/>
  <c r="M919" s="1"/>
  <c r="M918" s="1"/>
  <c r="N1247" i="5"/>
  <c r="N1243" s="1"/>
  <c r="N1447"/>
  <c r="N1446" s="1"/>
  <c r="M32" i="6"/>
  <c r="M31" s="1"/>
  <c r="M26" s="1"/>
  <c r="M25" s="1"/>
  <c r="M1236"/>
  <c r="M1235" s="1"/>
  <c r="N270" i="5"/>
  <c r="N269" s="1"/>
  <c r="N401"/>
  <c r="N1219"/>
  <c r="N1218" s="1"/>
  <c r="N1388"/>
  <c r="N1384" s="1"/>
  <c r="N1396"/>
  <c r="N1392" s="1"/>
  <c r="N1471"/>
  <c r="N1624"/>
  <c r="N1623" s="1"/>
  <c r="N1689"/>
  <c r="N1688" s="1"/>
  <c r="M654" i="6"/>
  <c r="M738"/>
  <c r="M737" s="1"/>
  <c r="M736" s="1"/>
  <c r="M735" s="1"/>
  <c r="M853"/>
  <c r="M852" s="1"/>
  <c r="M848" s="1"/>
  <c r="M164"/>
  <c r="M163" s="1"/>
  <c r="M747"/>
  <c r="M744" s="1"/>
  <c r="M990"/>
  <c r="M989" s="1"/>
  <c r="M704"/>
  <c r="M703" s="1"/>
  <c r="M702" s="1"/>
  <c r="M701" s="1"/>
  <c r="M1005"/>
  <c r="M1004" s="1"/>
  <c r="M1003" s="1"/>
  <c r="M1002" s="1"/>
  <c r="M1087"/>
  <c r="M1086" s="1"/>
  <c r="M1085" s="1"/>
  <c r="M1099"/>
  <c r="M1098" s="1"/>
  <c r="M1097" s="1"/>
  <c r="M579"/>
  <c r="N279" i="5"/>
  <c r="N278" s="1"/>
  <c r="M1438" i="6"/>
  <c r="M1437" s="1"/>
  <c r="N151" i="5"/>
  <c r="N150" s="1"/>
  <c r="M1805" i="6"/>
  <c r="M1804" s="1"/>
  <c r="N1617" i="5"/>
  <c r="N982"/>
  <c r="M281" i="6"/>
  <c r="M280" s="1"/>
  <c r="N987" i="5"/>
  <c r="N986" s="1"/>
  <c r="N1726"/>
  <c r="N1725" s="1"/>
  <c r="N1674"/>
  <c r="N1644"/>
  <c r="N1643" s="1"/>
  <c r="N1647"/>
  <c r="M1165" i="6"/>
  <c r="N1543" i="5"/>
  <c r="N1542" s="1"/>
  <c r="M1107" i="6"/>
  <c r="M1106" s="1"/>
  <c r="M1105" s="1"/>
  <c r="N1118" i="5"/>
  <c r="M399" i="6"/>
  <c r="N1012" i="5"/>
  <c r="N1000"/>
  <c r="N999" s="1"/>
  <c r="N927"/>
  <c r="N659"/>
  <c r="N658" s="1"/>
  <c r="M624" i="6"/>
  <c r="M623" s="1"/>
  <c r="N209" i="5"/>
  <c r="N109"/>
  <c r="M950" i="6"/>
  <c r="M949" s="1"/>
  <c r="M571"/>
  <c r="M570" s="1"/>
  <c r="M603"/>
  <c r="M611"/>
  <c r="M1009"/>
  <c r="M1008" s="1"/>
  <c r="M1198"/>
  <c r="N178" i="5"/>
  <c r="N247"/>
  <c r="N295"/>
  <c r="N288" s="1"/>
  <c r="N298"/>
  <c r="N343"/>
  <c r="N346"/>
  <c r="N360"/>
  <c r="N384"/>
  <c r="N417"/>
  <c r="N488"/>
  <c r="N508"/>
  <c r="N536"/>
  <c r="N669"/>
  <c r="N672"/>
  <c r="N678"/>
  <c r="N732"/>
  <c r="N743"/>
  <c r="N752"/>
  <c r="N823"/>
  <c r="N852"/>
  <c r="N1003"/>
  <c r="N1045"/>
  <c r="N1135"/>
  <c r="N1181"/>
  <c r="N1313"/>
  <c r="N1399"/>
  <c r="N1586"/>
  <c r="M1358" i="6"/>
  <c r="M1357" s="1"/>
  <c r="M1370"/>
  <c r="M1369" s="1"/>
  <c r="M1432"/>
  <c r="M1431" s="1"/>
  <c r="M1444"/>
  <c r="M1443" s="1"/>
  <c r="M1523"/>
  <c r="M1533"/>
  <c r="M1545"/>
  <c r="M1544" s="1"/>
  <c r="M1566"/>
  <c r="M1565" s="1"/>
  <c r="M1586"/>
  <c r="M1585" s="1"/>
  <c r="M1600"/>
  <c r="M1667"/>
  <c r="M1681"/>
  <c r="M1687"/>
  <c r="M1686" s="1"/>
  <c r="M1713"/>
  <c r="M1729"/>
  <c r="M1726" s="1"/>
  <c r="M1743"/>
  <c r="M1768"/>
  <c r="M1784"/>
  <c r="N116" i="5"/>
  <c r="N128"/>
  <c r="N131"/>
  <c r="N196"/>
  <c r="N224"/>
  <c r="N335"/>
  <c r="N373"/>
  <c r="N382"/>
  <c r="N427"/>
  <c r="N452"/>
  <c r="N480"/>
  <c r="N621"/>
  <c r="N635"/>
  <c r="N710"/>
  <c r="N834"/>
  <c r="N842"/>
  <c r="N936"/>
  <c r="N1008"/>
  <c r="N1694"/>
  <c r="M42" i="6"/>
  <c r="M88"/>
  <c r="M87" s="1"/>
  <c r="M110"/>
  <c r="M109" s="1"/>
  <c r="M108" s="1"/>
  <c r="M218"/>
  <c r="M217" s="1"/>
  <c r="M275"/>
  <c r="M385"/>
  <c r="M384" s="1"/>
  <c r="M401"/>
  <c r="M479"/>
  <c r="M478" s="1"/>
  <c r="M511"/>
  <c r="M592"/>
  <c r="M644"/>
  <c r="M666"/>
  <c r="M672"/>
  <c r="M671" s="1"/>
  <c r="M678"/>
  <c r="M677" s="1"/>
  <c r="M698"/>
  <c r="M697" s="1"/>
  <c r="M814"/>
  <c r="M813" s="1"/>
  <c r="M915"/>
  <c r="M912" s="1"/>
  <c r="M978"/>
  <c r="M977" s="1"/>
  <c r="M986"/>
  <c r="M985" s="1"/>
  <c r="M1019"/>
  <c r="M1018" s="1"/>
  <c r="M1216"/>
  <c r="M1215" s="1"/>
  <c r="M1268"/>
  <c r="M1267" s="1"/>
  <c r="M1324"/>
  <c r="N562" i="5"/>
  <c r="N34"/>
  <c r="N91"/>
  <c r="N43"/>
  <c r="N74"/>
  <c r="N105"/>
  <c r="N161"/>
  <c r="N203"/>
  <c r="N234"/>
  <c r="N258"/>
  <c r="N330"/>
  <c r="N445"/>
  <c r="N503"/>
  <c r="N555"/>
  <c r="N610"/>
  <c r="N613"/>
  <c r="N630"/>
  <c r="N699"/>
  <c r="N702"/>
  <c r="N725"/>
  <c r="N990"/>
  <c r="N1049"/>
  <c r="N1080"/>
  <c r="N1123"/>
  <c r="N1233"/>
  <c r="N1425"/>
  <c r="N1465"/>
  <c r="M47" i="6"/>
  <c r="M46" s="1"/>
  <c r="M1063"/>
  <c r="M1125"/>
  <c r="N389" i="5"/>
  <c r="M1352" i="6"/>
  <c r="M1378"/>
  <c r="M1377" s="1"/>
  <c r="M1452"/>
  <c r="M1462"/>
  <c r="M1461" s="1"/>
  <c r="M1476"/>
  <c r="M1490"/>
  <c r="M1489" s="1"/>
  <c r="M1529"/>
  <c r="M1538"/>
  <c r="M1721"/>
  <c r="M1735"/>
  <c r="M1751"/>
  <c r="M1776"/>
  <c r="M1794"/>
  <c r="M1793" s="1"/>
  <c r="N84" i="5"/>
  <c r="N100"/>
  <c r="N143"/>
  <c r="N189"/>
  <c r="N306"/>
  <c r="N315"/>
  <c r="N463"/>
  <c r="N473"/>
  <c r="N523"/>
  <c r="N526"/>
  <c r="N541"/>
  <c r="N553"/>
  <c r="N590"/>
  <c r="N802"/>
  <c r="N1206"/>
  <c r="N1238"/>
  <c r="M786" i="6"/>
  <c r="M1033"/>
  <c r="M1069"/>
  <c r="M684"/>
  <c r="M1035"/>
  <c r="N879" i="5"/>
  <c r="N958"/>
  <c r="N1067"/>
  <c r="N1114"/>
  <c r="N1139"/>
  <c r="N1150"/>
  <c r="N1225"/>
  <c r="N1343"/>
  <c r="N1346"/>
  <c r="N1355"/>
  <c r="N1477"/>
  <c r="N1553"/>
  <c r="N1569"/>
  <c r="N1634"/>
  <c r="N738"/>
  <c r="N749"/>
  <c r="N763"/>
  <c r="N782"/>
  <c r="N794"/>
  <c r="N865"/>
  <c r="N874"/>
  <c r="N894"/>
  <c r="N971"/>
  <c r="N1034"/>
  <c r="N1199"/>
  <c r="N1264"/>
  <c r="N1269"/>
  <c r="N1275"/>
  <c r="N1282"/>
  <c r="N1331"/>
  <c r="N1418"/>
  <c r="N1520"/>
  <c r="N1610"/>
  <c r="N1710"/>
  <c r="N1721"/>
  <c r="N1739"/>
  <c r="N889"/>
  <c r="N904"/>
  <c r="N915"/>
  <c r="N941"/>
  <c r="N1021"/>
  <c r="N1056"/>
  <c r="N1061"/>
  <c r="N1089"/>
  <c r="N1098"/>
  <c r="N1132"/>
  <c r="N1304"/>
  <c r="N1318"/>
  <c r="K55" i="1" s="1"/>
  <c r="N1453" i="5"/>
  <c r="N1488"/>
  <c r="N1491"/>
  <c r="N1507"/>
  <c r="N1512"/>
  <c r="N1652"/>
  <c r="N1663"/>
  <c r="N771"/>
  <c r="N1103"/>
  <c r="M72" i="6"/>
  <c r="M158"/>
  <c r="M21"/>
  <c r="M140"/>
  <c r="M134"/>
  <c r="M146"/>
  <c r="M171"/>
  <c r="M244"/>
  <c r="M691"/>
  <c r="M796"/>
  <c r="M1026"/>
  <c r="M250"/>
  <c r="M599"/>
  <c r="M193"/>
  <c r="M201"/>
  <c r="M211"/>
  <c r="M306"/>
  <c r="M318"/>
  <c r="M330"/>
  <c r="M348"/>
  <c r="M366"/>
  <c r="M566"/>
  <c r="M631"/>
  <c r="M888"/>
  <c r="M928"/>
  <c r="M944"/>
  <c r="M1291"/>
  <c r="M59"/>
  <c r="M65"/>
  <c r="M67"/>
  <c r="M93"/>
  <c r="M99"/>
  <c r="M121"/>
  <c r="M125"/>
  <c r="M155"/>
  <c r="M717"/>
  <c r="M262"/>
  <c r="M286"/>
  <c r="M354"/>
  <c r="M639"/>
  <c r="M707"/>
  <c r="M730"/>
  <c r="M756"/>
  <c r="M904"/>
  <c r="M969"/>
  <c r="M177"/>
  <c r="M199"/>
  <c r="M213"/>
  <c r="M223"/>
  <c r="M240"/>
  <c r="M268"/>
  <c r="M312"/>
  <c r="M324"/>
  <c r="M336"/>
  <c r="M360"/>
  <c r="M372"/>
  <c r="M615"/>
  <c r="M681"/>
  <c r="M800"/>
  <c r="M857"/>
  <c r="M1081"/>
  <c r="M767"/>
  <c r="M956"/>
  <c r="M185"/>
  <c r="M651"/>
  <c r="M582"/>
  <c r="M661"/>
  <c r="M724"/>
  <c r="M762"/>
  <c r="M882"/>
  <c r="M1225"/>
  <c r="M1049"/>
  <c r="M1055"/>
  <c r="M1109"/>
  <c r="M390"/>
  <c r="M414"/>
  <c r="M420"/>
  <c r="M426"/>
  <c r="M432"/>
  <c r="M446"/>
  <c r="M458"/>
  <c r="M464"/>
  <c r="M470"/>
  <c r="M486"/>
  <c r="M492"/>
  <c r="M496"/>
  <c r="M498"/>
  <c r="M504"/>
  <c r="M506"/>
  <c r="M516"/>
  <c r="M522"/>
  <c r="M524"/>
  <c r="M528"/>
  <c r="M534"/>
  <c r="M536"/>
  <c r="M544"/>
  <c r="M550"/>
  <c r="M554"/>
  <c r="M560"/>
  <c r="M1134"/>
  <c r="M1140"/>
  <c r="M1146"/>
  <c r="M1152"/>
  <c r="M1158"/>
  <c r="M1091"/>
  <c r="M1119"/>
  <c r="M1204"/>
  <c r="M1283"/>
  <c r="M1295"/>
  <c r="M1219"/>
  <c r="M1233"/>
  <c r="M1273"/>
  <c r="M1277"/>
  <c r="M1333"/>
  <c r="M1347"/>
  <c r="M1361"/>
  <c r="M1375"/>
  <c r="M1271"/>
  <c r="M1263"/>
  <c r="M1289"/>
  <c r="M1341"/>
  <c r="M1355"/>
  <c r="M1381"/>
  <c r="M1389"/>
  <c r="M1393"/>
  <c r="M1401"/>
  <c r="M1407"/>
  <c r="M1421"/>
  <c r="M1427"/>
  <c r="M1449"/>
  <c r="M1455"/>
  <c r="M1469"/>
  <c r="M1483"/>
  <c r="M1485"/>
  <c r="M1495"/>
  <c r="M1503"/>
  <c r="M1518"/>
  <c r="M1526"/>
  <c r="M1536"/>
  <c r="M1542"/>
  <c r="M1548"/>
  <c r="M1552"/>
  <c r="M1554"/>
  <c r="M1558"/>
  <c r="M1563"/>
  <c r="M1569"/>
  <c r="M1573"/>
  <c r="M1575"/>
  <c r="M1579"/>
  <c r="M1583"/>
  <c r="M1593"/>
  <c r="M1595"/>
  <c r="M1603"/>
  <c r="M1607"/>
  <c r="M1609"/>
  <c r="M1615"/>
  <c r="M1619"/>
  <c r="M1627"/>
  <c r="M1645"/>
  <c r="M1670"/>
  <c r="M1676"/>
  <c r="M1657"/>
  <c r="M1690"/>
  <c r="M1696"/>
  <c r="M1700"/>
  <c r="M1704"/>
  <c r="M1708"/>
  <c r="M1716"/>
  <c r="M1724"/>
  <c r="M1738"/>
  <c r="M1746"/>
  <c r="M1756"/>
  <c r="M1771"/>
  <c r="M1779"/>
  <c r="M1789"/>
  <c r="M1810"/>
  <c r="K23" i="1"/>
  <c r="K20"/>
  <c r="K1226" i="6"/>
  <c r="L1226" s="1"/>
  <c r="N1226" s="1"/>
  <c r="P1226" s="1"/>
  <c r="R1226" s="1"/>
  <c r="T1226" s="1"/>
  <c r="L1676" i="5"/>
  <c r="L1675" s="1"/>
  <c r="M1677"/>
  <c r="O1677" s="1"/>
  <c r="Q1677" s="1"/>
  <c r="S1677" s="1"/>
  <c r="U1677" s="1"/>
  <c r="M973"/>
  <c r="O973" s="1"/>
  <c r="Q973" s="1"/>
  <c r="S973" s="1"/>
  <c r="U973" s="1"/>
  <c r="K242" i="6"/>
  <c r="K241" s="1"/>
  <c r="L972" i="5"/>
  <c r="M972" s="1"/>
  <c r="O972" s="1"/>
  <c r="Q972" s="1"/>
  <c r="S972" s="1"/>
  <c r="U972" s="1"/>
  <c r="L254"/>
  <c r="A1226" i="6"/>
  <c r="A1673" i="5"/>
  <c r="A1225" i="6"/>
  <c r="A1671" i="5"/>
  <c r="A1222" i="6"/>
  <c r="A972" i="5"/>
  <c r="A1224" i="6"/>
  <c r="A1677" i="5"/>
  <c r="A1676"/>
  <c r="A973"/>
  <c r="A241" i="6"/>
  <c r="A971" i="5"/>
  <c r="A242" i="6"/>
  <c r="A240"/>
  <c r="A1674" i="5"/>
  <c r="A1675"/>
  <c r="M1676" l="1"/>
  <c r="O1676" s="1"/>
  <c r="Q1676" s="1"/>
  <c r="S1676" s="1"/>
  <c r="U1676" s="1"/>
  <c r="N398"/>
  <c r="N397" s="1"/>
  <c r="N396" s="1"/>
  <c r="N395" s="1"/>
  <c r="M578" i="6"/>
  <c r="N1616" i="5"/>
  <c r="M1028" i="6"/>
  <c r="M274"/>
  <c r="M273" s="1"/>
  <c r="N1673" i="5"/>
  <c r="M1164" i="6"/>
  <c r="N1117" i="5"/>
  <c r="N1011"/>
  <c r="N926"/>
  <c r="M41" i="6"/>
  <c r="M40" s="1"/>
  <c r="M622"/>
  <c r="N1622" i="5"/>
  <c r="N1487"/>
  <c r="N1020"/>
  <c r="N1704"/>
  <c r="N1281"/>
  <c r="N1268"/>
  <c r="N970"/>
  <c r="N893"/>
  <c r="N864"/>
  <c r="N793"/>
  <c r="N748"/>
  <c r="N1687"/>
  <c r="N1210"/>
  <c r="N1113"/>
  <c r="N957"/>
  <c r="N1422"/>
  <c r="N1079"/>
  <c r="N629"/>
  <c r="N609"/>
  <c r="N442"/>
  <c r="N329"/>
  <c r="N160"/>
  <c r="N73"/>
  <c r="N90"/>
  <c r="M676" i="6"/>
  <c r="M610"/>
  <c r="M1475"/>
  <c r="M908"/>
  <c r="M907" s="1"/>
  <c r="N96" i="5"/>
  <c r="N1566"/>
  <c r="N1651"/>
  <c r="N1642" s="1"/>
  <c r="N1506"/>
  <c r="N1303"/>
  <c r="N888"/>
  <c r="N1609"/>
  <c r="N1198"/>
  <c r="N1511"/>
  <c r="N1131"/>
  <c r="N1088"/>
  <c r="N1055"/>
  <c r="N903"/>
  <c r="N1733"/>
  <c r="N1718"/>
  <c r="N1541"/>
  <c r="N1417"/>
  <c r="N1330"/>
  <c r="N1274"/>
  <c r="N1263"/>
  <c r="N1033"/>
  <c r="N762"/>
  <c r="M785" i="6"/>
  <c r="N1205" i="5"/>
  <c r="N801"/>
  <c r="N552"/>
  <c r="N472"/>
  <c r="N314"/>
  <c r="N188"/>
  <c r="N142"/>
  <c r="N388"/>
  <c r="N1048"/>
  <c r="N1007"/>
  <c r="N935"/>
  <c r="N833"/>
  <c r="N657"/>
  <c r="N620"/>
  <c r="N381"/>
  <c r="N334"/>
  <c r="N193"/>
  <c r="N115"/>
  <c r="N1583"/>
  <c r="N1180"/>
  <c r="N1044"/>
  <c r="N851"/>
  <c r="N731"/>
  <c r="N416"/>
  <c r="N359"/>
  <c r="N342"/>
  <c r="N277"/>
  <c r="N246"/>
  <c r="M1528" i="6"/>
  <c r="M1451"/>
  <c r="M510"/>
  <c r="M509" s="1"/>
  <c r="M398"/>
  <c r="M397" s="1"/>
  <c r="M1783"/>
  <c r="M1782" s="1"/>
  <c r="M1750"/>
  <c r="M1749" s="1"/>
  <c r="M1680"/>
  <c r="M1679" s="1"/>
  <c r="M1321"/>
  <c r="N981" i="5"/>
  <c r="N1102"/>
  <c r="N767"/>
  <c r="N781"/>
  <c r="N737"/>
  <c r="N1633"/>
  <c r="N1552"/>
  <c r="N1354"/>
  <c r="N1339"/>
  <c r="N1224"/>
  <c r="N1149"/>
  <c r="N1066"/>
  <c r="N878"/>
  <c r="M1032" i="6"/>
  <c r="M1062"/>
  <c r="N1459" i="5"/>
  <c r="N1445" s="1"/>
  <c r="N1122"/>
  <c r="N724"/>
  <c r="N698"/>
  <c r="N502"/>
  <c r="N257"/>
  <c r="N202"/>
  <c r="M1017" i="6"/>
  <c r="M984"/>
  <c r="M665"/>
  <c r="N1693" i="5"/>
  <c r="M602" i="6"/>
  <c r="N912" i="5"/>
  <c r="N1519"/>
  <c r="M1068" i="6"/>
  <c r="N1237" i="5"/>
  <c r="N1232" s="1"/>
  <c r="N589"/>
  <c r="N540"/>
  <c r="N516"/>
  <c r="N517"/>
  <c r="N462"/>
  <c r="N305"/>
  <c r="M1124" i="6"/>
  <c r="N561" i="5"/>
  <c r="M696" i="6"/>
  <c r="N841" i="5"/>
  <c r="N709"/>
  <c r="N479"/>
  <c r="N426"/>
  <c r="N372"/>
  <c r="N223"/>
  <c r="N165"/>
  <c r="N127"/>
  <c r="N822"/>
  <c r="N742"/>
  <c r="N677"/>
  <c r="N668"/>
  <c r="N535"/>
  <c r="N487"/>
  <c r="N268"/>
  <c r="N177"/>
  <c r="M1792" i="6"/>
  <c r="M1715"/>
  <c r="M1557"/>
  <c r="M1551" s="1"/>
  <c r="M1468"/>
  <c r="M1426"/>
  <c r="M1368"/>
  <c r="M1262"/>
  <c r="M1151"/>
  <c r="M1104"/>
  <c r="M533"/>
  <c r="M445"/>
  <c r="M988"/>
  <c r="M1803"/>
  <c r="M1755"/>
  <c r="M1737"/>
  <c r="M1685"/>
  <c r="M1618"/>
  <c r="M1602"/>
  <c r="M1547"/>
  <c r="M1541" s="1"/>
  <c r="M1535"/>
  <c r="M1488"/>
  <c r="M1400"/>
  <c r="M503"/>
  <c r="M1084"/>
  <c r="M184"/>
  <c r="M371"/>
  <c r="M176"/>
  <c r="M285"/>
  <c r="M887"/>
  <c r="M948"/>
  <c r="M1689"/>
  <c r="M1606"/>
  <c r="M1578"/>
  <c r="M1494"/>
  <c r="M1454"/>
  <c r="M1436"/>
  <c r="M1406"/>
  <c r="M1380"/>
  <c r="M1374" s="1"/>
  <c r="M1354"/>
  <c r="M1360"/>
  <c r="M1346"/>
  <c r="M1276"/>
  <c r="M1232"/>
  <c r="M1294"/>
  <c r="M1118"/>
  <c r="M1157"/>
  <c r="M1145"/>
  <c r="M1133"/>
  <c r="M543"/>
  <c r="M463"/>
  <c r="M425"/>
  <c r="M389"/>
  <c r="M881"/>
  <c r="M812"/>
  <c r="M723"/>
  <c r="M650"/>
  <c r="M766"/>
  <c r="M1007"/>
  <c r="M856"/>
  <c r="M799"/>
  <c r="M614"/>
  <c r="M968"/>
  <c r="M729"/>
  <c r="M124"/>
  <c r="M86"/>
  <c r="M365"/>
  <c r="M329"/>
  <c r="M305"/>
  <c r="M210"/>
  <c r="M190"/>
  <c r="M1214"/>
  <c r="M243"/>
  <c r="M170"/>
  <c r="M77"/>
  <c r="M107"/>
  <c r="M20"/>
  <c r="M71"/>
  <c r="M56"/>
  <c r="M1699"/>
  <c r="M1614"/>
  <c r="M1392"/>
  <c r="M1340"/>
  <c r="M1288"/>
  <c r="M1332"/>
  <c r="M1218"/>
  <c r="M1282"/>
  <c r="M1090"/>
  <c r="M1139"/>
  <c r="M553"/>
  <c r="M515"/>
  <c r="M413"/>
  <c r="M1778"/>
  <c r="M1703"/>
  <c r="M1669"/>
  <c r="M1430"/>
  <c r="M559"/>
  <c r="M485"/>
  <c r="M457"/>
  <c r="M419"/>
  <c r="M1054"/>
  <c r="M1080"/>
  <c r="M335"/>
  <c r="M311"/>
  <c r="M120"/>
  <c r="M943"/>
  <c r="M565"/>
  <c r="M795"/>
  <c r="M690"/>
  <c r="M1809"/>
  <c r="M1723"/>
  <c r="M1707"/>
  <c r="M1675"/>
  <c r="M1626"/>
  <c r="M1592"/>
  <c r="M1525"/>
  <c r="M1788"/>
  <c r="M1770"/>
  <c r="M1745"/>
  <c r="M1695"/>
  <c r="M1656"/>
  <c r="M1644"/>
  <c r="M1582"/>
  <c r="M1568"/>
  <c r="M1502"/>
  <c r="M1482"/>
  <c r="M1460"/>
  <c r="M1442"/>
  <c r="M1420"/>
  <c r="M1388"/>
  <c r="M1203"/>
  <c r="M549"/>
  <c r="M527"/>
  <c r="M495"/>
  <c r="M469"/>
  <c r="M431"/>
  <c r="M1096"/>
  <c r="M1048"/>
  <c r="M1224"/>
  <c r="M228"/>
  <c r="M955"/>
  <c r="M359"/>
  <c r="M323"/>
  <c r="M267"/>
  <c r="M222"/>
  <c r="M198"/>
  <c r="M353"/>
  <c r="M261"/>
  <c r="M154"/>
  <c r="M92"/>
  <c r="M976"/>
  <c r="M917"/>
  <c r="M630"/>
  <c r="M598"/>
  <c r="M743"/>
  <c r="M670"/>
  <c r="M133"/>
  <c r="M139"/>
  <c r="M45"/>
  <c r="M1517"/>
  <c r="M1270"/>
  <c r="M477"/>
  <c r="M862"/>
  <c r="M761"/>
  <c r="M660"/>
  <c r="M581"/>
  <c r="M1001"/>
  <c r="M847"/>
  <c r="M680"/>
  <c r="M903"/>
  <c r="M755"/>
  <c r="M706"/>
  <c r="M638"/>
  <c r="M569"/>
  <c r="M734"/>
  <c r="M162"/>
  <c r="M98"/>
  <c r="M64"/>
  <c r="M383"/>
  <c r="M347"/>
  <c r="M317"/>
  <c r="M279"/>
  <c r="M249"/>
  <c r="M216"/>
  <c r="M145"/>
  <c r="M157"/>
  <c r="L1674" i="5"/>
  <c r="M1675"/>
  <c r="O1675" s="1"/>
  <c r="Q1675" s="1"/>
  <c r="S1675" s="1"/>
  <c r="U1675" s="1"/>
  <c r="K1225" i="6"/>
  <c r="L971" i="5"/>
  <c r="M971" s="1"/>
  <c r="O971" s="1"/>
  <c r="Q971" s="1"/>
  <c r="S971" s="1"/>
  <c r="U971" s="1"/>
  <c r="K240" i="6"/>
  <c r="L240" s="1"/>
  <c r="N240" s="1"/>
  <c r="P240" s="1"/>
  <c r="R240" s="1"/>
  <c r="T240" s="1"/>
  <c r="L241"/>
  <c r="N241" s="1"/>
  <c r="P241" s="1"/>
  <c r="R241" s="1"/>
  <c r="T241" s="1"/>
  <c r="L242"/>
  <c r="N242" s="1"/>
  <c r="P242" s="1"/>
  <c r="R242" s="1"/>
  <c r="T242" s="1"/>
  <c r="L135" i="5"/>
  <c r="L1494"/>
  <c r="L383"/>
  <c r="L214"/>
  <c r="L976"/>
  <c r="A1609"/>
  <c r="M1025" i="6" l="1"/>
  <c r="M1024" s="1"/>
  <c r="N1217" i="5"/>
  <c r="N1209" s="1"/>
  <c r="M1266" i="6"/>
  <c r="M1265" s="1"/>
  <c r="M577"/>
  <c r="N1615" i="5"/>
  <c r="N1672"/>
  <c r="M1163" i="6"/>
  <c r="N921" i="5"/>
  <c r="M621" i="6"/>
  <c r="N164" i="5"/>
  <c r="N1121"/>
  <c r="N1144"/>
  <c r="K54" i="1"/>
  <c r="N1280" i="5"/>
  <c r="N486"/>
  <c r="N840"/>
  <c r="N780"/>
  <c r="N1179"/>
  <c r="N619"/>
  <c r="N832"/>
  <c r="N1231"/>
  <c r="N141"/>
  <c r="N551"/>
  <c r="N1032"/>
  <c r="N1408"/>
  <c r="N1732"/>
  <c r="N1197"/>
  <c r="N887"/>
  <c r="N1298"/>
  <c r="N628"/>
  <c r="N1108"/>
  <c r="N1686"/>
  <c r="N969"/>
  <c r="N1019"/>
  <c r="N267"/>
  <c r="N534"/>
  <c r="N821"/>
  <c r="N126"/>
  <c r="N222"/>
  <c r="N425"/>
  <c r="N515"/>
  <c r="M1067" i="6"/>
  <c r="N911" i="5"/>
  <c r="M664" i="6"/>
  <c r="M1016"/>
  <c r="N394" i="5"/>
  <c r="M1061" i="6"/>
  <c r="N877" i="5"/>
  <c r="N730"/>
  <c r="N1043"/>
  <c r="N378"/>
  <c r="N934"/>
  <c r="N187"/>
  <c r="N471"/>
  <c r="N461" s="1"/>
  <c r="N800"/>
  <c r="N1262"/>
  <c r="N1540"/>
  <c r="N902"/>
  <c r="N1054"/>
  <c r="N1126"/>
  <c r="N1604"/>
  <c r="N1505"/>
  <c r="N1557"/>
  <c r="M609" i="6"/>
  <c r="N159" i="5"/>
  <c r="N328"/>
  <c r="N608"/>
  <c r="N956"/>
  <c r="N1703"/>
  <c r="N1486"/>
  <c r="M1474" i="6"/>
  <c r="M1473" s="1"/>
  <c r="M1572"/>
  <c r="N998" i="5"/>
  <c r="M521" i="6"/>
  <c r="M520" s="1"/>
  <c r="M1562"/>
  <c r="M1561" s="1"/>
  <c r="M1448"/>
  <c r="M1447" s="1"/>
  <c r="M1320"/>
  <c r="M1319" s="1"/>
  <c r="N1097" i="5"/>
  <c r="M983" i="6"/>
  <c r="N560" i="5"/>
  <c r="N588"/>
  <c r="N697"/>
  <c r="N692" s="1"/>
  <c r="N1338"/>
  <c r="N1337" s="1"/>
  <c r="N1329" s="1"/>
  <c r="N415"/>
  <c r="N757"/>
  <c r="N441"/>
  <c r="N1421"/>
  <c r="N667"/>
  <c r="N1641"/>
  <c r="N371"/>
  <c r="N341"/>
  <c r="N1204"/>
  <c r="N1621"/>
  <c r="M695" i="6"/>
  <c r="M689" s="1"/>
  <c r="M1123"/>
  <c r="N1518" i="5"/>
  <c r="N1444"/>
  <c r="N1692"/>
  <c r="N33"/>
  <c r="N32" s="1"/>
  <c r="N256"/>
  <c r="N501"/>
  <c r="N1628"/>
  <c r="N1582"/>
  <c r="N192"/>
  <c r="M1337" i="6"/>
  <c r="M781"/>
  <c r="N1717" i="5"/>
  <c r="N95"/>
  <c r="N863"/>
  <c r="N892"/>
  <c r="M278" i="6"/>
  <c r="M898"/>
  <c r="M659"/>
  <c r="M597"/>
  <c r="M352"/>
  <c r="M322"/>
  <c r="M468"/>
  <c r="M548"/>
  <c r="M1441"/>
  <c r="M1581"/>
  <c r="M1655"/>
  <c r="M1550"/>
  <c r="M1625"/>
  <c r="M564"/>
  <c r="M456"/>
  <c r="M412"/>
  <c r="M169"/>
  <c r="M85"/>
  <c r="M346"/>
  <c r="M132"/>
  <c r="M91"/>
  <c r="M310"/>
  <c r="M1339"/>
  <c r="M19"/>
  <c r="M239"/>
  <c r="M209"/>
  <c r="M39"/>
  <c r="M462"/>
  <c r="M1493"/>
  <c r="M1605"/>
  <c r="M175"/>
  <c r="M183"/>
  <c r="M1617"/>
  <c r="M1734"/>
  <c r="M1802"/>
  <c r="M444"/>
  <c r="M1425"/>
  <c r="M1712"/>
  <c r="M754"/>
  <c r="M358"/>
  <c r="M1419"/>
  <c r="M1459"/>
  <c r="M1643"/>
  <c r="M1694"/>
  <c r="M1767"/>
  <c r="M1522"/>
  <c r="M1589"/>
  <c r="M1674"/>
  <c r="M1720"/>
  <c r="M1808"/>
  <c r="M791"/>
  <c r="M939"/>
  <c r="M334"/>
  <c r="M418"/>
  <c r="M484"/>
  <c r="M558"/>
  <c r="M1666"/>
  <c r="M1775"/>
  <c r="M514"/>
  <c r="M1138"/>
  <c r="M1281"/>
  <c r="M1391"/>
  <c r="M1698"/>
  <c r="M76"/>
  <c r="M328"/>
  <c r="M798"/>
  <c r="M388"/>
  <c r="M1261"/>
  <c r="M846"/>
  <c r="M1223"/>
  <c r="M396"/>
  <c r="M1387"/>
  <c r="M1479"/>
  <c r="M1742"/>
  <c r="M1787"/>
  <c r="M1706"/>
  <c r="M1702" s="1"/>
  <c r="M1079"/>
  <c r="M1053"/>
  <c r="M1429"/>
  <c r="M552"/>
  <c r="M1373"/>
  <c r="M1613"/>
  <c r="M106"/>
  <c r="M728"/>
  <c r="M63"/>
  <c r="M568"/>
  <c r="M44"/>
  <c r="M221"/>
  <c r="M55"/>
  <c r="M272"/>
  <c r="M542"/>
  <c r="M1144"/>
  <c r="M1293"/>
  <c r="M1275"/>
  <c r="M1435"/>
  <c r="M502"/>
  <c r="M1791"/>
  <c r="M248"/>
  <c r="M97"/>
  <c r="M675"/>
  <c r="M476"/>
  <c r="M1516"/>
  <c r="M629"/>
  <c r="M975"/>
  <c r="M153"/>
  <c r="M197"/>
  <c r="M266"/>
  <c r="M1047"/>
  <c r="M1095"/>
  <c r="M430"/>
  <c r="M1501"/>
  <c r="M144"/>
  <c r="M316"/>
  <c r="M382"/>
  <c r="M906"/>
  <c r="M760"/>
  <c r="M138"/>
  <c r="M260"/>
  <c r="M227"/>
  <c r="M113"/>
  <c r="M1287"/>
  <c r="M1213"/>
  <c r="M189"/>
  <c r="M364"/>
  <c r="M967"/>
  <c r="M954" s="1"/>
  <c r="M649"/>
  <c r="M722"/>
  <c r="M424"/>
  <c r="M1132"/>
  <c r="M1156"/>
  <c r="M1117"/>
  <c r="M1229"/>
  <c r="M1345"/>
  <c r="M1405"/>
  <c r="M1399"/>
  <c r="M1532"/>
  <c r="M1599"/>
  <c r="M1754"/>
  <c r="M532"/>
  <c r="M1150"/>
  <c r="M1467"/>
  <c r="M1678"/>
  <c r="M1748"/>
  <c r="M700"/>
  <c r="M491"/>
  <c r="M1000"/>
  <c r="M742"/>
  <c r="M1781"/>
  <c r="M1089"/>
  <c r="M70"/>
  <c r="M304"/>
  <c r="M1351"/>
  <c r="M284"/>
  <c r="M370"/>
  <c r="M1367"/>
  <c r="L1673" i="5"/>
  <c r="M1674"/>
  <c r="O1674" s="1"/>
  <c r="Q1674" s="1"/>
  <c r="S1674" s="1"/>
  <c r="U1674" s="1"/>
  <c r="K1224" i="6"/>
  <c r="L1225"/>
  <c r="N1225" s="1"/>
  <c r="P1225" s="1"/>
  <c r="R1225" s="1"/>
  <c r="T1225" s="1"/>
  <c r="L448" i="5"/>
  <c r="L1522"/>
  <c r="K1166" i="6"/>
  <c r="L1166" s="1"/>
  <c r="N1166" s="1"/>
  <c r="P1166" s="1"/>
  <c r="R1166" s="1"/>
  <c r="T1166" s="1"/>
  <c r="A1166"/>
  <c r="A1165"/>
  <c r="A1162"/>
  <c r="A1164"/>
  <c r="A1161"/>
  <c r="N1060" i="5" l="1"/>
  <c r="M508" i="6"/>
  <c r="M576"/>
  <c r="N1614" i="5"/>
  <c r="M1571" i="6"/>
  <c r="N1671" i="5"/>
  <c r="M1162" i="6"/>
  <c r="N920" i="5"/>
  <c r="M620" i="6"/>
  <c r="N862" i="5"/>
  <c r="N1716"/>
  <c r="M1336" i="6"/>
  <c r="N1485" i="5"/>
  <c r="N940"/>
  <c r="N327"/>
  <c r="N901"/>
  <c r="K61" i="1"/>
  <c r="N910" i="5"/>
  <c r="N514"/>
  <c r="N820"/>
  <c r="N968"/>
  <c r="N886"/>
  <c r="N1731"/>
  <c r="N839"/>
  <c r="N1279"/>
  <c r="N708"/>
  <c r="N114"/>
  <c r="N245"/>
  <c r="N1581"/>
  <c r="N500"/>
  <c r="M1122" i="6"/>
  <c r="M1103" s="1"/>
  <c r="N1640" i="5"/>
  <c r="N440"/>
  <c r="N559"/>
  <c r="K60" i="1"/>
  <c r="M780" i="6"/>
  <c r="M982"/>
  <c r="N1702" i="5"/>
  <c r="N607"/>
  <c r="N158"/>
  <c r="N1603"/>
  <c r="N1053"/>
  <c r="N1539"/>
  <c r="N799"/>
  <c r="N186"/>
  <c r="N377"/>
  <c r="K25" i="1"/>
  <c r="N393" i="5"/>
  <c r="K21" i="1"/>
  <c r="M1066" i="6"/>
  <c r="N424" i="5"/>
  <c r="N533"/>
  <c r="N1685"/>
  <c r="N1297"/>
  <c r="N1196"/>
  <c r="N1407"/>
  <c r="N550"/>
  <c r="N618"/>
  <c r="N1178"/>
  <c r="N485"/>
  <c r="N1627"/>
  <c r="N1517"/>
  <c r="N340"/>
  <c r="N666"/>
  <c r="M608" i="6"/>
  <c r="M1060"/>
  <c r="M1015"/>
  <c r="N1143" i="5"/>
  <c r="M303" i="6"/>
  <c r="M1155"/>
  <c r="M188"/>
  <c r="M1286"/>
  <c r="M259"/>
  <c r="M429"/>
  <c r="M475"/>
  <c r="M54"/>
  <c r="M1612"/>
  <c r="M1786"/>
  <c r="M1222"/>
  <c r="M1318"/>
  <c r="M327"/>
  <c r="M1665"/>
  <c r="M1521"/>
  <c r="M357"/>
  <c r="M1424"/>
  <c r="M1733"/>
  <c r="M152"/>
  <c r="M628"/>
  <c r="M62"/>
  <c r="M790"/>
  <c r="M1023"/>
  <c r="M90"/>
  <c r="M1598"/>
  <c r="M315"/>
  <c r="M265"/>
  <c r="M1515"/>
  <c r="M247"/>
  <c r="M1143"/>
  <c r="M271"/>
  <c r="M1372"/>
  <c r="M1052"/>
  <c r="M1741"/>
  <c r="M1386"/>
  <c r="M395"/>
  <c r="M387"/>
  <c r="M1137"/>
  <c r="M1774"/>
  <c r="M483"/>
  <c r="M333"/>
  <c r="M1719"/>
  <c r="M1588"/>
  <c r="M1766"/>
  <c r="M1642"/>
  <c r="M1418"/>
  <c r="M1711"/>
  <c r="M1801"/>
  <c r="M174"/>
  <c r="M1492"/>
  <c r="M461"/>
  <c r="M38"/>
  <c r="M238"/>
  <c r="M1338"/>
  <c r="M168"/>
  <c r="M411"/>
  <c r="M455"/>
  <c r="M547"/>
  <c r="M277"/>
  <c r="M1366"/>
  <c r="M283"/>
  <c r="M490"/>
  <c r="M1149"/>
  <c r="M1753"/>
  <c r="M1228"/>
  <c r="M423"/>
  <c r="M143"/>
  <c r="M1046"/>
  <c r="M196"/>
  <c r="M96"/>
  <c r="M1434"/>
  <c r="M541"/>
  <c r="M220"/>
  <c r="M1078"/>
  <c r="M1260"/>
  <c r="M557"/>
  <c r="M417"/>
  <c r="M1807"/>
  <c r="M1673"/>
  <c r="M1458"/>
  <c r="M443"/>
  <c r="M182"/>
  <c r="M208"/>
  <c r="M309"/>
  <c r="M131"/>
  <c r="M345"/>
  <c r="M1446"/>
  <c r="M563"/>
  <c r="M897"/>
  <c r="M716"/>
  <c r="M112"/>
  <c r="M369"/>
  <c r="M1350"/>
  <c r="M69"/>
  <c r="M519"/>
  <c r="M1466"/>
  <c r="M531"/>
  <c r="M1398"/>
  <c r="M1344"/>
  <c r="M363"/>
  <c r="M226"/>
  <c r="M137"/>
  <c r="M1500"/>
  <c r="M501"/>
  <c r="M643"/>
  <c r="M974"/>
  <c r="M727"/>
  <c r="M938"/>
  <c r="M753"/>
  <c r="M84"/>
  <c r="M591"/>
  <c r="M669"/>
  <c r="M1404"/>
  <c r="M381"/>
  <c r="M1478"/>
  <c r="M1280"/>
  <c r="M1693"/>
  <c r="M1624"/>
  <c r="M1654"/>
  <c r="M1440"/>
  <c r="M467"/>
  <c r="M321"/>
  <c r="L1224"/>
  <c r="N1224" s="1"/>
  <c r="P1224" s="1"/>
  <c r="R1224" s="1"/>
  <c r="T1224" s="1"/>
  <c r="K1223"/>
  <c r="M1673" i="5"/>
  <c r="O1673" s="1"/>
  <c r="Q1673" s="1"/>
  <c r="S1673" s="1"/>
  <c r="U1673" s="1"/>
  <c r="L1672"/>
  <c r="K1165" i="6"/>
  <c r="K1164" s="1"/>
  <c r="K1163" s="1"/>
  <c r="K1162" s="1"/>
  <c r="L1162" s="1"/>
  <c r="M1612" i="5"/>
  <c r="O1612" s="1"/>
  <c r="Q1612" s="1"/>
  <c r="S1612" s="1"/>
  <c r="U1612" s="1"/>
  <c r="L1611"/>
  <c r="L1610" s="1"/>
  <c r="L1609" s="1"/>
  <c r="M1609" s="1"/>
  <c r="O1609" s="1"/>
  <c r="Q1609" s="1"/>
  <c r="S1609" s="1"/>
  <c r="U1609" s="1"/>
  <c r="A1612"/>
  <c r="A1611"/>
  <c r="A1610"/>
  <c r="N72" l="1"/>
  <c r="K31" i="1"/>
  <c r="M741" i="6"/>
  <c r="M575"/>
  <c r="N1613" i="5"/>
  <c r="M1161" i="6"/>
  <c r="N1162"/>
  <c r="P1162" s="1"/>
  <c r="R1162" s="1"/>
  <c r="T1162" s="1"/>
  <c r="N919" i="5"/>
  <c r="N333"/>
  <c r="N549"/>
  <c r="N392"/>
  <c r="N1516"/>
  <c r="N478"/>
  <c r="N1684"/>
  <c r="N1602"/>
  <c r="M981" i="6"/>
  <c r="N691" i="5"/>
  <c r="N31"/>
  <c r="N707"/>
  <c r="K47" i="1" s="1"/>
  <c r="N838" i="5"/>
  <c r="K57" i="1" s="1"/>
  <c r="N885" i="5"/>
  <c r="N819"/>
  <c r="K56" i="1" s="1"/>
  <c r="N900" i="5"/>
  <c r="K66" i="1"/>
  <c r="K65" s="1"/>
  <c r="N861" i="5"/>
  <c r="N587"/>
  <c r="N627"/>
  <c r="N370"/>
  <c r="N1620"/>
  <c r="M1059" i="6"/>
  <c r="M1065"/>
  <c r="N176" i="5"/>
  <c r="N1273"/>
  <c r="M1335" i="6"/>
  <c r="N1195" i="5"/>
  <c r="N532"/>
  <c r="K52" i="1"/>
  <c r="K51" s="1"/>
  <c r="M779" i="6"/>
  <c r="N499" i="5"/>
  <c r="N1730"/>
  <c r="N513"/>
  <c r="N967"/>
  <c r="N1715"/>
  <c r="M607" i="6"/>
  <c r="K58" i="1"/>
  <c r="N1296" i="5"/>
  <c r="N1701"/>
  <c r="N430"/>
  <c r="N1580"/>
  <c r="K33" i="1"/>
  <c r="N233" i="5"/>
  <c r="N909"/>
  <c r="N304"/>
  <c r="N1484"/>
  <c r="N1059"/>
  <c r="M362" i="6"/>
  <c r="M130"/>
  <c r="M195"/>
  <c r="M410"/>
  <c r="M1385"/>
  <c r="M1732"/>
  <c r="M1664"/>
  <c r="M1285"/>
  <c r="M320"/>
  <c r="M1623"/>
  <c r="M1622" s="1"/>
  <c r="M380"/>
  <c r="M1349"/>
  <c r="M308"/>
  <c r="M1077"/>
  <c r="M1365"/>
  <c r="M61"/>
  <c r="M53"/>
  <c r="M181"/>
  <c r="M489"/>
  <c r="M454"/>
  <c r="M161"/>
  <c r="M1710"/>
  <c r="M1641"/>
  <c r="M332"/>
  <c r="M1740"/>
  <c r="M314"/>
  <c r="M789"/>
  <c r="M627"/>
  <c r="M1423"/>
  <c r="M1520"/>
  <c r="M258"/>
  <c r="M302"/>
  <c r="M1472"/>
  <c r="M546"/>
  <c r="M1417"/>
  <c r="M1758"/>
  <c r="M1718"/>
  <c r="M1773"/>
  <c r="M1014"/>
  <c r="M428"/>
  <c r="M937"/>
  <c r="M1499"/>
  <c r="M518"/>
  <c r="M540"/>
  <c r="M422"/>
  <c r="M246"/>
  <c r="M151"/>
  <c r="M1653"/>
  <c r="M1403"/>
  <c r="M973"/>
  <c r="M500"/>
  <c r="M1397"/>
  <c r="M368"/>
  <c r="M896"/>
  <c r="M207"/>
  <c r="M442"/>
  <c r="M1672"/>
  <c r="M416"/>
  <c r="M1259"/>
  <c r="M1227"/>
  <c r="M237"/>
  <c r="M326"/>
  <c r="M1197"/>
  <c r="M187"/>
  <c r="M351"/>
  <c r="M75"/>
  <c r="K1222"/>
  <c r="L1222" s="1"/>
  <c r="N1222" s="1"/>
  <c r="P1222" s="1"/>
  <c r="R1222" s="1"/>
  <c r="T1222" s="1"/>
  <c r="L1223"/>
  <c r="N1223" s="1"/>
  <c r="P1223" s="1"/>
  <c r="R1223" s="1"/>
  <c r="T1223" s="1"/>
  <c r="M1672" i="5"/>
  <c r="O1672" s="1"/>
  <c r="Q1672" s="1"/>
  <c r="S1672" s="1"/>
  <c r="U1672" s="1"/>
  <c r="L1671"/>
  <c r="M1671" s="1"/>
  <c r="O1671" s="1"/>
  <c r="Q1671" s="1"/>
  <c r="S1671" s="1"/>
  <c r="U1671" s="1"/>
  <c r="L1165" i="6"/>
  <c r="N1165" s="1"/>
  <c r="P1165" s="1"/>
  <c r="R1165" s="1"/>
  <c r="T1165" s="1"/>
  <c r="L1164"/>
  <c r="N1164" s="1"/>
  <c r="P1164" s="1"/>
  <c r="R1164" s="1"/>
  <c r="T1164" s="1"/>
  <c r="M1611" i="5"/>
  <c r="O1611" s="1"/>
  <c r="Q1611" s="1"/>
  <c r="S1611" s="1"/>
  <c r="U1611" s="1"/>
  <c r="L1163" i="6"/>
  <c r="N1163" s="1"/>
  <c r="P1163" s="1"/>
  <c r="R1163" s="1"/>
  <c r="T1163" s="1"/>
  <c r="M1610" i="5"/>
  <c r="O1610" s="1"/>
  <c r="Q1610" s="1"/>
  <c r="S1610" s="1"/>
  <c r="U1610" s="1"/>
  <c r="K1161" i="6"/>
  <c r="L1161" s="1"/>
  <c r="K53" i="1" l="1"/>
  <c r="N1161" i="6"/>
  <c r="P1161" s="1"/>
  <c r="R1161" s="1"/>
  <c r="T1161" s="1"/>
  <c r="M1102"/>
  <c r="M1101" s="1"/>
  <c r="M1514"/>
  <c r="M1513" s="1"/>
  <c r="N918" i="5"/>
  <c r="K50" i="1"/>
  <c r="N1724" i="5"/>
  <c r="K62" i="1"/>
  <c r="K59" s="1"/>
  <c r="N1230" i="5"/>
  <c r="N1194" s="1"/>
  <c r="N818"/>
  <c r="N30"/>
  <c r="N22" s="1"/>
  <c r="M980" i="6"/>
  <c r="N1546" i="5"/>
  <c r="N1700"/>
  <c r="K41" i="1"/>
  <c r="K39"/>
  <c r="K38"/>
  <c r="N586" i="5"/>
  <c r="N884"/>
  <c r="N860" s="1"/>
  <c r="N1595"/>
  <c r="K37" i="1"/>
  <c r="N477" i="5"/>
  <c r="K36" i="1"/>
  <c r="N1317" i="5"/>
  <c r="N548"/>
  <c r="M1329" i="6"/>
  <c r="N626" i="5"/>
  <c r="M1058" i="6"/>
  <c r="N423" i="5"/>
  <c r="K32" i="1"/>
  <c r="N966" i="5"/>
  <c r="K49" i="1"/>
  <c r="M778" i="6"/>
  <c r="N175" i="5"/>
  <c r="K28" i="1"/>
  <c r="K27" s="1"/>
  <c r="N369" i="5"/>
  <c r="K64" i="1"/>
  <c r="K63" s="1"/>
  <c r="N303" i="5"/>
  <c r="K46" i="1"/>
  <c r="M344" i="6"/>
  <c r="M788"/>
  <c r="M435"/>
  <c r="M947"/>
  <c r="M626"/>
  <c r="M1465"/>
  <c r="M150"/>
  <c r="M1416"/>
  <c r="M236"/>
  <c r="M1258"/>
  <c r="M206"/>
  <c r="M1396"/>
  <c r="M539"/>
  <c r="M1498"/>
  <c r="M301"/>
  <c r="M180"/>
  <c r="M52"/>
  <c r="M1384"/>
  <c r="M409"/>
  <c r="M460"/>
  <c r="L1544" i="5"/>
  <c r="M1544" s="1"/>
  <c r="O1544" s="1"/>
  <c r="Q1544" s="1"/>
  <c r="S1544" s="1"/>
  <c r="U1544" s="1"/>
  <c r="M1545"/>
  <c r="O1545" s="1"/>
  <c r="Q1545" s="1"/>
  <c r="S1545" s="1"/>
  <c r="U1545" s="1"/>
  <c r="K1112" i="6"/>
  <c r="L1112" s="1"/>
  <c r="N1112" s="1"/>
  <c r="P1112" s="1"/>
  <c r="R1112" s="1"/>
  <c r="T1112" s="1"/>
  <c r="L1308" i="5"/>
  <c r="K869" i="6" s="1"/>
  <c r="K868" s="1"/>
  <c r="L554" i="5"/>
  <c r="K1006" i="6" s="1"/>
  <c r="K1005" s="1"/>
  <c r="K1004" s="1"/>
  <c r="K1003" s="1"/>
  <c r="K1002" s="1"/>
  <c r="K1001" s="1"/>
  <c r="L505" i="5"/>
  <c r="K1020" i="6" s="1"/>
  <c r="K1019" s="1"/>
  <c r="K1018" s="1"/>
  <c r="L1571" i="5"/>
  <c r="K1234" i="6" s="1"/>
  <c r="K1233" s="1"/>
  <c r="K1232" s="1"/>
  <c r="I23" i="1"/>
  <c r="K1811" i="6"/>
  <c r="K1810" s="1"/>
  <c r="K1809" s="1"/>
  <c r="K1808" s="1"/>
  <c r="K1807" s="1"/>
  <c r="K1806"/>
  <c r="K1805" s="1"/>
  <c r="K1804" s="1"/>
  <c r="K1803" s="1"/>
  <c r="K1802" s="1"/>
  <c r="K1801" s="1"/>
  <c r="K1795"/>
  <c r="K1794" s="1"/>
  <c r="K1793" s="1"/>
  <c r="K1792" s="1"/>
  <c r="K1791" s="1"/>
  <c r="K1790"/>
  <c r="K1789" s="1"/>
  <c r="K1788" s="1"/>
  <c r="K1787" s="1"/>
  <c r="K1786" s="1"/>
  <c r="K1785"/>
  <c r="K1784" s="1"/>
  <c r="K1783" s="1"/>
  <c r="K1782" s="1"/>
  <c r="K1781" s="1"/>
  <c r="K1780"/>
  <c r="K1779" s="1"/>
  <c r="K1778" s="1"/>
  <c r="K1777"/>
  <c r="K1776" s="1"/>
  <c r="K1772"/>
  <c r="K1771" s="1"/>
  <c r="K1770" s="1"/>
  <c r="K1769"/>
  <c r="K1768" s="1"/>
  <c r="K1757"/>
  <c r="K1756" s="1"/>
  <c r="K1755" s="1"/>
  <c r="K1754" s="1"/>
  <c r="K1753" s="1"/>
  <c r="K1752"/>
  <c r="K1751" s="1"/>
  <c r="K1750" s="1"/>
  <c r="K1749" s="1"/>
  <c r="K1748" s="1"/>
  <c r="K1747"/>
  <c r="K1746" s="1"/>
  <c r="K1745" s="1"/>
  <c r="K1744"/>
  <c r="K1743" s="1"/>
  <c r="K1739"/>
  <c r="K1738" s="1"/>
  <c r="K1737" s="1"/>
  <c r="K1736"/>
  <c r="K1735" s="1"/>
  <c r="K1731"/>
  <c r="K1730"/>
  <c r="K1725"/>
  <c r="K1724" s="1"/>
  <c r="K1723" s="1"/>
  <c r="K1722"/>
  <c r="K1721" s="1"/>
  <c r="K1717"/>
  <c r="K1716" s="1"/>
  <c r="K1715" s="1"/>
  <c r="K1714"/>
  <c r="K1713" s="1"/>
  <c r="K1709"/>
  <c r="K1708" s="1"/>
  <c r="K1707" s="1"/>
  <c r="K1706" s="1"/>
  <c r="K1705"/>
  <c r="K1704" s="1"/>
  <c r="K1703" s="1"/>
  <c r="K1701"/>
  <c r="K1700" s="1"/>
  <c r="K1699" s="1"/>
  <c r="K1698" s="1"/>
  <c r="K1697"/>
  <c r="K1696" s="1"/>
  <c r="K1695" s="1"/>
  <c r="K1694" s="1"/>
  <c r="K1692"/>
  <c r="K1691" s="1"/>
  <c r="K1690" s="1"/>
  <c r="K1689" s="1"/>
  <c r="K1688"/>
  <c r="K1687" s="1"/>
  <c r="K1686" s="1"/>
  <c r="K1685" s="1"/>
  <c r="K1684"/>
  <c r="K1683" s="1"/>
  <c r="K1682"/>
  <c r="K1681" s="1"/>
  <c r="K1658"/>
  <c r="K1657" s="1"/>
  <c r="K1656" s="1"/>
  <c r="K1655" s="1"/>
  <c r="K1654" s="1"/>
  <c r="K1653" s="1"/>
  <c r="K1677"/>
  <c r="K1676" s="1"/>
  <c r="K1675" s="1"/>
  <c r="K1674" s="1"/>
  <c r="K1673" s="1"/>
  <c r="K1671"/>
  <c r="K1670" s="1"/>
  <c r="K1669" s="1"/>
  <c r="K1668"/>
  <c r="K1667" s="1"/>
  <c r="K1646"/>
  <c r="K1645" s="1"/>
  <c r="K1644" s="1"/>
  <c r="K1643" s="1"/>
  <c r="K1642" s="1"/>
  <c r="K1641" s="1"/>
  <c r="K1628"/>
  <c r="K1627" s="1"/>
  <c r="K1626" s="1"/>
  <c r="K1625" s="1"/>
  <c r="K1624" s="1"/>
  <c r="K1623" s="1"/>
  <c r="K1622" s="1"/>
  <c r="K1621"/>
  <c r="K1620" s="1"/>
  <c r="K1619" s="1"/>
  <c r="K1618" s="1"/>
  <c r="K1617" s="1"/>
  <c r="K1616"/>
  <c r="K1615" s="1"/>
  <c r="K1614" s="1"/>
  <c r="K1613" s="1"/>
  <c r="K1612" s="1"/>
  <c r="K1611"/>
  <c r="K1610" s="1"/>
  <c r="K1609" s="1"/>
  <c r="K1608"/>
  <c r="K1607" s="1"/>
  <c r="K1604"/>
  <c r="K1603" s="1"/>
  <c r="K1602" s="1"/>
  <c r="K1601"/>
  <c r="K1600" s="1"/>
  <c r="K1597"/>
  <c r="K1596" s="1"/>
  <c r="K1595" s="1"/>
  <c r="K1594"/>
  <c r="K1593" s="1"/>
  <c r="K1592" s="1"/>
  <c r="K1591"/>
  <c r="K1590" s="1"/>
  <c r="K1587"/>
  <c r="K1586" s="1"/>
  <c r="K1585" s="1"/>
  <c r="K1584"/>
  <c r="K1583" s="1"/>
  <c r="K1580"/>
  <c r="K1579" s="1"/>
  <c r="K1578" s="1"/>
  <c r="K1577"/>
  <c r="K1576" s="1"/>
  <c r="K1575" s="1"/>
  <c r="K1574"/>
  <c r="K1573" s="1"/>
  <c r="K1570"/>
  <c r="K1569" s="1"/>
  <c r="K1568" s="1"/>
  <c r="K1567"/>
  <c r="K1566" s="1"/>
  <c r="K1565" s="1"/>
  <c r="K1564"/>
  <c r="K1563" s="1"/>
  <c r="K1560"/>
  <c r="K1558" s="1"/>
  <c r="K1557" s="1"/>
  <c r="K1556"/>
  <c r="K1555" s="1"/>
  <c r="K1554" s="1"/>
  <c r="K1553"/>
  <c r="K1552" s="1"/>
  <c r="K1549"/>
  <c r="K1548" s="1"/>
  <c r="K1547" s="1"/>
  <c r="K1546"/>
  <c r="K1545" s="1"/>
  <c r="K1544" s="1"/>
  <c r="K1543"/>
  <c r="K1542" s="1"/>
  <c r="K1540"/>
  <c r="K1539" s="1"/>
  <c r="K1538" s="1"/>
  <c r="K1537"/>
  <c r="K1536" s="1"/>
  <c r="K1535" s="1"/>
  <c r="K1534"/>
  <c r="K1533" s="1"/>
  <c r="K1531"/>
  <c r="K1530"/>
  <c r="K1527"/>
  <c r="K1526" s="1"/>
  <c r="K1525" s="1"/>
  <c r="K1524"/>
  <c r="K1523" s="1"/>
  <c r="K1519"/>
  <c r="K1518" s="1"/>
  <c r="K1517" s="1"/>
  <c r="K1516" s="1"/>
  <c r="K1515" s="1"/>
  <c r="K1504"/>
  <c r="K1503" s="1"/>
  <c r="K1502" s="1"/>
  <c r="K1501" s="1"/>
  <c r="K1500" s="1"/>
  <c r="K1499" s="1"/>
  <c r="K1498" s="1"/>
  <c r="K1497"/>
  <c r="K1496" s="1"/>
  <c r="K1495" s="1"/>
  <c r="K1494" s="1"/>
  <c r="K1493" s="1"/>
  <c r="K1492" s="1"/>
  <c r="K1491"/>
  <c r="K1490" s="1"/>
  <c r="K1489" s="1"/>
  <c r="K1488" s="1"/>
  <c r="K1487"/>
  <c r="K1486" s="1"/>
  <c r="K1485" s="1"/>
  <c r="K1484"/>
  <c r="K1483" s="1"/>
  <c r="K1482" s="1"/>
  <c r="K1481"/>
  <c r="K1480" s="1"/>
  <c r="K1477"/>
  <c r="K1476" s="1"/>
  <c r="K1475" s="1"/>
  <c r="K1474" s="1"/>
  <c r="K1473" s="1"/>
  <c r="K1471"/>
  <c r="K1470" s="1"/>
  <c r="K1469" s="1"/>
  <c r="K1468" s="1"/>
  <c r="K1467" s="1"/>
  <c r="K1466" s="1"/>
  <c r="K1463"/>
  <c r="K1462" s="1"/>
  <c r="K1461" s="1"/>
  <c r="K1460" s="1"/>
  <c r="K1459" s="1"/>
  <c r="K1458" s="1"/>
  <c r="K1457"/>
  <c r="K1456"/>
  <c r="K1453"/>
  <c r="K1452" s="1"/>
  <c r="K1451" s="1"/>
  <c r="K1450"/>
  <c r="K1449" s="1"/>
  <c r="K1445"/>
  <c r="K1444" s="1"/>
  <c r="K1443" s="1"/>
  <c r="K1442" s="1"/>
  <c r="K1441" s="1"/>
  <c r="K1440" s="1"/>
  <c r="K1439"/>
  <c r="K1438" s="1"/>
  <c r="K1437" s="1"/>
  <c r="K1436" s="1"/>
  <c r="K1435" s="1"/>
  <c r="K1434" s="1"/>
  <c r="K1433"/>
  <c r="K1432" s="1"/>
  <c r="K1431" s="1"/>
  <c r="K1430" s="1"/>
  <c r="K1429" s="1"/>
  <c r="K1428"/>
  <c r="K1427" s="1"/>
  <c r="K1426" s="1"/>
  <c r="K1425" s="1"/>
  <c r="K1424" s="1"/>
  <c r="K1422"/>
  <c r="K1421" s="1"/>
  <c r="K1420" s="1"/>
  <c r="K1419" s="1"/>
  <c r="K1418" s="1"/>
  <c r="K1417" s="1"/>
  <c r="K1409"/>
  <c r="K1408"/>
  <c r="K1402"/>
  <c r="K1401" s="1"/>
  <c r="K1400" s="1"/>
  <c r="K1399" s="1"/>
  <c r="K1398" s="1"/>
  <c r="K1397" s="1"/>
  <c r="K1395"/>
  <c r="K1394" s="1"/>
  <c r="K1393" s="1"/>
  <c r="K1392" s="1"/>
  <c r="K1391" s="1"/>
  <c r="K1390"/>
  <c r="K1389" s="1"/>
  <c r="K1388" s="1"/>
  <c r="K1387" s="1"/>
  <c r="K1386" s="1"/>
  <c r="K1385" s="1"/>
  <c r="K1383"/>
  <c r="K1382"/>
  <c r="K1379"/>
  <c r="K1378" s="1"/>
  <c r="K1377" s="1"/>
  <c r="K1376"/>
  <c r="K1375" s="1"/>
  <c r="K1371"/>
  <c r="K1370" s="1"/>
  <c r="K1369" s="1"/>
  <c r="K1368" s="1"/>
  <c r="K1367" s="1"/>
  <c r="K1366" s="1"/>
  <c r="K1363"/>
  <c r="K1362"/>
  <c r="K1359"/>
  <c r="K1358" s="1"/>
  <c r="K1357" s="1"/>
  <c r="K1356"/>
  <c r="K1355" s="1"/>
  <c r="K1354" s="1"/>
  <c r="K1353"/>
  <c r="K1352" s="1"/>
  <c r="K1348"/>
  <c r="K1347" s="1"/>
  <c r="K1346" s="1"/>
  <c r="K1345" s="1"/>
  <c r="K1344" s="1"/>
  <c r="K1343"/>
  <c r="K1342" s="1"/>
  <c r="K1341" s="1"/>
  <c r="K1340" s="1"/>
  <c r="K1339" s="1"/>
  <c r="K1338" s="1"/>
  <c r="K1334"/>
  <c r="K1333" s="1"/>
  <c r="K1332" s="1"/>
  <c r="K1331"/>
  <c r="K1330" s="1"/>
  <c r="K1325"/>
  <c r="K1324" s="1"/>
  <c r="K1323"/>
  <c r="K1322" s="1"/>
  <c r="K1299"/>
  <c r="K1298" s="1"/>
  <c r="K1297"/>
  <c r="K1296" s="1"/>
  <c r="K1292"/>
  <c r="K1291" s="1"/>
  <c r="K1290"/>
  <c r="K1289" s="1"/>
  <c r="K1284"/>
  <c r="K1283" s="1"/>
  <c r="K1282" s="1"/>
  <c r="K1281" s="1"/>
  <c r="K1280" s="1"/>
  <c r="K1279"/>
  <c r="K1278" s="1"/>
  <c r="K1277" s="1"/>
  <c r="K1276" s="1"/>
  <c r="K1275" s="1"/>
  <c r="K1274"/>
  <c r="K1273" s="1"/>
  <c r="K1272"/>
  <c r="K1271" s="1"/>
  <c r="K1269"/>
  <c r="K1268" s="1"/>
  <c r="K1267" s="1"/>
  <c r="K1264"/>
  <c r="K1263" s="1"/>
  <c r="K1262" s="1"/>
  <c r="K1261" s="1"/>
  <c r="K1260" s="1"/>
  <c r="K1238"/>
  <c r="K1237"/>
  <c r="K1231"/>
  <c r="K1230" s="1"/>
  <c r="K1221"/>
  <c r="K1220" s="1"/>
  <c r="K1219" s="1"/>
  <c r="K1218" s="1"/>
  <c r="K1217"/>
  <c r="K1216" s="1"/>
  <c r="K1215" s="1"/>
  <c r="K1214" s="1"/>
  <c r="K1207"/>
  <c r="K1206" s="1"/>
  <c r="K1205" s="1"/>
  <c r="K1204" s="1"/>
  <c r="K1203" s="1"/>
  <c r="K1202"/>
  <c r="K1201" s="1"/>
  <c r="K1200" s="1"/>
  <c r="K1199" s="1"/>
  <c r="K1198" s="1"/>
  <c r="K1160"/>
  <c r="K1159" s="1"/>
  <c r="K1158" s="1"/>
  <c r="K1157" s="1"/>
  <c r="K1156" s="1"/>
  <c r="K1155" s="1"/>
  <c r="K1154"/>
  <c r="K1153" s="1"/>
  <c r="K1152" s="1"/>
  <c r="K1151" s="1"/>
  <c r="K1150" s="1"/>
  <c r="K1149" s="1"/>
  <c r="K1148"/>
  <c r="K1147" s="1"/>
  <c r="K1146" s="1"/>
  <c r="K1145" s="1"/>
  <c r="K1144" s="1"/>
  <c r="K1143" s="1"/>
  <c r="K1142"/>
  <c r="K1141" s="1"/>
  <c r="K1140" s="1"/>
  <c r="K1139" s="1"/>
  <c r="K1138" s="1"/>
  <c r="K1137" s="1"/>
  <c r="K1136"/>
  <c r="K1135" s="1"/>
  <c r="K1134" s="1"/>
  <c r="K1133" s="1"/>
  <c r="K1132" s="1"/>
  <c r="K1126"/>
  <c r="K1125" s="1"/>
  <c r="K1124" s="1"/>
  <c r="K1123" s="1"/>
  <c r="K1122" s="1"/>
  <c r="K1121"/>
  <c r="K1120" s="1"/>
  <c r="K1119" s="1"/>
  <c r="K1118" s="1"/>
  <c r="K1117" s="1"/>
  <c r="K1108"/>
  <c r="K1107" s="1"/>
  <c r="K1106" s="1"/>
  <c r="K1105" s="1"/>
  <c r="K1100"/>
  <c r="K1099" s="1"/>
  <c r="K1098" s="1"/>
  <c r="K1097" s="1"/>
  <c r="K1096" s="1"/>
  <c r="K1095" s="1"/>
  <c r="K1094"/>
  <c r="K1093" s="1"/>
  <c r="K1092" s="1"/>
  <c r="K1091" s="1"/>
  <c r="K1090" s="1"/>
  <c r="K1089" s="1"/>
  <c r="K1088"/>
  <c r="K1087" s="1"/>
  <c r="K1086" s="1"/>
  <c r="K1085" s="1"/>
  <c r="K1084" s="1"/>
  <c r="K1083"/>
  <c r="K1082" s="1"/>
  <c r="K1081" s="1"/>
  <c r="K1080" s="1"/>
  <c r="K1079" s="1"/>
  <c r="K1070"/>
  <c r="K1069" s="1"/>
  <c r="K1068" s="1"/>
  <c r="K1067" s="1"/>
  <c r="K1066" s="1"/>
  <c r="K1065" s="1"/>
  <c r="K1064"/>
  <c r="K1063" s="1"/>
  <c r="K1062" s="1"/>
  <c r="K1061" s="1"/>
  <c r="K1060" s="1"/>
  <c r="K1059" s="1"/>
  <c r="K1057"/>
  <c r="K1056" s="1"/>
  <c r="K1055" s="1"/>
  <c r="K1054" s="1"/>
  <c r="K1053" s="1"/>
  <c r="K1052" s="1"/>
  <c r="K1051"/>
  <c r="K1050" s="1"/>
  <c r="K1049" s="1"/>
  <c r="K1048" s="1"/>
  <c r="K1047" s="1"/>
  <c r="K1046" s="1"/>
  <c r="K1045"/>
  <c r="K1044" s="1"/>
  <c r="K1043" s="1"/>
  <c r="K1042" s="1"/>
  <c r="K1041" s="1"/>
  <c r="K1040"/>
  <c r="K1039" s="1"/>
  <c r="K1038" s="1"/>
  <c r="K1037" s="1"/>
  <c r="K1036" s="1"/>
  <c r="K1034"/>
  <c r="K1033" s="1"/>
  <c r="K1032" s="1"/>
  <c r="K1031"/>
  <c r="K1030"/>
  <c r="K1027"/>
  <c r="K1026" s="1"/>
  <c r="K1022"/>
  <c r="K1021" s="1"/>
  <c r="K1012"/>
  <c r="K1011" s="1"/>
  <c r="K1010" s="1"/>
  <c r="K1009" s="1"/>
  <c r="K1008" s="1"/>
  <c r="K1007" s="1"/>
  <c r="K994"/>
  <c r="K993" s="1"/>
  <c r="K992" s="1"/>
  <c r="K991" s="1"/>
  <c r="K990" s="1"/>
  <c r="K989" s="1"/>
  <c r="K988" s="1"/>
  <c r="K987"/>
  <c r="K986" s="1"/>
  <c r="K985" s="1"/>
  <c r="K984" s="1"/>
  <c r="K983" s="1"/>
  <c r="K982" s="1"/>
  <c r="K981" s="1"/>
  <c r="K980" s="1"/>
  <c r="K979"/>
  <c r="K978" s="1"/>
  <c r="K977" s="1"/>
  <c r="K976" s="1"/>
  <c r="K975" s="1"/>
  <c r="K974" s="1"/>
  <c r="K973" s="1"/>
  <c r="K972"/>
  <c r="K971" s="1"/>
  <c r="K970" s="1"/>
  <c r="K969" s="1"/>
  <c r="K968" s="1"/>
  <c r="K967" s="1"/>
  <c r="K960"/>
  <c r="K959" s="1"/>
  <c r="K958" s="1"/>
  <c r="K957" s="1"/>
  <c r="K956" s="1"/>
  <c r="K955" s="1"/>
  <c r="K953"/>
  <c r="K952" s="1"/>
  <c r="K951" s="1"/>
  <c r="K950" s="1"/>
  <c r="K949" s="1"/>
  <c r="K948" s="1"/>
  <c r="K945"/>
  <c r="K944" s="1"/>
  <c r="K943" s="1"/>
  <c r="K939" s="1"/>
  <c r="K938" s="1"/>
  <c r="K937" s="1"/>
  <c r="K933"/>
  <c r="K932" s="1"/>
  <c r="K931" s="1"/>
  <c r="K930"/>
  <c r="K929" s="1"/>
  <c r="K927"/>
  <c r="K926"/>
  <c r="K922"/>
  <c r="K921"/>
  <c r="K916"/>
  <c r="K915" s="1"/>
  <c r="K914"/>
  <c r="K913" s="1"/>
  <c r="K911"/>
  <c r="K910" s="1"/>
  <c r="K909" s="1"/>
  <c r="K905"/>
  <c r="K904" s="1"/>
  <c r="K903" s="1"/>
  <c r="K901"/>
  <c r="K900" s="1"/>
  <c r="K899" s="1"/>
  <c r="K895"/>
  <c r="K894" s="1"/>
  <c r="K893" s="1"/>
  <c r="K889" s="1"/>
  <c r="K888" s="1"/>
  <c r="K887" s="1"/>
  <c r="K886"/>
  <c r="K885" s="1"/>
  <c r="K884" s="1"/>
  <c r="K883" s="1"/>
  <c r="K882" s="1"/>
  <c r="K881" s="1"/>
  <c r="K867"/>
  <c r="K866" s="1"/>
  <c r="K865" s="1"/>
  <c r="K861"/>
  <c r="K860" s="1"/>
  <c r="K859" s="1"/>
  <c r="K858" s="1"/>
  <c r="K857" s="1"/>
  <c r="K856" s="1"/>
  <c r="K855"/>
  <c r="K854"/>
  <c r="K821"/>
  <c r="K820" s="1"/>
  <c r="K819" s="1"/>
  <c r="K815" s="1"/>
  <c r="K814" s="1"/>
  <c r="K813" s="1"/>
  <c r="K812" s="1"/>
  <c r="K807"/>
  <c r="K806" s="1"/>
  <c r="K805" s="1"/>
  <c r="K801" s="1"/>
  <c r="K800" s="1"/>
  <c r="K799" s="1"/>
  <c r="K798" s="1"/>
  <c r="K797"/>
  <c r="K796" s="1"/>
  <c r="K795" s="1"/>
  <c r="K791" s="1"/>
  <c r="K790" s="1"/>
  <c r="K789" s="1"/>
  <c r="K788" s="1"/>
  <c r="K787"/>
  <c r="K786" s="1"/>
  <c r="K785" s="1"/>
  <c r="K781" s="1"/>
  <c r="K780" s="1"/>
  <c r="K779" s="1"/>
  <c r="K778" s="1"/>
  <c r="K771"/>
  <c r="K770" s="1"/>
  <c r="K769" s="1"/>
  <c r="K768" s="1"/>
  <c r="K767" s="1"/>
  <c r="K766" s="1"/>
  <c r="K765"/>
  <c r="K764" s="1"/>
  <c r="K763" s="1"/>
  <c r="K762" s="1"/>
  <c r="K761" s="1"/>
  <c r="K760" s="1"/>
  <c r="K758"/>
  <c r="K757" s="1"/>
  <c r="K756" s="1"/>
  <c r="K755" s="1"/>
  <c r="K754" s="1"/>
  <c r="K753" s="1"/>
  <c r="K752"/>
  <c r="K751" s="1"/>
  <c r="K750" s="1"/>
  <c r="K749"/>
  <c r="K748" s="1"/>
  <c r="K747" s="1"/>
  <c r="K746"/>
  <c r="K745" s="1"/>
  <c r="K740"/>
  <c r="K739"/>
  <c r="K733"/>
  <c r="K732" s="1"/>
  <c r="K731" s="1"/>
  <c r="K730" s="1"/>
  <c r="K729" s="1"/>
  <c r="K728" s="1"/>
  <c r="K726"/>
  <c r="K725" s="1"/>
  <c r="K724" s="1"/>
  <c r="K723" s="1"/>
  <c r="K722" s="1"/>
  <c r="K721"/>
  <c r="K720" s="1"/>
  <c r="K719" s="1"/>
  <c r="K718" s="1"/>
  <c r="K717" s="1"/>
  <c r="K710"/>
  <c r="K709" s="1"/>
  <c r="K708" s="1"/>
  <c r="K707" s="1"/>
  <c r="K706" s="1"/>
  <c r="K705"/>
  <c r="K704" s="1"/>
  <c r="K703" s="1"/>
  <c r="K702" s="1"/>
  <c r="K701" s="1"/>
  <c r="K699"/>
  <c r="K698" s="1"/>
  <c r="K697" s="1"/>
  <c r="K696" s="1"/>
  <c r="K695" s="1"/>
  <c r="K694"/>
  <c r="K693" s="1"/>
  <c r="K692" s="1"/>
  <c r="K691" s="1"/>
  <c r="K690" s="1"/>
  <c r="K688"/>
  <c r="K687" s="1"/>
  <c r="K686" s="1"/>
  <c r="K685" s="1"/>
  <c r="K684" s="1"/>
  <c r="K683"/>
  <c r="K682" s="1"/>
  <c r="K681" s="1"/>
  <c r="K680" s="1"/>
  <c r="K679"/>
  <c r="K678" s="1"/>
  <c r="K677" s="1"/>
  <c r="K676" s="1"/>
  <c r="K674"/>
  <c r="K673" s="1"/>
  <c r="K672" s="1"/>
  <c r="K671" s="1"/>
  <c r="K670" s="1"/>
  <c r="K668"/>
  <c r="K667" s="1"/>
  <c r="K666" s="1"/>
  <c r="K665" s="1"/>
  <c r="K664" s="1"/>
  <c r="K663"/>
  <c r="K662" s="1"/>
  <c r="K661" s="1"/>
  <c r="K660" s="1"/>
  <c r="K659" s="1"/>
  <c r="K658"/>
  <c r="K657" s="1"/>
  <c r="K656"/>
  <c r="K655" s="1"/>
  <c r="K653"/>
  <c r="K652" s="1"/>
  <c r="K651" s="1"/>
  <c r="K648"/>
  <c r="K647" s="1"/>
  <c r="K646" s="1"/>
  <c r="K645" s="1"/>
  <c r="K644" s="1"/>
  <c r="K642"/>
  <c r="K641" s="1"/>
  <c r="K640" s="1"/>
  <c r="K639" s="1"/>
  <c r="K638" s="1"/>
  <c r="K637"/>
  <c r="K636" s="1"/>
  <c r="K635"/>
  <c r="K634" s="1"/>
  <c r="K632"/>
  <c r="K631" s="1"/>
  <c r="K630" s="1"/>
  <c r="K625"/>
  <c r="K624" s="1"/>
  <c r="K623" s="1"/>
  <c r="K622" s="1"/>
  <c r="K621" s="1"/>
  <c r="K620" s="1"/>
  <c r="K619"/>
  <c r="K618" s="1"/>
  <c r="K617" s="1"/>
  <c r="K616" s="1"/>
  <c r="K615" s="1"/>
  <c r="K614" s="1"/>
  <c r="K613"/>
  <c r="K612" s="1"/>
  <c r="K611" s="1"/>
  <c r="K610" s="1"/>
  <c r="K609" s="1"/>
  <c r="K608" s="1"/>
  <c r="K606"/>
  <c r="K605" s="1"/>
  <c r="K604" s="1"/>
  <c r="K603" s="1"/>
  <c r="K602" s="1"/>
  <c r="K601"/>
  <c r="K600" s="1"/>
  <c r="K599" s="1"/>
  <c r="K598" s="1"/>
  <c r="K597" s="1"/>
  <c r="K596"/>
  <c r="K595" s="1"/>
  <c r="K594" s="1"/>
  <c r="K593" s="1"/>
  <c r="K592" s="1"/>
  <c r="K585"/>
  <c r="K584" s="1"/>
  <c r="K583" s="1"/>
  <c r="K582" s="1"/>
  <c r="K581" s="1"/>
  <c r="K580"/>
  <c r="K579" s="1"/>
  <c r="K578" s="1"/>
  <c r="K577" s="1"/>
  <c r="K576" s="1"/>
  <c r="K574"/>
  <c r="K573" s="1"/>
  <c r="K572" s="1"/>
  <c r="K571" s="1"/>
  <c r="K570" s="1"/>
  <c r="K569" s="1"/>
  <c r="K568" s="1"/>
  <c r="K567"/>
  <c r="K566" s="1"/>
  <c r="K565" s="1"/>
  <c r="K564" s="1"/>
  <c r="K563" s="1"/>
  <c r="K562"/>
  <c r="K561" s="1"/>
  <c r="K560" s="1"/>
  <c r="K559" s="1"/>
  <c r="K558" s="1"/>
  <c r="K557" s="1"/>
  <c r="K556"/>
  <c r="K555" s="1"/>
  <c r="K554" s="1"/>
  <c r="K553" s="1"/>
  <c r="K552" s="1"/>
  <c r="K551"/>
  <c r="K550" s="1"/>
  <c r="K549" s="1"/>
  <c r="K548" s="1"/>
  <c r="K547" s="1"/>
  <c r="K545"/>
  <c r="K544" s="1"/>
  <c r="K543" s="1"/>
  <c r="K542" s="1"/>
  <c r="K541" s="1"/>
  <c r="K540" s="1"/>
  <c r="K538"/>
  <c r="K537" s="1"/>
  <c r="K536" s="1"/>
  <c r="K535"/>
  <c r="K534" s="1"/>
  <c r="K530"/>
  <c r="K529"/>
  <c r="K526"/>
  <c r="K525" s="1"/>
  <c r="K524" s="1"/>
  <c r="K523"/>
  <c r="K522" s="1"/>
  <c r="K517"/>
  <c r="K516" s="1"/>
  <c r="K515" s="1"/>
  <c r="K514" s="1"/>
  <c r="K513"/>
  <c r="K512"/>
  <c r="K511" s="1"/>
  <c r="K507"/>
  <c r="K506" s="1"/>
  <c r="K505"/>
  <c r="K504" s="1"/>
  <c r="K499"/>
  <c r="K498" s="1"/>
  <c r="K497"/>
  <c r="K496" s="1"/>
  <c r="K494"/>
  <c r="K493" s="1"/>
  <c r="K492" s="1"/>
  <c r="K488"/>
  <c r="K487" s="1"/>
  <c r="K486" s="1"/>
  <c r="K485" s="1"/>
  <c r="K484" s="1"/>
  <c r="K483" s="1"/>
  <c r="K482"/>
  <c r="K481" s="1"/>
  <c r="K480"/>
  <c r="K479" s="1"/>
  <c r="K474"/>
  <c r="K473" s="1"/>
  <c r="K472"/>
  <c r="K471" s="1"/>
  <c r="K466"/>
  <c r="K465" s="1"/>
  <c r="K464" s="1"/>
  <c r="K463" s="1"/>
  <c r="K462" s="1"/>
  <c r="K461" s="1"/>
  <c r="K459"/>
  <c r="K458" s="1"/>
  <c r="K457" s="1"/>
  <c r="K456" s="1"/>
  <c r="K455" s="1"/>
  <c r="K454" s="1"/>
  <c r="K447"/>
  <c r="K446" s="1"/>
  <c r="K445" s="1"/>
  <c r="K444" s="1"/>
  <c r="K443" s="1"/>
  <c r="K442" s="1"/>
  <c r="K435" s="1"/>
  <c r="K434"/>
  <c r="K433" s="1"/>
  <c r="K432" s="1"/>
  <c r="K431" s="1"/>
  <c r="K430" s="1"/>
  <c r="K429" s="1"/>
  <c r="K428" s="1"/>
  <c r="K427"/>
  <c r="K426" s="1"/>
  <c r="K425" s="1"/>
  <c r="K424" s="1"/>
  <c r="K423" s="1"/>
  <c r="K422" s="1"/>
  <c r="K421"/>
  <c r="K420" s="1"/>
  <c r="K419" s="1"/>
  <c r="K418" s="1"/>
  <c r="K417" s="1"/>
  <c r="K416" s="1"/>
  <c r="K415"/>
  <c r="K414" s="1"/>
  <c r="K413" s="1"/>
  <c r="K412" s="1"/>
  <c r="K411" s="1"/>
  <c r="K410" s="1"/>
  <c r="K402"/>
  <c r="K401" s="1"/>
  <c r="K400"/>
  <c r="K399" s="1"/>
  <c r="K394"/>
  <c r="K393" s="1"/>
  <c r="K392"/>
  <c r="K391" s="1"/>
  <c r="K386"/>
  <c r="K385" s="1"/>
  <c r="K384" s="1"/>
  <c r="K383" s="1"/>
  <c r="K382" s="1"/>
  <c r="K381" s="1"/>
  <c r="K373"/>
  <c r="K372" s="1"/>
  <c r="K371" s="1"/>
  <c r="K370" s="1"/>
  <c r="K369" s="1"/>
  <c r="K368" s="1"/>
  <c r="K367"/>
  <c r="K366" s="1"/>
  <c r="K365" s="1"/>
  <c r="K364" s="1"/>
  <c r="K363" s="1"/>
  <c r="K362" s="1"/>
  <c r="K361"/>
  <c r="K360" s="1"/>
  <c r="K359" s="1"/>
  <c r="K358" s="1"/>
  <c r="K357" s="1"/>
  <c r="K356"/>
  <c r="K355" s="1"/>
  <c r="K354" s="1"/>
  <c r="K353" s="1"/>
  <c r="K352" s="1"/>
  <c r="K350"/>
  <c r="K349" s="1"/>
  <c r="K348" s="1"/>
  <c r="K347" s="1"/>
  <c r="K346" s="1"/>
  <c r="K345" s="1"/>
  <c r="K337"/>
  <c r="K336" s="1"/>
  <c r="K335" s="1"/>
  <c r="K334" s="1"/>
  <c r="K333" s="1"/>
  <c r="K332" s="1"/>
  <c r="K331"/>
  <c r="K330" s="1"/>
  <c r="K329" s="1"/>
  <c r="K328" s="1"/>
  <c r="K327" s="1"/>
  <c r="K326" s="1"/>
  <c r="K325"/>
  <c r="K324" s="1"/>
  <c r="K323" s="1"/>
  <c r="K322" s="1"/>
  <c r="K321" s="1"/>
  <c r="K320" s="1"/>
  <c r="K319"/>
  <c r="K318" s="1"/>
  <c r="K317" s="1"/>
  <c r="K316" s="1"/>
  <c r="K315" s="1"/>
  <c r="K314" s="1"/>
  <c r="K313"/>
  <c r="K312" s="1"/>
  <c r="K311" s="1"/>
  <c r="K310" s="1"/>
  <c r="K309" s="1"/>
  <c r="K308" s="1"/>
  <c r="K307"/>
  <c r="K306" s="1"/>
  <c r="K305" s="1"/>
  <c r="K304" s="1"/>
  <c r="K303" s="1"/>
  <c r="K302" s="1"/>
  <c r="K288"/>
  <c r="K287" s="1"/>
  <c r="K286" s="1"/>
  <c r="K285" s="1"/>
  <c r="K284" s="1"/>
  <c r="K283" s="1"/>
  <c r="K282"/>
  <c r="K281" s="1"/>
  <c r="K280" s="1"/>
  <c r="K279" s="1"/>
  <c r="K278" s="1"/>
  <c r="K277" s="1"/>
  <c r="K276"/>
  <c r="K275" s="1"/>
  <c r="K274" s="1"/>
  <c r="K273" s="1"/>
  <c r="K272" s="1"/>
  <c r="K271" s="1"/>
  <c r="K270"/>
  <c r="K269" s="1"/>
  <c r="K268" s="1"/>
  <c r="K267" s="1"/>
  <c r="K266" s="1"/>
  <c r="K265" s="1"/>
  <c r="K264"/>
  <c r="K263" s="1"/>
  <c r="K262" s="1"/>
  <c r="K261" s="1"/>
  <c r="K260" s="1"/>
  <c r="K259" s="1"/>
  <c r="K251"/>
  <c r="K250" s="1"/>
  <c r="K249" s="1"/>
  <c r="K248" s="1"/>
  <c r="K247" s="1"/>
  <c r="K246" s="1"/>
  <c r="K245"/>
  <c r="K244" s="1"/>
  <c r="K243" s="1"/>
  <c r="K228"/>
  <c r="K227" s="1"/>
  <c r="K226" s="1"/>
  <c r="K225"/>
  <c r="K224"/>
  <c r="K219"/>
  <c r="K218" s="1"/>
  <c r="K217" s="1"/>
  <c r="K216" s="1"/>
  <c r="K215"/>
  <c r="K214" s="1"/>
  <c r="K213" s="1"/>
  <c r="K212"/>
  <c r="K211" s="1"/>
  <c r="K210" s="1"/>
  <c r="K205"/>
  <c r="K204" s="1"/>
  <c r="K203"/>
  <c r="K202" s="1"/>
  <c r="K200"/>
  <c r="K199" s="1"/>
  <c r="K198" s="1"/>
  <c r="K194"/>
  <c r="K193" s="1"/>
  <c r="K192"/>
  <c r="K186"/>
  <c r="K185" s="1"/>
  <c r="K184" s="1"/>
  <c r="K183" s="1"/>
  <c r="K182" s="1"/>
  <c r="K181" s="1"/>
  <c r="K180" s="1"/>
  <c r="K179"/>
  <c r="K178" s="1"/>
  <c r="K177" s="1"/>
  <c r="K176" s="1"/>
  <c r="K175" s="1"/>
  <c r="K174" s="1"/>
  <c r="K173"/>
  <c r="K172" s="1"/>
  <c r="K171" s="1"/>
  <c r="K170" s="1"/>
  <c r="K169" s="1"/>
  <c r="K168" s="1"/>
  <c r="K167"/>
  <c r="K166" s="1"/>
  <c r="K165" s="1"/>
  <c r="K164" s="1"/>
  <c r="K163" s="1"/>
  <c r="K162" s="1"/>
  <c r="K160"/>
  <c r="K159" s="1"/>
  <c r="K158" s="1"/>
  <c r="K157" s="1"/>
  <c r="K156"/>
  <c r="K155" s="1"/>
  <c r="K154" s="1"/>
  <c r="K153" s="1"/>
  <c r="K148"/>
  <c r="K147" s="1"/>
  <c r="K146" s="1"/>
  <c r="K145" s="1"/>
  <c r="K144" s="1"/>
  <c r="K143" s="1"/>
  <c r="K142"/>
  <c r="K141" s="1"/>
  <c r="K140" s="1"/>
  <c r="K139" s="1"/>
  <c r="K138" s="1"/>
  <c r="K137" s="1"/>
  <c r="K136"/>
  <c r="K135" s="1"/>
  <c r="K134" s="1"/>
  <c r="K133" s="1"/>
  <c r="K132" s="1"/>
  <c r="K131" s="1"/>
  <c r="K129"/>
  <c r="K128" s="1"/>
  <c r="K127"/>
  <c r="K126" s="1"/>
  <c r="K123"/>
  <c r="K122" s="1"/>
  <c r="K121" s="1"/>
  <c r="K120" s="1"/>
  <c r="K111"/>
  <c r="K110" s="1"/>
  <c r="K109" s="1"/>
  <c r="K108" s="1"/>
  <c r="K107" s="1"/>
  <c r="K106" s="1"/>
  <c r="K104"/>
  <c r="K103" s="1"/>
  <c r="K101"/>
  <c r="K100" s="1"/>
  <c r="K95"/>
  <c r="K94"/>
  <c r="K89"/>
  <c r="K88" s="1"/>
  <c r="K87" s="1"/>
  <c r="K86" s="1"/>
  <c r="K85" s="1"/>
  <c r="K84" s="1"/>
  <c r="K83"/>
  <c r="K82" s="1"/>
  <c r="K81"/>
  <c r="K80" s="1"/>
  <c r="K74"/>
  <c r="K73" s="1"/>
  <c r="K72" s="1"/>
  <c r="K71" s="1"/>
  <c r="K70" s="1"/>
  <c r="K69" s="1"/>
  <c r="K68"/>
  <c r="K67" s="1"/>
  <c r="K66"/>
  <c r="K65" s="1"/>
  <c r="K60"/>
  <c r="K59" s="1"/>
  <c r="K58"/>
  <c r="K57" s="1"/>
  <c r="K51"/>
  <c r="K50" s="1"/>
  <c r="K49"/>
  <c r="K48" s="1"/>
  <c r="K43"/>
  <c r="K42" s="1"/>
  <c r="K41" s="1"/>
  <c r="K40" s="1"/>
  <c r="K39" s="1"/>
  <c r="K38" s="1"/>
  <c r="K36"/>
  <c r="K35" s="1"/>
  <c r="K34"/>
  <c r="K33" s="1"/>
  <c r="K24"/>
  <c r="K23" s="1"/>
  <c r="K22" s="1"/>
  <c r="K21" s="1"/>
  <c r="K20" s="1"/>
  <c r="K19" s="1"/>
  <c r="L1740" i="5"/>
  <c r="L1739" s="1"/>
  <c r="L1737"/>
  <c r="L1736" s="1"/>
  <c r="L1734"/>
  <c r="L1728"/>
  <c r="L1727" s="1"/>
  <c r="L1726" s="1"/>
  <c r="L1725" s="1"/>
  <c r="L1722"/>
  <c r="L1721" s="1"/>
  <c r="L1719"/>
  <c r="L1711"/>
  <c r="L1710" s="1"/>
  <c r="L1708"/>
  <c r="L1707" s="1"/>
  <c r="L1705"/>
  <c r="L1696"/>
  <c r="L1695" s="1"/>
  <c r="L1694" s="1"/>
  <c r="L1693" s="1"/>
  <c r="L1692" s="1"/>
  <c r="L1690"/>
  <c r="L1689" s="1"/>
  <c r="L1688" s="1"/>
  <c r="L1687" s="1"/>
  <c r="L1686" s="1"/>
  <c r="L1665"/>
  <c r="L1664" s="1"/>
  <c r="L1663" s="1"/>
  <c r="L1657"/>
  <c r="L1656" s="1"/>
  <c r="L1655" s="1"/>
  <c r="L1653"/>
  <c r="L1652" s="1"/>
  <c r="L1651" s="1"/>
  <c r="L1649"/>
  <c r="L1645"/>
  <c r="L1644" s="1"/>
  <c r="L1643" s="1"/>
  <c r="L1638"/>
  <c r="L1637" s="1"/>
  <c r="L1635"/>
  <c r="L1634" s="1"/>
  <c r="L1631"/>
  <c r="L1630" s="1"/>
  <c r="L1629" s="1"/>
  <c r="L1625"/>
  <c r="L1624" s="1"/>
  <c r="L1623" s="1"/>
  <c r="L1622" s="1"/>
  <c r="L1621" s="1"/>
  <c r="L1618"/>
  <c r="L1617" s="1"/>
  <c r="L1616" s="1"/>
  <c r="L1615" s="1"/>
  <c r="L1614" s="1"/>
  <c r="L1613" s="1"/>
  <c r="L1607"/>
  <c r="L1606" s="1"/>
  <c r="L1605" s="1"/>
  <c r="L1593"/>
  <c r="L1592" s="1"/>
  <c r="L1590"/>
  <c r="L1589" s="1"/>
  <c r="L1587"/>
  <c r="L1586" s="1"/>
  <c r="L1584"/>
  <c r="L1573"/>
  <c r="L1572" s="1"/>
  <c r="L1567"/>
  <c r="L1564"/>
  <c r="L1563" s="1"/>
  <c r="L1562" s="1"/>
  <c r="L1555"/>
  <c r="L1554" s="1"/>
  <c r="L1553" s="1"/>
  <c r="L1552" s="1"/>
  <c r="L1550"/>
  <c r="L1549" s="1"/>
  <c r="L1548" s="1"/>
  <c r="L1547" s="1"/>
  <c r="L1521"/>
  <c r="L1520" s="1"/>
  <c r="L1519" s="1"/>
  <c r="L1518" s="1"/>
  <c r="L1517" s="1"/>
  <c r="L1516" s="1"/>
  <c r="L1514"/>
  <c r="L1513" s="1"/>
  <c r="L1512" s="1"/>
  <c r="L1511" s="1"/>
  <c r="L1509"/>
  <c r="L1508" s="1"/>
  <c r="L1507" s="1"/>
  <c r="L1506" s="1"/>
  <c r="L1498"/>
  <c r="L1497" s="1"/>
  <c r="L1496" s="1"/>
  <c r="L1495" s="1"/>
  <c r="L1493"/>
  <c r="L1492" s="1"/>
  <c r="L1491" s="1"/>
  <c r="L1489"/>
  <c r="L1488" s="1"/>
  <c r="L1487" s="1"/>
  <c r="L1481"/>
  <c r="L1480" s="1"/>
  <c r="L1478"/>
  <c r="L1475"/>
  <c r="L1474" s="1"/>
  <c r="L1472"/>
  <c r="L1468"/>
  <c r="L1465" s="1"/>
  <c r="L1463"/>
  <c r="L1462" s="1"/>
  <c r="L1460"/>
  <c r="L1457"/>
  <c r="L1456" s="1"/>
  <c r="L1454"/>
  <c r="L1451"/>
  <c r="L1450" s="1"/>
  <c r="L1448"/>
  <c r="L1436"/>
  <c r="L1435" s="1"/>
  <c r="L1431" s="1"/>
  <c r="L1426"/>
  <c r="L1425" s="1"/>
  <c r="L1423"/>
  <c r="L1419"/>
  <c r="L1418" s="1"/>
  <c r="L1417" s="1"/>
  <c r="L1411"/>
  <c r="L1410" s="1"/>
  <c r="L1409" s="1"/>
  <c r="L1404"/>
  <c r="L1403" s="1"/>
  <c r="L1399" s="1"/>
  <c r="L1397"/>
  <c r="L1396" s="1"/>
  <c r="L1392" s="1"/>
  <c r="L1389"/>
  <c r="L1388" s="1"/>
  <c r="L1384" s="1"/>
  <c r="L1368"/>
  <c r="L1367" s="1"/>
  <c r="L1363" s="1"/>
  <c r="L1362" s="1"/>
  <c r="L1360"/>
  <c r="L1359" s="1"/>
  <c r="L1355" s="1"/>
  <c r="L1354" s="1"/>
  <c r="L1352"/>
  <c r="L1351" s="1"/>
  <c r="L1347" s="1"/>
  <c r="L1346" s="1"/>
  <c r="L1344"/>
  <c r="L1343" s="1"/>
  <c r="L1339" s="1"/>
  <c r="L1338" s="1"/>
  <c r="L1334"/>
  <c r="L1333" s="1"/>
  <c r="L1332" s="1"/>
  <c r="L1331" s="1"/>
  <c r="L1330" s="1"/>
  <c r="L1326"/>
  <c r="L1325" s="1"/>
  <c r="L1324" s="1"/>
  <c r="L1319" s="1"/>
  <c r="L1318" s="1"/>
  <c r="I55" i="1" s="1"/>
  <c r="L1315" i="5"/>
  <c r="L1314" s="1"/>
  <c r="L1313" s="1"/>
  <c r="L1311"/>
  <c r="L1310" s="1"/>
  <c r="L1309" s="1"/>
  <c r="L1305"/>
  <c r="L1304" s="1"/>
  <c r="L1301"/>
  <c r="L1300" s="1"/>
  <c r="L1299" s="1"/>
  <c r="L1286"/>
  <c r="L1285" s="1"/>
  <c r="L1283"/>
  <c r="L1277"/>
  <c r="L1276" s="1"/>
  <c r="L1275" s="1"/>
  <c r="L1274" s="1"/>
  <c r="L1271"/>
  <c r="L1270" s="1"/>
  <c r="L1269" s="1"/>
  <c r="L1268" s="1"/>
  <c r="L1266"/>
  <c r="L1265" s="1"/>
  <c r="L1264" s="1"/>
  <c r="L1263" s="1"/>
  <c r="L1254"/>
  <c r="L1253" s="1"/>
  <c r="L1252" s="1"/>
  <c r="L1250"/>
  <c r="L1248"/>
  <c r="L1245"/>
  <c r="L1244" s="1"/>
  <c r="L1241"/>
  <c r="L1239"/>
  <c r="L1235"/>
  <c r="L1234" s="1"/>
  <c r="L1233" s="1"/>
  <c r="L1228"/>
  <c r="L1226"/>
  <c r="L1222"/>
  <c r="L1220"/>
  <c r="L1215"/>
  <c r="L1213"/>
  <c r="L1207"/>
  <c r="L1206" s="1"/>
  <c r="L1205" s="1"/>
  <c r="L1204" s="1"/>
  <c r="L1202"/>
  <c r="L1200"/>
  <c r="L1192"/>
  <c r="L1191" s="1"/>
  <c r="L1190" s="1"/>
  <c r="L1188"/>
  <c r="L1187" s="1"/>
  <c r="L1185"/>
  <c r="L1184" s="1"/>
  <c r="L1182"/>
  <c r="L1171"/>
  <c r="L1169"/>
  <c r="L1153"/>
  <c r="L1151"/>
  <c r="L1147"/>
  <c r="L1146" s="1"/>
  <c r="L1145" s="1"/>
  <c r="L1141"/>
  <c r="L1140" s="1"/>
  <c r="L1139" s="1"/>
  <c r="L1137"/>
  <c r="L1136" s="1"/>
  <c r="L1135" s="1"/>
  <c r="L1133"/>
  <c r="L1132" s="1"/>
  <c r="L1129"/>
  <c r="L1128" s="1"/>
  <c r="L1127" s="1"/>
  <c r="L1124"/>
  <c r="L1123" s="1"/>
  <c r="L1122" s="1"/>
  <c r="L1121" s="1"/>
  <c r="L1119"/>
  <c r="L1118" s="1"/>
  <c r="L1117" s="1"/>
  <c r="L1115"/>
  <c r="L1114" s="1"/>
  <c r="L1113" s="1"/>
  <c r="L1111"/>
  <c r="L1110" s="1"/>
  <c r="L1109" s="1"/>
  <c r="L1106"/>
  <c r="L1104"/>
  <c r="L1100"/>
  <c r="L1099" s="1"/>
  <c r="L1098" s="1"/>
  <c r="L1095"/>
  <c r="L1094" s="1"/>
  <c r="L1093" s="1"/>
  <c r="L1091"/>
  <c r="L1090" s="1"/>
  <c r="L1089" s="1"/>
  <c r="L1086"/>
  <c r="L1085" s="1"/>
  <c r="L1084" s="1"/>
  <c r="L1082"/>
  <c r="L1081" s="1"/>
  <c r="L1080" s="1"/>
  <c r="L1073"/>
  <c r="L1072" s="1"/>
  <c r="L1071" s="1"/>
  <c r="L1069"/>
  <c r="L1068" s="1"/>
  <c r="L1067" s="1"/>
  <c r="L1064"/>
  <c r="L1063" s="1"/>
  <c r="L1062" s="1"/>
  <c r="L1061" s="1"/>
  <c r="L1057"/>
  <c r="L1056" s="1"/>
  <c r="L1055" s="1"/>
  <c r="L1054" s="1"/>
  <c r="L1053" s="1"/>
  <c r="L1051"/>
  <c r="L1050" s="1"/>
  <c r="L1049" s="1"/>
  <c r="L1048" s="1"/>
  <c r="L1046"/>
  <c r="L1045" s="1"/>
  <c r="L1044" s="1"/>
  <c r="L1043" s="1"/>
  <c r="L1037"/>
  <c r="L1035"/>
  <c r="L1026"/>
  <c r="L1025" s="1"/>
  <c r="L1024" s="1"/>
  <c r="L1022"/>
  <c r="L1021" s="1"/>
  <c r="L1020" s="1"/>
  <c r="L1013"/>
  <c r="L1012" s="1"/>
  <c r="L1011" s="1"/>
  <c r="L1009"/>
  <c r="L1008" s="1"/>
  <c r="L1007" s="1"/>
  <c r="L1005"/>
  <c r="L1001"/>
  <c r="L1000" s="1"/>
  <c r="L992"/>
  <c r="L991" s="1"/>
  <c r="L990" s="1"/>
  <c r="L988"/>
  <c r="L987" s="1"/>
  <c r="L986" s="1"/>
  <c r="L984"/>
  <c r="L983" s="1"/>
  <c r="L982" s="1"/>
  <c r="L975"/>
  <c r="L964"/>
  <c r="L963" s="1"/>
  <c r="L962" s="1"/>
  <c r="L960"/>
  <c r="L959" s="1"/>
  <c r="L958" s="1"/>
  <c r="L945"/>
  <c r="L944" s="1"/>
  <c r="L943" s="1"/>
  <c r="L942" s="1"/>
  <c r="L941" s="1"/>
  <c r="L938"/>
  <c r="L937" s="1"/>
  <c r="L936" s="1"/>
  <c r="L935" s="1"/>
  <c r="L934" s="1"/>
  <c r="L928"/>
  <c r="L927" s="1"/>
  <c r="L926" s="1"/>
  <c r="L921" s="1"/>
  <c r="L920" s="1"/>
  <c r="L919" s="1"/>
  <c r="L916"/>
  <c r="L915" s="1"/>
  <c r="L913"/>
  <c r="L906"/>
  <c r="L905" s="1"/>
  <c r="L904" s="1"/>
  <c r="L903" s="1"/>
  <c r="L902" s="1"/>
  <c r="L901" s="1"/>
  <c r="L898"/>
  <c r="L897" s="1"/>
  <c r="L896" s="1"/>
  <c r="L895" s="1"/>
  <c r="L894" s="1"/>
  <c r="L893" s="1"/>
  <c r="L892" s="1"/>
  <c r="L890"/>
  <c r="L889" s="1"/>
  <c r="L888" s="1"/>
  <c r="L887" s="1"/>
  <c r="L886" s="1"/>
  <c r="L885" s="1"/>
  <c r="L884" s="1"/>
  <c r="L882"/>
  <c r="L881" s="1"/>
  <c r="L880" s="1"/>
  <c r="L879" s="1"/>
  <c r="L878" s="1"/>
  <c r="L877" s="1"/>
  <c r="I25" i="1" s="1"/>
  <c r="L875" i="5"/>
  <c r="L874" s="1"/>
  <c r="L872"/>
  <c r="L871" s="1"/>
  <c r="L869"/>
  <c r="L868" s="1"/>
  <c r="L866"/>
  <c r="L857"/>
  <c r="L856" s="1"/>
  <c r="L852" s="1"/>
  <c r="L851" s="1"/>
  <c r="L849"/>
  <c r="L848" s="1"/>
  <c r="L847" s="1"/>
  <c r="L846" s="1"/>
  <c r="L845" s="1"/>
  <c r="L843"/>
  <c r="L842" s="1"/>
  <c r="L841" s="1"/>
  <c r="L840" s="1"/>
  <c r="L835"/>
  <c r="L834" s="1"/>
  <c r="L833" s="1"/>
  <c r="L832" s="1"/>
  <c r="L830"/>
  <c r="L829" s="1"/>
  <c r="L828" s="1"/>
  <c r="L827" s="1"/>
  <c r="L826" s="1"/>
  <c r="L824"/>
  <c r="L823" s="1"/>
  <c r="L822" s="1"/>
  <c r="L821" s="1"/>
  <c r="L816"/>
  <c r="L815" s="1"/>
  <c r="L813"/>
  <c r="L810"/>
  <c r="L809" s="1"/>
  <c r="L808" s="1"/>
  <c r="L806"/>
  <c r="L803"/>
  <c r="L802" s="1"/>
  <c r="L801" s="1"/>
  <c r="L797"/>
  <c r="L796" s="1"/>
  <c r="L795" s="1"/>
  <c r="L794" s="1"/>
  <c r="L793" s="1"/>
  <c r="L791"/>
  <c r="L790" s="1"/>
  <c r="L787"/>
  <c r="L786" s="1"/>
  <c r="L784"/>
  <c r="L783" s="1"/>
  <c r="L774"/>
  <c r="L772"/>
  <c r="L769"/>
  <c r="L768" s="1"/>
  <c r="L764"/>
  <c r="L763" s="1"/>
  <c r="L762" s="1"/>
  <c r="L760"/>
  <c r="L759" s="1"/>
  <c r="L758" s="1"/>
  <c r="L755"/>
  <c r="L753"/>
  <c r="L750"/>
  <c r="L749" s="1"/>
  <c r="L746"/>
  <c r="L744"/>
  <c r="K191" i="6" s="1"/>
  <c r="L740" i="5"/>
  <c r="L739" s="1"/>
  <c r="L738" s="1"/>
  <c r="L737" s="1"/>
  <c r="L735"/>
  <c r="L733"/>
  <c r="L728"/>
  <c r="L726"/>
  <c r="L722"/>
  <c r="L721" s="1"/>
  <c r="L720" s="1"/>
  <c r="L715"/>
  <c r="L714" s="1"/>
  <c r="L713" s="1"/>
  <c r="L711"/>
  <c r="L710" s="1"/>
  <c r="L709" s="1"/>
  <c r="L705"/>
  <c r="L704" s="1"/>
  <c r="L703" s="1"/>
  <c r="L702" s="1"/>
  <c r="L700"/>
  <c r="L699" s="1"/>
  <c r="L698" s="1"/>
  <c r="L697" s="1"/>
  <c r="L692" s="1"/>
  <c r="L683"/>
  <c r="L682" s="1"/>
  <c r="L680"/>
  <c r="L679" s="1"/>
  <c r="L675"/>
  <c r="L674" s="1"/>
  <c r="L673" s="1"/>
  <c r="L672" s="1"/>
  <c r="L670"/>
  <c r="L669" s="1"/>
  <c r="L668" s="1"/>
  <c r="L667" s="1"/>
  <c r="L664"/>
  <c r="L663" s="1"/>
  <c r="L662" s="1"/>
  <c r="L660"/>
  <c r="L659" s="1"/>
  <c r="L658" s="1"/>
  <c r="L653"/>
  <c r="L652" s="1"/>
  <c r="L651" s="1"/>
  <c r="L648"/>
  <c r="L645"/>
  <c r="L640"/>
  <c r="L639" s="1"/>
  <c r="L637"/>
  <c r="L636" s="1"/>
  <c r="L635" s="1"/>
  <c r="L633"/>
  <c r="L631"/>
  <c r="L624"/>
  <c r="L622"/>
  <c r="L616"/>
  <c r="L615" s="1"/>
  <c r="L614" s="1"/>
  <c r="L613" s="1"/>
  <c r="L611"/>
  <c r="L610" s="1"/>
  <c r="L609" s="1"/>
  <c r="L608" s="1"/>
  <c r="L599"/>
  <c r="L597"/>
  <c r="L593"/>
  <c r="L591"/>
  <c r="L569"/>
  <c r="L568" s="1"/>
  <c r="L566"/>
  <c r="L565" s="1"/>
  <c r="L563"/>
  <c r="L557"/>
  <c r="L556" s="1"/>
  <c r="L555" s="1"/>
  <c r="L545"/>
  <c r="L544" s="1"/>
  <c r="L543" s="1"/>
  <c r="L542" s="1"/>
  <c r="L541" s="1"/>
  <c r="L540" s="1"/>
  <c r="L538"/>
  <c r="L537" s="1"/>
  <c r="L536" s="1"/>
  <c r="L535" s="1"/>
  <c r="L534" s="1"/>
  <c r="L533" s="1"/>
  <c r="L530"/>
  <c r="L529" s="1"/>
  <c r="L528" s="1"/>
  <c r="L527" s="1"/>
  <c r="L524"/>
  <c r="L523" s="1"/>
  <c r="L521"/>
  <c r="L520" s="1"/>
  <c r="L518"/>
  <c r="L511"/>
  <c r="L510" s="1"/>
  <c r="L509" s="1"/>
  <c r="L508" s="1"/>
  <c r="L506"/>
  <c r="L493"/>
  <c r="L492" s="1"/>
  <c r="L491" s="1"/>
  <c r="L489"/>
  <c r="L488" s="1"/>
  <c r="L487" s="1"/>
  <c r="L483"/>
  <c r="L482" s="1"/>
  <c r="L481" s="1"/>
  <c r="L480" s="1"/>
  <c r="L479" s="1"/>
  <c r="L475"/>
  <c r="L474" s="1"/>
  <c r="L473" s="1"/>
  <c r="L472" s="1"/>
  <c r="L471" s="1"/>
  <c r="L468"/>
  <c r="L465"/>
  <c r="L464" s="1"/>
  <c r="L463" s="1"/>
  <c r="L462" s="1"/>
  <c r="L459"/>
  <c r="L458" s="1"/>
  <c r="L457" s="1"/>
  <c r="L456" s="1"/>
  <c r="L454"/>
  <c r="L453" s="1"/>
  <c r="L452" s="1"/>
  <c r="L450"/>
  <c r="L449" s="1"/>
  <c r="L446"/>
  <c r="L445" s="1"/>
  <c r="L443"/>
  <c r="L428"/>
  <c r="L427" s="1"/>
  <c r="L426" s="1"/>
  <c r="L425" s="1"/>
  <c r="L424" s="1"/>
  <c r="L421"/>
  <c r="L420" s="1"/>
  <c r="L419" s="1"/>
  <c r="L418" s="1"/>
  <c r="L417" s="1"/>
  <c r="L416" s="1"/>
  <c r="L415" s="1"/>
  <c r="L412"/>
  <c r="L411" s="1"/>
  <c r="L409"/>
  <c r="L408" s="1"/>
  <c r="L405"/>
  <c r="L404" s="1"/>
  <c r="L402"/>
  <c r="L401" s="1"/>
  <c r="L399"/>
  <c r="L390"/>
  <c r="L389" s="1"/>
  <c r="L388" s="1"/>
  <c r="L385"/>
  <c r="L384" s="1"/>
  <c r="L382"/>
  <c r="L381" s="1"/>
  <c r="L379"/>
  <c r="L375"/>
  <c r="L374" s="1"/>
  <c r="L373" s="1"/>
  <c r="L372" s="1"/>
  <c r="L371" s="1"/>
  <c r="L367"/>
  <c r="L366" s="1"/>
  <c r="L365" s="1"/>
  <c r="L364" s="1"/>
  <c r="L362"/>
  <c r="L361" s="1"/>
  <c r="L360" s="1"/>
  <c r="L359" s="1"/>
  <c r="L349"/>
  <c r="L348" s="1"/>
  <c r="L347" s="1"/>
  <c r="L346" s="1"/>
  <c r="L344"/>
  <c r="L343" s="1"/>
  <c r="L342" s="1"/>
  <c r="L338"/>
  <c r="L337" s="1"/>
  <c r="L336" s="1"/>
  <c r="L335" s="1"/>
  <c r="L334" s="1"/>
  <c r="I54" i="1" s="1"/>
  <c r="L331" i="5"/>
  <c r="L330" s="1"/>
  <c r="L329" s="1"/>
  <c r="L328" s="1"/>
  <c r="L327" s="1"/>
  <c r="L321"/>
  <c r="L320" s="1"/>
  <c r="L319" s="1"/>
  <c r="L317"/>
  <c r="L316" s="1"/>
  <c r="L315" s="1"/>
  <c r="L312"/>
  <c r="L311" s="1"/>
  <c r="L310" s="1"/>
  <c r="L308"/>
  <c r="L307" s="1"/>
  <c r="L306" s="1"/>
  <c r="L301"/>
  <c r="L300" s="1"/>
  <c r="L299" s="1"/>
  <c r="L298" s="1"/>
  <c r="L296"/>
  <c r="L295" s="1"/>
  <c r="L293"/>
  <c r="L292" s="1"/>
  <c r="L290"/>
  <c r="L289" s="1"/>
  <c r="L283"/>
  <c r="L282" s="1"/>
  <c r="L280"/>
  <c r="L279" s="1"/>
  <c r="L275"/>
  <c r="L274" s="1"/>
  <c r="L273" s="1"/>
  <c r="L271"/>
  <c r="L270" s="1"/>
  <c r="L269" s="1"/>
  <c r="L265"/>
  <c r="L264" s="1"/>
  <c r="L263" s="1"/>
  <c r="L262" s="1"/>
  <c r="L260"/>
  <c r="L259" s="1"/>
  <c r="L258" s="1"/>
  <c r="L257" s="1"/>
  <c r="L253"/>
  <c r="L252" s="1"/>
  <c r="L251" s="1"/>
  <c r="L249"/>
  <c r="L248" s="1"/>
  <c r="L247" s="1"/>
  <c r="L238"/>
  <c r="L237" s="1"/>
  <c r="L236" s="1"/>
  <c r="L235" s="1"/>
  <c r="L234" s="1"/>
  <c r="I30" i="1" s="1"/>
  <c r="L231" i="5"/>
  <c r="L230" s="1"/>
  <c r="L228"/>
  <c r="L227" s="1"/>
  <c r="L225"/>
  <c r="L219"/>
  <c r="L218" s="1"/>
  <c r="L216"/>
  <c r="L215" s="1"/>
  <c r="L213"/>
  <c r="L212" s="1"/>
  <c r="L210"/>
  <c r="L207"/>
  <c r="L206" s="1"/>
  <c r="L204"/>
  <c r="L203" s="1"/>
  <c r="L202" s="1"/>
  <c r="L200"/>
  <c r="L199" s="1"/>
  <c r="L197"/>
  <c r="L196" s="1"/>
  <c r="L194"/>
  <c r="L190"/>
  <c r="L189" s="1"/>
  <c r="L188" s="1"/>
  <c r="L187" s="1"/>
  <c r="L184"/>
  <c r="L183" s="1"/>
  <c r="L182" s="1"/>
  <c r="L180"/>
  <c r="L179" s="1"/>
  <c r="L178" s="1"/>
  <c r="L169"/>
  <c r="L168" s="1"/>
  <c r="L167" s="1"/>
  <c r="L166" s="1"/>
  <c r="L165" s="1"/>
  <c r="L164" s="1"/>
  <c r="L162"/>
  <c r="L161" s="1"/>
  <c r="L160" s="1"/>
  <c r="L159" s="1"/>
  <c r="L158" s="1"/>
  <c r="L156"/>
  <c r="L155" s="1"/>
  <c r="L154" s="1"/>
  <c r="L152"/>
  <c r="L151" s="1"/>
  <c r="L150" s="1"/>
  <c r="L148"/>
  <c r="L147" s="1"/>
  <c r="L146" s="1"/>
  <c r="L144"/>
  <c r="L143" s="1"/>
  <c r="L142" s="1"/>
  <c r="L134"/>
  <c r="L133" s="1"/>
  <c r="L132" s="1"/>
  <c r="L131" s="1"/>
  <c r="L129"/>
  <c r="L128" s="1"/>
  <c r="L127" s="1"/>
  <c r="L126" s="1"/>
  <c r="L123"/>
  <c r="L122" s="1"/>
  <c r="L120"/>
  <c r="L119" s="1"/>
  <c r="L117"/>
  <c r="L112"/>
  <c r="L111" s="1"/>
  <c r="L110" s="1"/>
  <c r="L109" s="1"/>
  <c r="L107"/>
  <c r="L106" s="1"/>
  <c r="L105" s="1"/>
  <c r="L103"/>
  <c r="L101"/>
  <c r="L98"/>
  <c r="L97" s="1"/>
  <c r="L93"/>
  <c r="L92" s="1"/>
  <c r="L91" s="1"/>
  <c r="L90" s="1"/>
  <c r="L88"/>
  <c r="L87" s="1"/>
  <c r="L85"/>
  <c r="L81"/>
  <c r="L80" s="1"/>
  <c r="L78"/>
  <c r="L77" s="1"/>
  <c r="L75"/>
  <c r="L63"/>
  <c r="L62" s="1"/>
  <c r="L54"/>
  <c r="L53" s="1"/>
  <c r="L52" s="1"/>
  <c r="L49"/>
  <c r="L47"/>
  <c r="L46" s="1"/>
  <c r="L44"/>
  <c r="L41"/>
  <c r="L40" s="1"/>
  <c r="L38"/>
  <c r="L37" s="1"/>
  <c r="L35"/>
  <c r="L28"/>
  <c r="L27" s="1"/>
  <c r="L26" s="1"/>
  <c r="L25" s="1"/>
  <c r="L24" s="1"/>
  <c r="L23" s="1"/>
  <c r="I20" i="1" s="1"/>
  <c r="K102" i="5"/>
  <c r="M102" s="1"/>
  <c r="O102" s="1"/>
  <c r="Q102" s="1"/>
  <c r="S102" s="1"/>
  <c r="U102" s="1"/>
  <c r="J754"/>
  <c r="J751"/>
  <c r="I1688" i="6"/>
  <c r="J1688" s="1"/>
  <c r="A1688"/>
  <c r="A1111"/>
  <c r="A1541" i="5"/>
  <c r="A1687" i="6"/>
  <c r="A1545" i="5"/>
  <c r="A1110" i="6"/>
  <c r="A1112"/>
  <c r="A1544" i="5"/>
  <c r="A1686" i="6"/>
  <c r="A1542" i="5"/>
  <c r="A1543"/>
  <c r="A1540"/>
  <c r="L504" l="1"/>
  <c r="L503" s="1"/>
  <c r="L1570"/>
  <c r="L1688" i="6"/>
  <c r="N1688" s="1"/>
  <c r="P1688" s="1"/>
  <c r="R1688" s="1"/>
  <c r="T1688" s="1"/>
  <c r="L553" i="5"/>
  <c r="L552" s="1"/>
  <c r="L551" s="1"/>
  <c r="L550" s="1"/>
  <c r="M759" i="6"/>
  <c r="L771" i="5"/>
  <c r="L767" s="1"/>
  <c r="L1307"/>
  <c r="L1303" s="1"/>
  <c r="L1298" s="1"/>
  <c r="M1364" i="6"/>
  <c r="K48" i="1"/>
  <c r="K35"/>
  <c r="K34"/>
  <c r="K29" s="1"/>
  <c r="N1504" i="5"/>
  <c r="N1288"/>
  <c r="N414"/>
  <c r="K45" i="1"/>
  <c r="M1013" i="6"/>
  <c r="N908" i="5"/>
  <c r="N859"/>
  <c r="N547"/>
  <c r="K26" i="1"/>
  <c r="K42"/>
  <c r="K40" s="1"/>
  <c r="M1328" i="6"/>
  <c r="N1699" i="5"/>
  <c r="K22" i="1"/>
  <c r="N585" i="5"/>
  <c r="N572" s="1"/>
  <c r="K44" i="1"/>
  <c r="K24"/>
  <c r="N1714" i="5"/>
  <c r="M235" i="6"/>
  <c r="M1464"/>
  <c r="M149"/>
  <c r="L1247" i="5"/>
  <c r="L1243" s="1"/>
  <c r="L1219"/>
  <c r="L1218" s="1"/>
  <c r="K239" i="6"/>
  <c r="K238" s="1"/>
  <c r="K237" s="1"/>
  <c r="K236" s="1"/>
  <c r="L596" i="5"/>
  <c r="L595" s="1"/>
  <c r="L1543"/>
  <c r="L1542" s="1"/>
  <c r="M1542" s="1"/>
  <c r="O1542" s="1"/>
  <c r="Q1542" s="1"/>
  <c r="S1542" s="1"/>
  <c r="U1542" s="1"/>
  <c r="L590"/>
  <c r="L589" s="1"/>
  <c r="L461"/>
  <c r="L1604"/>
  <c r="L1603" s="1"/>
  <c r="L1602" s="1"/>
  <c r="L268"/>
  <c r="L267" s="1"/>
  <c r="L486"/>
  <c r="L485" s="1"/>
  <c r="L478" s="1"/>
  <c r="L278"/>
  <c r="L666"/>
  <c r="L757"/>
  <c r="L912"/>
  <c r="L911" s="1"/>
  <c r="L910" s="1"/>
  <c r="L909" s="1"/>
  <c r="L1150"/>
  <c r="L1149" s="1"/>
  <c r="L1225"/>
  <c r="L1224" s="1"/>
  <c r="L532"/>
  <c r="I52" i="1"/>
  <c r="I51" s="1"/>
  <c r="L526" i="5"/>
  <c r="L900"/>
  <c r="I66" i="1"/>
  <c r="I65" s="1"/>
  <c r="L1569" i="5"/>
  <c r="L1566" s="1"/>
  <c r="L630"/>
  <c r="L629" s="1"/>
  <c r="L1079"/>
  <c r="L1131"/>
  <c r="L1126" s="1"/>
  <c r="L1238"/>
  <c r="L1237" s="1"/>
  <c r="L1718"/>
  <c r="L1717" s="1"/>
  <c r="L1716" s="1"/>
  <c r="L1715" s="1"/>
  <c r="I41" i="1" s="1"/>
  <c r="L314" i="5"/>
  <c r="K1111" i="6"/>
  <c r="K1110" s="1"/>
  <c r="K1109" s="1"/>
  <c r="K1104" s="1"/>
  <c r="K528"/>
  <c r="K527" s="1"/>
  <c r="K521" s="1"/>
  <c r="K520" s="1"/>
  <c r="K519" s="1"/>
  <c r="K1455"/>
  <c r="K1454" s="1"/>
  <c r="K1448" s="1"/>
  <c r="K1447" s="1"/>
  <c r="K1446" s="1"/>
  <c r="L1648" i="5"/>
  <c r="K738" i="6"/>
  <c r="K737" s="1"/>
  <c r="K736" s="1"/>
  <c r="K735" s="1"/>
  <c r="K734" s="1"/>
  <c r="K727" s="1"/>
  <c r="K853"/>
  <c r="K852" s="1"/>
  <c r="K848" s="1"/>
  <c r="K847" s="1"/>
  <c r="K846" s="1"/>
  <c r="K1029"/>
  <c r="K1028" s="1"/>
  <c r="K1025" s="1"/>
  <c r="K1024" s="1"/>
  <c r="K1023" s="1"/>
  <c r="K1270"/>
  <c r="K1266" s="1"/>
  <c r="K1265" s="1"/>
  <c r="K1259" s="1"/>
  <c r="K1361"/>
  <c r="K1360" s="1"/>
  <c r="K1351" s="1"/>
  <c r="K1350" s="1"/>
  <c r="K1349" s="1"/>
  <c r="K1381"/>
  <c r="K1380" s="1"/>
  <c r="K1374" s="1"/>
  <c r="K1373" s="1"/>
  <c r="K1372" s="1"/>
  <c r="K1365" s="1"/>
  <c r="K1529"/>
  <c r="K1528" s="1"/>
  <c r="K1522" s="1"/>
  <c r="K1729"/>
  <c r="K1726" s="1"/>
  <c r="K1720" s="1"/>
  <c r="K1719" s="1"/>
  <c r="K1718" s="1"/>
  <c r="K1712"/>
  <c r="K1711" s="1"/>
  <c r="K1710" s="1"/>
  <c r="K1551"/>
  <c r="K1550" s="1"/>
  <c r="K1702"/>
  <c r="K201"/>
  <c r="K197" s="1"/>
  <c r="K196" s="1"/>
  <c r="K195" s="1"/>
  <c r="K409"/>
  <c r="K510"/>
  <c r="K509" s="1"/>
  <c r="K508" s="1"/>
  <c r="K920"/>
  <c r="K919" s="1"/>
  <c r="K918" s="1"/>
  <c r="K925"/>
  <c r="K924" s="1"/>
  <c r="K923" s="1"/>
  <c r="K1058"/>
  <c r="K1742"/>
  <c r="K1741" s="1"/>
  <c r="K1740" s="1"/>
  <c r="K93"/>
  <c r="K92" s="1"/>
  <c r="K91" s="1"/>
  <c r="K90" s="1"/>
  <c r="K223"/>
  <c r="K222" s="1"/>
  <c r="K221" s="1"/>
  <c r="K220" s="1"/>
  <c r="K654"/>
  <c r="K650" s="1"/>
  <c r="K649" s="1"/>
  <c r="K643" s="1"/>
  <c r="K716"/>
  <c r="K1017"/>
  <c r="K1016" s="1"/>
  <c r="K1015" s="1"/>
  <c r="K1236"/>
  <c r="K1235" s="1"/>
  <c r="K1229" s="1"/>
  <c r="K1228" s="1"/>
  <c r="K1227" s="1"/>
  <c r="K1407"/>
  <c r="K1406" s="1"/>
  <c r="K1405" s="1"/>
  <c r="K1404" s="1"/>
  <c r="K864"/>
  <c r="K863" s="1"/>
  <c r="K862" s="1"/>
  <c r="L974" i="5"/>
  <c r="L970" s="1"/>
  <c r="L969" s="1"/>
  <c r="L1004"/>
  <c r="L999"/>
  <c r="K258" i="6"/>
  <c r="K56"/>
  <c r="K55" s="1"/>
  <c r="K54" s="1"/>
  <c r="K53" s="1"/>
  <c r="K64"/>
  <c r="K63" s="1"/>
  <c r="K62" s="1"/>
  <c r="K61" s="1"/>
  <c r="K190"/>
  <c r="K189" s="1"/>
  <c r="K188" s="1"/>
  <c r="K187" s="1"/>
  <c r="K209"/>
  <c r="K208" s="1"/>
  <c r="K533"/>
  <c r="K532" s="1"/>
  <c r="K531" s="1"/>
  <c r="K546"/>
  <c r="K539" s="1"/>
  <c r="K591"/>
  <c r="K607"/>
  <c r="K633"/>
  <c r="K629" s="1"/>
  <c r="K628" s="1"/>
  <c r="K627" s="1"/>
  <c r="K689"/>
  <c r="K744"/>
  <c r="K743" s="1"/>
  <c r="K742" s="1"/>
  <c r="K741" s="1"/>
  <c r="K1288"/>
  <c r="K1287" s="1"/>
  <c r="K1286" s="1"/>
  <c r="K32"/>
  <c r="K31" s="1"/>
  <c r="K26" s="1"/>
  <c r="K25" s="1"/>
  <c r="K99"/>
  <c r="K98" s="1"/>
  <c r="K97" s="1"/>
  <c r="K96" s="1"/>
  <c r="K125"/>
  <c r="K124" s="1"/>
  <c r="K113" s="1"/>
  <c r="K112" s="1"/>
  <c r="K152"/>
  <c r="K151" s="1"/>
  <c r="K150" s="1"/>
  <c r="K495"/>
  <c r="K491" s="1"/>
  <c r="K490" s="1"/>
  <c r="K489" s="1"/>
  <c r="K1680"/>
  <c r="K1679" s="1"/>
  <c r="K1678" s="1"/>
  <c r="K1693"/>
  <c r="K1734"/>
  <c r="K1733" s="1"/>
  <c r="K1732" s="1"/>
  <c r="K1000"/>
  <c r="K1541"/>
  <c r="K898"/>
  <c r="K897" s="1"/>
  <c r="K896" s="1"/>
  <c r="K912"/>
  <c r="K908" s="1"/>
  <c r="K907" s="1"/>
  <c r="K954"/>
  <c r="K947" s="1"/>
  <c r="K1213"/>
  <c r="K1197" s="1"/>
  <c r="K1295"/>
  <c r="K1294" s="1"/>
  <c r="K1293" s="1"/>
  <c r="K1321"/>
  <c r="K1320" s="1"/>
  <c r="K1319" s="1"/>
  <c r="K1318" s="1"/>
  <c r="K1572"/>
  <c r="K1571" s="1"/>
  <c r="K1599"/>
  <c r="K1598" s="1"/>
  <c r="K1767"/>
  <c r="K1766" s="1"/>
  <c r="K1758" s="1"/>
  <c r="K1775"/>
  <c r="K1774" s="1"/>
  <c r="K1773" s="1"/>
  <c r="K47"/>
  <c r="K46" s="1"/>
  <c r="K45" s="1"/>
  <c r="K44" s="1"/>
  <c r="K79"/>
  <c r="K78" s="1"/>
  <c r="K77" s="1"/>
  <c r="K76" s="1"/>
  <c r="K130"/>
  <c r="K161"/>
  <c r="K398"/>
  <c r="K397" s="1"/>
  <c r="K396" s="1"/>
  <c r="K395" s="1"/>
  <c r="K470"/>
  <c r="K469" s="1"/>
  <c r="K468" s="1"/>
  <c r="K467" s="1"/>
  <c r="K575"/>
  <c r="K675"/>
  <c r="K669" s="1"/>
  <c r="K1035"/>
  <c r="K1423"/>
  <c r="K1479"/>
  <c r="K1478" s="1"/>
  <c r="K1472" s="1"/>
  <c r="K1465" s="1"/>
  <c r="K1464" s="1"/>
  <c r="K1589"/>
  <c r="K1588" s="1"/>
  <c r="K1666"/>
  <c r="K1665" s="1"/>
  <c r="K1664" s="1"/>
  <c r="K301"/>
  <c r="K1562"/>
  <c r="K1561" s="1"/>
  <c r="K351"/>
  <c r="K344" s="1"/>
  <c r="K390"/>
  <c r="K389" s="1"/>
  <c r="K388" s="1"/>
  <c r="K387" s="1"/>
  <c r="K478"/>
  <c r="K477" s="1"/>
  <c r="K476" s="1"/>
  <c r="K475" s="1"/>
  <c r="K700"/>
  <c r="K928"/>
  <c r="K1384"/>
  <c r="K503"/>
  <c r="K502" s="1"/>
  <c r="K501" s="1"/>
  <c r="K1078"/>
  <c r="K1077" s="1"/>
  <c r="K1532"/>
  <c r="K1582"/>
  <c r="K1581" s="1"/>
  <c r="K1606"/>
  <c r="K1605" s="1"/>
  <c r="L621" i="5"/>
  <c r="L620" s="1"/>
  <c r="L619" s="1"/>
  <c r="L618" s="1"/>
  <c r="L1486"/>
  <c r="L1485" s="1"/>
  <c r="L1484" s="1"/>
  <c r="L141"/>
  <c r="L177"/>
  <c r="L1685"/>
  <c r="L1684" s="1"/>
  <c r="L193"/>
  <c r="K1337" i="6" s="1"/>
  <c r="K1336" s="1"/>
  <c r="K1335" s="1"/>
  <c r="K1329" s="1"/>
  <c r="L678" i="5"/>
  <c r="L677" s="1"/>
  <c r="L34"/>
  <c r="L33" s="1"/>
  <c r="L341"/>
  <c r="L340" s="1"/>
  <c r="L333" s="1"/>
  <c r="L732"/>
  <c r="L731" s="1"/>
  <c r="L730" s="1"/>
  <c r="L743"/>
  <c r="L742" s="1"/>
  <c r="L752"/>
  <c r="L748" s="1"/>
  <c r="L1034"/>
  <c r="L1103"/>
  <c r="L1102" s="1"/>
  <c r="L1212"/>
  <c r="L1211" s="1"/>
  <c r="L1210" s="1"/>
  <c r="L1477"/>
  <c r="L562"/>
  <c r="L561" s="1"/>
  <c r="L560" s="1"/>
  <c r="L559" s="1"/>
  <c r="L812"/>
  <c r="L800" s="1"/>
  <c r="L799" s="1"/>
  <c r="L981"/>
  <c r="L1019"/>
  <c r="L1066"/>
  <c r="L1097"/>
  <c r="L288"/>
  <c r="L607"/>
  <c r="L644"/>
  <c r="L643" s="1"/>
  <c r="L725"/>
  <c r="L724" s="1"/>
  <c r="L820"/>
  <c r="L819" s="1"/>
  <c r="L865"/>
  <c r="L864" s="1"/>
  <c r="L863" s="1"/>
  <c r="L862" s="1"/>
  <c r="L861" s="1"/>
  <c r="L957"/>
  <c r="L956" s="1"/>
  <c r="L940" s="1"/>
  <c r="L918" s="1"/>
  <c r="L1108"/>
  <c r="L1168"/>
  <c r="L1167" s="1"/>
  <c r="L1199"/>
  <c r="L1282"/>
  <c r="L1281" s="1"/>
  <c r="L1280" s="1"/>
  <c r="L1279" s="1"/>
  <c r="L1273" s="1"/>
  <c r="L1337"/>
  <c r="L1329" s="1"/>
  <c r="L1453"/>
  <c r="L1471"/>
  <c r="L1583"/>
  <c r="L1582" s="1"/>
  <c r="L1581" s="1"/>
  <c r="L1580" s="1"/>
  <c r="L1633"/>
  <c r="L1628" s="1"/>
  <c r="L1627" s="1"/>
  <c r="L1733"/>
  <c r="L1732" s="1"/>
  <c r="L1731" s="1"/>
  <c r="L1730" s="1"/>
  <c r="L1724" s="1"/>
  <c r="L84"/>
  <c r="L516"/>
  <c r="L515" s="1"/>
  <c r="L514" s="1"/>
  <c r="L513" s="1"/>
  <c r="I39" i="1" s="1"/>
  <c r="L782" i="5"/>
  <c r="L781" s="1"/>
  <c r="L780" s="1"/>
  <c r="L1459"/>
  <c r="L442"/>
  <c r="L398"/>
  <c r="L397" s="1"/>
  <c r="L396" s="1"/>
  <c r="L395" s="1"/>
  <c r="L394" s="1"/>
  <c r="L378"/>
  <c r="L209"/>
  <c r="L100"/>
  <c r="L96" s="1"/>
  <c r="L95" s="1"/>
  <c r="L74"/>
  <c r="L43"/>
  <c r="L224"/>
  <c r="L1088"/>
  <c r="L246"/>
  <c r="L256"/>
  <c r="L305"/>
  <c r="L691"/>
  <c r="L1181"/>
  <c r="L1180" s="1"/>
  <c r="L1179" s="1"/>
  <c r="L1178" s="1"/>
  <c r="L1408"/>
  <c r="L1505"/>
  <c r="I31" i="1" s="1"/>
  <c r="L502" i="5"/>
  <c r="L839"/>
  <c r="L838" s="1"/>
  <c r="L1262"/>
  <c r="I61" i="1" s="1"/>
  <c r="L1422" i="5"/>
  <c r="L1421" s="1"/>
  <c r="L1447"/>
  <c r="L1446" s="1"/>
  <c r="L1704"/>
  <c r="L1703" s="1"/>
  <c r="L1702" s="1"/>
  <c r="L1701" s="1"/>
  <c r="L1700" s="1"/>
  <c r="L1699" s="1"/>
  <c r="L1698" s="1"/>
  <c r="L116"/>
  <c r="L115" s="1"/>
  <c r="L114" s="1"/>
  <c r="L657"/>
  <c r="L517"/>
  <c r="I1687" i="6"/>
  <c r="K332" i="5"/>
  <c r="M332" s="1"/>
  <c r="O332" s="1"/>
  <c r="Q332" s="1"/>
  <c r="S332" s="1"/>
  <c r="U332" s="1"/>
  <c r="J331"/>
  <c r="K331" s="1"/>
  <c r="M331" s="1"/>
  <c r="O331" s="1"/>
  <c r="Q331" s="1"/>
  <c r="S331" s="1"/>
  <c r="U331" s="1"/>
  <c r="A332"/>
  <c r="A329"/>
  <c r="A330"/>
  <c r="A327"/>
  <c r="A331"/>
  <c r="A328"/>
  <c r="L1541" l="1"/>
  <c r="M1541" s="1"/>
  <c r="O1541" s="1"/>
  <c r="Q1541" s="1"/>
  <c r="S1541" s="1"/>
  <c r="U1541" s="1"/>
  <c r="L588"/>
  <c r="L587" s="1"/>
  <c r="L1714"/>
  <c r="L1713" s="1"/>
  <c r="K1403" i="6"/>
  <c r="K1396" s="1"/>
  <c r="K1364" s="1"/>
  <c r="N1483" i="5"/>
  <c r="K43" i="1"/>
  <c r="K19"/>
  <c r="N1698" i="5"/>
  <c r="N21"/>
  <c r="N1713"/>
  <c r="M1327" i="6"/>
  <c r="M18"/>
  <c r="M1512"/>
  <c r="L32" i="5"/>
  <c r="L31" s="1"/>
  <c r="L30" s="1"/>
  <c r="I22" i="1" s="1"/>
  <c r="L1060" i="5"/>
  <c r="L1144"/>
  <c r="L1143" s="1"/>
  <c r="L1217"/>
  <c r="L1209" s="1"/>
  <c r="M1543"/>
  <c r="O1543" s="1"/>
  <c r="Q1543" s="1"/>
  <c r="S1543" s="1"/>
  <c r="U1543" s="1"/>
  <c r="I62" i="1"/>
  <c r="L277" i="5"/>
  <c r="L1232"/>
  <c r="L1231" s="1"/>
  <c r="I60" i="1" s="1"/>
  <c r="L628" i="5"/>
  <c r="L627" s="1"/>
  <c r="I37" i="1"/>
  <c r="L1595" i="5"/>
  <c r="K518" i="6"/>
  <c r="K380"/>
  <c r="K235" s="1"/>
  <c r="L393" i="5"/>
  <c r="L392" s="1"/>
  <c r="I21" i="1"/>
  <c r="L549" i="5"/>
  <c r="L548" s="1"/>
  <c r="I42" i="1"/>
  <c r="I40" s="1"/>
  <c r="L860" i="5"/>
  <c r="L859" s="1"/>
  <c r="I24" i="1"/>
  <c r="L818" i="5"/>
  <c r="I57" i="1"/>
  <c r="K1416" i="6"/>
  <c r="K1672"/>
  <c r="K1014"/>
  <c r="K1013" s="1"/>
  <c r="L1111"/>
  <c r="N1111" s="1"/>
  <c r="P1111" s="1"/>
  <c r="R1111" s="1"/>
  <c r="T1111" s="1"/>
  <c r="K207"/>
  <c r="K206" s="1"/>
  <c r="L1647" i="5"/>
  <c r="K917" i="6"/>
  <c r="K906" s="1"/>
  <c r="K759" s="1"/>
  <c r="K1285"/>
  <c r="K1258" s="1"/>
  <c r="K52"/>
  <c r="K149"/>
  <c r="I56" i="1"/>
  <c r="L304" i="5"/>
  <c r="L377"/>
  <c r="L223"/>
  <c r="L192"/>
  <c r="L186" s="1"/>
  <c r="L1297"/>
  <c r="L1003"/>
  <c r="L1033"/>
  <c r="L1198"/>
  <c r="L441"/>
  <c r="I36" i="1"/>
  <c r="L501" i="5"/>
  <c r="L1557"/>
  <c r="K75" i="6"/>
  <c r="K1521"/>
  <c r="K1520" s="1"/>
  <c r="K1514" s="1"/>
  <c r="K1328"/>
  <c r="K500"/>
  <c r="K460" s="1"/>
  <c r="K626"/>
  <c r="L708" i="5"/>
  <c r="L1445"/>
  <c r="L1444" s="1"/>
  <c r="L1407" s="1"/>
  <c r="L73"/>
  <c r="L245"/>
  <c r="I1686" i="6"/>
  <c r="J1687"/>
  <c r="L1687" s="1"/>
  <c r="N1687" s="1"/>
  <c r="P1687" s="1"/>
  <c r="R1687" s="1"/>
  <c r="T1687" s="1"/>
  <c r="J330" i="5"/>
  <c r="J899"/>
  <c r="I1160" i="6"/>
  <c r="I1159" s="1"/>
  <c r="J1159" s="1"/>
  <c r="L1159" s="1"/>
  <c r="N1159" s="1"/>
  <c r="P1159" s="1"/>
  <c r="R1159" s="1"/>
  <c r="T1159" s="1"/>
  <c r="A1160"/>
  <c r="A1159"/>
  <c r="A1155"/>
  <c r="A1158"/>
  <c r="A1156"/>
  <c r="L1540" i="5" l="1"/>
  <c r="L1539" s="1"/>
  <c r="I46" i="1"/>
  <c r="N1742" i="5"/>
  <c r="L1230"/>
  <c r="K67" i="1"/>
  <c r="M1326" i="6"/>
  <c r="L1059" i="5"/>
  <c r="I50" i="1" s="1"/>
  <c r="L233" i="5"/>
  <c r="I59" i="1"/>
  <c r="K1513" i="6"/>
  <c r="K1512" s="1"/>
  <c r="L72" i="5"/>
  <c r="L22" s="1"/>
  <c r="L1317"/>
  <c r="I58" i="1"/>
  <c r="I53" s="1"/>
  <c r="L1110" i="6"/>
  <c r="N1110" s="1"/>
  <c r="P1110" s="1"/>
  <c r="R1110" s="1"/>
  <c r="T1110" s="1"/>
  <c r="K18"/>
  <c r="L1642" i="5"/>
  <c r="L303"/>
  <c r="L370"/>
  <c r="L222"/>
  <c r="L1296"/>
  <c r="L707"/>
  <c r="L626"/>
  <c r="L586"/>
  <c r="L998"/>
  <c r="L1032"/>
  <c r="L1197"/>
  <c r="L547"/>
  <c r="L440"/>
  <c r="L500"/>
  <c r="L1546"/>
  <c r="K1327" i="6"/>
  <c r="I1685"/>
  <c r="J1686"/>
  <c r="L1686" s="1"/>
  <c r="N1686" s="1"/>
  <c r="P1686" s="1"/>
  <c r="R1686" s="1"/>
  <c r="T1686" s="1"/>
  <c r="J329" i="5"/>
  <c r="K330"/>
  <c r="M330" s="1"/>
  <c r="O330" s="1"/>
  <c r="Q330" s="1"/>
  <c r="S330" s="1"/>
  <c r="U330" s="1"/>
  <c r="J1160" i="6"/>
  <c r="L1160" s="1"/>
  <c r="N1160" s="1"/>
  <c r="P1160" s="1"/>
  <c r="R1160" s="1"/>
  <c r="T1160" s="1"/>
  <c r="I1158"/>
  <c r="I1207"/>
  <c r="J1207" s="1"/>
  <c r="L1207" s="1"/>
  <c r="N1207" s="1"/>
  <c r="P1207" s="1"/>
  <c r="R1207" s="1"/>
  <c r="T1207" s="1"/>
  <c r="A1206"/>
  <c r="A1205"/>
  <c r="A1207"/>
  <c r="A1203"/>
  <c r="M1540" i="5" l="1"/>
  <c r="O1540" s="1"/>
  <c r="Q1540" s="1"/>
  <c r="S1540" s="1"/>
  <c r="U1540" s="1"/>
  <c r="I26" i="1"/>
  <c r="I19" s="1"/>
  <c r="M1257" i="6"/>
  <c r="L968" i="5"/>
  <c r="L1288"/>
  <c r="M1539"/>
  <c r="O1539" s="1"/>
  <c r="Q1539" s="1"/>
  <c r="S1539" s="1"/>
  <c r="U1539" s="1"/>
  <c r="I33" i="1"/>
  <c r="L1504" i="5"/>
  <c r="L1109" i="6"/>
  <c r="N1109" s="1"/>
  <c r="P1109" s="1"/>
  <c r="R1109" s="1"/>
  <c r="T1109" s="1"/>
  <c r="K1103"/>
  <c r="L1641" i="5"/>
  <c r="L369"/>
  <c r="I64" i="1"/>
  <c r="L176" i="5"/>
  <c r="I44" i="1"/>
  <c r="L585" i="5"/>
  <c r="L1196"/>
  <c r="L430"/>
  <c r="L499"/>
  <c r="I34" i="1"/>
  <c r="K1326" i="6"/>
  <c r="J1685"/>
  <c r="L1685" s="1"/>
  <c r="N1685" s="1"/>
  <c r="P1685" s="1"/>
  <c r="R1685" s="1"/>
  <c r="T1685" s="1"/>
  <c r="J328" i="5"/>
  <c r="K329"/>
  <c r="M329" s="1"/>
  <c r="O329" s="1"/>
  <c r="Q329" s="1"/>
  <c r="S329" s="1"/>
  <c r="U329" s="1"/>
  <c r="I1157" i="6"/>
  <c r="J1158"/>
  <c r="L1158" s="1"/>
  <c r="N1158" s="1"/>
  <c r="P1158" s="1"/>
  <c r="R1158" s="1"/>
  <c r="T1158" s="1"/>
  <c r="I1206"/>
  <c r="I1205" s="1"/>
  <c r="I1204" s="1"/>
  <c r="J1204" s="1"/>
  <c r="L1204" s="1"/>
  <c r="N1204" s="1"/>
  <c r="P1204" s="1"/>
  <c r="R1204" s="1"/>
  <c r="T1204" s="1"/>
  <c r="K1565" i="5"/>
  <c r="M1565" s="1"/>
  <c r="O1565" s="1"/>
  <c r="Q1565" s="1"/>
  <c r="S1565" s="1"/>
  <c r="U1565" s="1"/>
  <c r="J1564"/>
  <c r="K1564" s="1"/>
  <c r="M1564" s="1"/>
  <c r="O1564" s="1"/>
  <c r="Q1564" s="1"/>
  <c r="S1564" s="1"/>
  <c r="U1564" s="1"/>
  <c r="A1565"/>
  <c r="A1563"/>
  <c r="A1564"/>
  <c r="A1562"/>
  <c r="M1812" i="6" l="1"/>
  <c r="K1102"/>
  <c r="K1101" s="1"/>
  <c r="L1640" i="5"/>
  <c r="I63" i="1"/>
  <c r="L175" i="5"/>
  <c r="I28" i="1"/>
  <c r="L572" i="5"/>
  <c r="L967"/>
  <c r="I49" i="1" s="1"/>
  <c r="I45"/>
  <c r="L1195" i="5"/>
  <c r="L423"/>
  <c r="I32" i="1"/>
  <c r="I29" s="1"/>
  <c r="I38"/>
  <c r="L477" i="5"/>
  <c r="K1257" i="6"/>
  <c r="J327" i="5"/>
  <c r="K328"/>
  <c r="M328" s="1"/>
  <c r="O328" s="1"/>
  <c r="Q328" s="1"/>
  <c r="S328" s="1"/>
  <c r="U328" s="1"/>
  <c r="J1563"/>
  <c r="J1206" i="6"/>
  <c r="L1206" s="1"/>
  <c r="N1206" s="1"/>
  <c r="P1206" s="1"/>
  <c r="R1206" s="1"/>
  <c r="T1206" s="1"/>
  <c r="I1156"/>
  <c r="J1157"/>
  <c r="L1157" s="1"/>
  <c r="N1157" s="1"/>
  <c r="P1157" s="1"/>
  <c r="R1157" s="1"/>
  <c r="T1157" s="1"/>
  <c r="J1205"/>
  <c r="L1205" s="1"/>
  <c r="N1205" s="1"/>
  <c r="P1205" s="1"/>
  <c r="R1205" s="1"/>
  <c r="T1205" s="1"/>
  <c r="I1203"/>
  <c r="J1203" s="1"/>
  <c r="L1203" s="1"/>
  <c r="N1203" s="1"/>
  <c r="P1203" s="1"/>
  <c r="R1203" s="1"/>
  <c r="T1203" s="1"/>
  <c r="K1658" i="5"/>
  <c r="M1658" s="1"/>
  <c r="O1658" s="1"/>
  <c r="J1657"/>
  <c r="J1656" s="1"/>
  <c r="J1655" s="1"/>
  <c r="K1655" s="1"/>
  <c r="M1655" s="1"/>
  <c r="O1655" s="1"/>
  <c r="Q1655" s="1"/>
  <c r="S1655" s="1"/>
  <c r="U1655" s="1"/>
  <c r="A1655"/>
  <c r="A1657"/>
  <c r="A1656"/>
  <c r="A1658"/>
  <c r="Q1658" l="1"/>
  <c r="S1658" s="1"/>
  <c r="U1658" s="1"/>
  <c r="L1620"/>
  <c r="L1483" s="1"/>
  <c r="I47" i="1"/>
  <c r="I43" s="1"/>
  <c r="L21" i="5"/>
  <c r="I27" i="1"/>
  <c r="L966" i="5"/>
  <c r="L1194"/>
  <c r="L414"/>
  <c r="I35" i="1"/>
  <c r="K1812" i="6"/>
  <c r="K327" i="5"/>
  <c r="M327" s="1"/>
  <c r="O327" s="1"/>
  <c r="Q327" s="1"/>
  <c r="S327" s="1"/>
  <c r="U327" s="1"/>
  <c r="J1562"/>
  <c r="K1563"/>
  <c r="M1563" s="1"/>
  <c r="O1563" s="1"/>
  <c r="Q1563" s="1"/>
  <c r="S1563" s="1"/>
  <c r="U1563" s="1"/>
  <c r="K1656"/>
  <c r="M1656" s="1"/>
  <c r="O1656" s="1"/>
  <c r="Q1656" s="1"/>
  <c r="S1656" s="1"/>
  <c r="U1656" s="1"/>
  <c r="I1155" i="6"/>
  <c r="J1155" s="1"/>
  <c r="L1155" s="1"/>
  <c r="N1155" s="1"/>
  <c r="P1155" s="1"/>
  <c r="R1155" s="1"/>
  <c r="T1155" s="1"/>
  <c r="J1156"/>
  <c r="L1156" s="1"/>
  <c r="N1156" s="1"/>
  <c r="P1156" s="1"/>
  <c r="R1156" s="1"/>
  <c r="T1156" s="1"/>
  <c r="K1657" i="5"/>
  <c r="M1657" s="1"/>
  <c r="O1657" s="1"/>
  <c r="Q1657" s="1"/>
  <c r="S1657" s="1"/>
  <c r="U1657" s="1"/>
  <c r="I914" i="6"/>
  <c r="K1208" i="5"/>
  <c r="M1208" s="1"/>
  <c r="O1208" s="1"/>
  <c r="Q1208" s="1"/>
  <c r="S1208" s="1"/>
  <c r="U1208" s="1"/>
  <c r="J1207"/>
  <c r="J1206" s="1"/>
  <c r="A1205"/>
  <c r="A1207"/>
  <c r="A1206"/>
  <c r="A1208"/>
  <c r="L908" l="1"/>
  <c r="I48" i="1"/>
  <c r="K1562" i="5"/>
  <c r="M1562" s="1"/>
  <c r="O1562" s="1"/>
  <c r="Q1562" s="1"/>
  <c r="S1562" s="1"/>
  <c r="U1562" s="1"/>
  <c r="J1205"/>
  <c r="K1206"/>
  <c r="M1206" s="1"/>
  <c r="O1206" s="1"/>
  <c r="Q1206" s="1"/>
  <c r="S1206" s="1"/>
  <c r="U1206" s="1"/>
  <c r="K1207"/>
  <c r="M1207" s="1"/>
  <c r="O1207" s="1"/>
  <c r="Q1207" s="1"/>
  <c r="S1207" s="1"/>
  <c r="U1207" s="1"/>
  <c r="I916" i="6"/>
  <c r="J916" s="1"/>
  <c r="L916" s="1"/>
  <c r="N916" s="1"/>
  <c r="P916" s="1"/>
  <c r="R916" s="1"/>
  <c r="T916" s="1"/>
  <c r="A916"/>
  <c r="A915"/>
  <c r="I67" i="1" l="1"/>
  <c r="L1742" i="5"/>
  <c r="J1204"/>
  <c r="K1204" s="1"/>
  <c r="M1204" s="1"/>
  <c r="O1204" s="1"/>
  <c r="Q1204" s="1"/>
  <c r="S1204" s="1"/>
  <c r="U1204" s="1"/>
  <c r="K1205"/>
  <c r="M1205" s="1"/>
  <c r="O1205" s="1"/>
  <c r="Q1205" s="1"/>
  <c r="S1205" s="1"/>
  <c r="U1205" s="1"/>
  <c r="I915" i="6"/>
  <c r="J915" s="1"/>
  <c r="L915" s="1"/>
  <c r="N915" s="1"/>
  <c r="P915" s="1"/>
  <c r="R915" s="1"/>
  <c r="T915" s="1"/>
  <c r="A913"/>
  <c r="A914"/>
  <c r="A912"/>
  <c r="I913" l="1"/>
  <c r="I912" s="1"/>
  <c r="J914"/>
  <c r="L914" s="1"/>
  <c r="N914" s="1"/>
  <c r="P914" s="1"/>
  <c r="R914" s="1"/>
  <c r="T914" s="1"/>
  <c r="K706" i="5"/>
  <c r="M706" s="1"/>
  <c r="O706" s="1"/>
  <c r="Q706" s="1"/>
  <c r="S706" s="1"/>
  <c r="U706" s="1"/>
  <c r="J705"/>
  <c r="J704" s="1"/>
  <c r="A703"/>
  <c r="A705"/>
  <c r="A704"/>
  <c r="A706"/>
  <c r="A702"/>
  <c r="J912" i="6" l="1"/>
  <c r="L912" s="1"/>
  <c r="N912" s="1"/>
  <c r="P912" s="1"/>
  <c r="R912" s="1"/>
  <c r="T912" s="1"/>
  <c r="J913"/>
  <c r="L913" s="1"/>
  <c r="N913" s="1"/>
  <c r="P913" s="1"/>
  <c r="R913" s="1"/>
  <c r="T913" s="1"/>
  <c r="J703" i="5"/>
  <c r="J702" s="1"/>
  <c r="K704"/>
  <c r="M704" s="1"/>
  <c r="O704" s="1"/>
  <c r="Q704" s="1"/>
  <c r="S704" s="1"/>
  <c r="U704" s="1"/>
  <c r="K705"/>
  <c r="M705" s="1"/>
  <c r="O705" s="1"/>
  <c r="Q705" s="1"/>
  <c r="S705" s="1"/>
  <c r="U705" s="1"/>
  <c r="K939"/>
  <c r="M939" s="1"/>
  <c r="O939" s="1"/>
  <c r="Q939" s="1"/>
  <c r="S939" s="1"/>
  <c r="U939" s="1"/>
  <c r="J938"/>
  <c r="J937" s="1"/>
  <c r="J936" s="1"/>
  <c r="J935" s="1"/>
  <c r="A939"/>
  <c r="A938"/>
  <c r="A935"/>
  <c r="A936"/>
  <c r="A937"/>
  <c r="K935" l="1"/>
  <c r="M935" s="1"/>
  <c r="O935" s="1"/>
  <c r="Q935" s="1"/>
  <c r="S935" s="1"/>
  <c r="U935" s="1"/>
  <c r="J934"/>
  <c r="K934" s="1"/>
  <c r="M934" s="1"/>
  <c r="O934" s="1"/>
  <c r="Q934" s="1"/>
  <c r="S934" s="1"/>
  <c r="U934" s="1"/>
  <c r="K702"/>
  <c r="M702" s="1"/>
  <c r="O702" s="1"/>
  <c r="Q702" s="1"/>
  <c r="S702" s="1"/>
  <c r="U702" s="1"/>
  <c r="K703"/>
  <c r="M703" s="1"/>
  <c r="O703" s="1"/>
  <c r="Q703" s="1"/>
  <c r="S703" s="1"/>
  <c r="U703" s="1"/>
  <c r="K937"/>
  <c r="M937" s="1"/>
  <c r="O937" s="1"/>
  <c r="Q937" s="1"/>
  <c r="S937" s="1"/>
  <c r="U937" s="1"/>
  <c r="K938"/>
  <c r="M938" s="1"/>
  <c r="O938" s="1"/>
  <c r="Q938" s="1"/>
  <c r="S938" s="1"/>
  <c r="U938" s="1"/>
  <c r="K936"/>
  <c r="M936" s="1"/>
  <c r="O936" s="1"/>
  <c r="Q936" s="1"/>
  <c r="S936" s="1"/>
  <c r="U936" s="1"/>
  <c r="I529" i="6"/>
  <c r="I530"/>
  <c r="J530" s="1"/>
  <c r="L530" s="1"/>
  <c r="N530" s="1"/>
  <c r="P530" s="1"/>
  <c r="R530" s="1"/>
  <c r="T530" s="1"/>
  <c r="A530"/>
  <c r="I528" l="1"/>
  <c r="I527" s="1"/>
  <c r="J221" i="5"/>
  <c r="J214"/>
  <c r="J383"/>
  <c r="J78"/>
  <c r="J77" s="1"/>
  <c r="J81"/>
  <c r="J80" s="1"/>
  <c r="K83"/>
  <c r="M83" s="1"/>
  <c r="O83" s="1"/>
  <c r="Q83" s="1"/>
  <c r="S83" s="1"/>
  <c r="U83" s="1"/>
  <c r="A83"/>
  <c r="I1284" i="6" l="1"/>
  <c r="I1283" s="1"/>
  <c r="I1282" s="1"/>
  <c r="I1281" s="1"/>
  <c r="I1280" s="1"/>
  <c r="J1280" s="1"/>
  <c r="L1280" s="1"/>
  <c r="N1280" s="1"/>
  <c r="P1280" s="1"/>
  <c r="R1280" s="1"/>
  <c r="T1280" s="1"/>
  <c r="A1280"/>
  <c r="A1284"/>
  <c r="A1282"/>
  <c r="A1283"/>
  <c r="J1282" l="1"/>
  <c r="L1282" s="1"/>
  <c r="N1282" s="1"/>
  <c r="P1282" s="1"/>
  <c r="R1282" s="1"/>
  <c r="T1282" s="1"/>
  <c r="J1283"/>
  <c r="L1283" s="1"/>
  <c r="N1283" s="1"/>
  <c r="P1283" s="1"/>
  <c r="R1283" s="1"/>
  <c r="T1283" s="1"/>
  <c r="J1284"/>
  <c r="L1284" s="1"/>
  <c r="N1284" s="1"/>
  <c r="P1284" s="1"/>
  <c r="R1284" s="1"/>
  <c r="T1284" s="1"/>
  <c r="J1281"/>
  <c r="L1281" s="1"/>
  <c r="N1281" s="1"/>
  <c r="P1281" s="1"/>
  <c r="R1281" s="1"/>
  <c r="T1281" s="1"/>
  <c r="K376" i="5"/>
  <c r="M376" s="1"/>
  <c r="O376" s="1"/>
  <c r="Q376" s="1"/>
  <c r="S376" s="1"/>
  <c r="U376" s="1"/>
  <c r="J375"/>
  <c r="K375" s="1"/>
  <c r="M375" s="1"/>
  <c r="O375" s="1"/>
  <c r="Q375" s="1"/>
  <c r="S375" s="1"/>
  <c r="U375" s="1"/>
  <c r="A372"/>
  <c r="A374"/>
  <c r="A373"/>
  <c r="A376"/>
  <c r="A375"/>
  <c r="A371"/>
  <c r="J374" l="1"/>
  <c r="I1530" i="6"/>
  <c r="J1530" s="1"/>
  <c r="L1530" s="1"/>
  <c r="N1530" s="1"/>
  <c r="P1530" s="1"/>
  <c r="R1530" s="1"/>
  <c r="T1530" s="1"/>
  <c r="A1530"/>
  <c r="J373" i="5" l="1"/>
  <c r="K374"/>
  <c r="M374" s="1"/>
  <c r="O374" s="1"/>
  <c r="Q374" s="1"/>
  <c r="S374" s="1"/>
  <c r="U374" s="1"/>
  <c r="J405"/>
  <c r="J404" s="1"/>
  <c r="K406"/>
  <c r="M406" s="1"/>
  <c r="O406" s="1"/>
  <c r="Q406" s="1"/>
  <c r="S406" s="1"/>
  <c r="U406" s="1"/>
  <c r="A406"/>
  <c r="J372" l="1"/>
  <c r="K373"/>
  <c r="M373" s="1"/>
  <c r="O373" s="1"/>
  <c r="Q373" s="1"/>
  <c r="S373" s="1"/>
  <c r="U373" s="1"/>
  <c r="J371" l="1"/>
  <c r="K371" s="1"/>
  <c r="M371" s="1"/>
  <c r="O371" s="1"/>
  <c r="Q371" s="1"/>
  <c r="S371" s="1"/>
  <c r="U371" s="1"/>
  <c r="K372"/>
  <c r="M372" s="1"/>
  <c r="O372" s="1"/>
  <c r="Q372" s="1"/>
  <c r="S372" s="1"/>
  <c r="U372" s="1"/>
  <c r="I635" i="6"/>
  <c r="I634" s="1"/>
  <c r="A634"/>
  <c r="A633"/>
  <c r="A635"/>
  <c r="J634" l="1"/>
  <c r="L634" s="1"/>
  <c r="N634" s="1"/>
  <c r="P634" s="1"/>
  <c r="R634" s="1"/>
  <c r="T634" s="1"/>
  <c r="J635"/>
  <c r="L635" s="1"/>
  <c r="N635" s="1"/>
  <c r="P635" s="1"/>
  <c r="R635" s="1"/>
  <c r="T635" s="1"/>
  <c r="J101" i="5"/>
  <c r="A100"/>
  <c r="A102"/>
  <c r="A101"/>
  <c r="K101" l="1"/>
  <c r="M101" s="1"/>
  <c r="O101" s="1"/>
  <c r="Q101" s="1"/>
  <c r="S101" s="1"/>
  <c r="U101" s="1"/>
  <c r="J104"/>
  <c r="J734" l="1"/>
  <c r="J654"/>
  <c r="J254" l="1"/>
  <c r="I1549" i="6"/>
  <c r="I1546"/>
  <c r="I1543"/>
  <c r="J1711" i="5"/>
  <c r="J1710" s="1"/>
  <c r="J1708"/>
  <c r="J1707" s="1"/>
  <c r="K1707" s="1"/>
  <c r="M1707" s="1"/>
  <c r="O1707" s="1"/>
  <c r="Q1707" s="1"/>
  <c r="S1707" s="1"/>
  <c r="U1707" s="1"/>
  <c r="J1705"/>
  <c r="K1705" s="1"/>
  <c r="M1705" s="1"/>
  <c r="O1705" s="1"/>
  <c r="Q1705" s="1"/>
  <c r="S1705" s="1"/>
  <c r="U1705" s="1"/>
  <c r="K1706"/>
  <c r="M1706" s="1"/>
  <c r="O1706" s="1"/>
  <c r="Q1706" s="1"/>
  <c r="S1706" s="1"/>
  <c r="U1706" s="1"/>
  <c r="K1709"/>
  <c r="M1709" s="1"/>
  <c r="O1709" s="1"/>
  <c r="Q1709" s="1"/>
  <c r="S1709" s="1"/>
  <c r="U1709" s="1"/>
  <c r="K1712"/>
  <c r="M1712" s="1"/>
  <c r="O1712" s="1"/>
  <c r="Q1712" s="1"/>
  <c r="S1712" s="1"/>
  <c r="U1712" s="1"/>
  <c r="A1701"/>
  <c r="A1712"/>
  <c r="A1709"/>
  <c r="A1708"/>
  <c r="A1703"/>
  <c r="A1702"/>
  <c r="A1706"/>
  <c r="A1699"/>
  <c r="A1710"/>
  <c r="A1705"/>
  <c r="A1711"/>
  <c r="A1707"/>
  <c r="A1698"/>
  <c r="A1704"/>
  <c r="K1711" l="1"/>
  <c r="M1711" s="1"/>
  <c r="O1711" s="1"/>
  <c r="Q1711" s="1"/>
  <c r="S1711" s="1"/>
  <c r="U1711" s="1"/>
  <c r="K1708"/>
  <c r="M1708" s="1"/>
  <c r="O1708" s="1"/>
  <c r="Q1708" s="1"/>
  <c r="S1708" s="1"/>
  <c r="U1708" s="1"/>
  <c r="J1704"/>
  <c r="K1704" s="1"/>
  <c r="M1704" s="1"/>
  <c r="O1704" s="1"/>
  <c r="Q1704" s="1"/>
  <c r="S1704" s="1"/>
  <c r="U1704" s="1"/>
  <c r="K1710"/>
  <c r="M1710" s="1"/>
  <c r="O1710" s="1"/>
  <c r="Q1710" s="1"/>
  <c r="S1710" s="1"/>
  <c r="U1710" s="1"/>
  <c r="J121"/>
  <c r="J402"/>
  <c r="J401" s="1"/>
  <c r="I1701" i="6"/>
  <c r="J1701" s="1"/>
  <c r="L1701" s="1"/>
  <c r="N1701" s="1"/>
  <c r="P1701" s="1"/>
  <c r="R1701" s="1"/>
  <c r="T1701" s="1"/>
  <c r="I1697"/>
  <c r="I1696" s="1"/>
  <c r="J1696" s="1"/>
  <c r="L1696" s="1"/>
  <c r="N1696" s="1"/>
  <c r="P1696" s="1"/>
  <c r="R1696" s="1"/>
  <c r="T1696" s="1"/>
  <c r="A1693"/>
  <c r="A1700"/>
  <c r="A1697"/>
  <c r="A1699"/>
  <c r="A1701"/>
  <c r="A1695"/>
  <c r="A1696"/>
  <c r="J1703" i="5" l="1"/>
  <c r="K1703" s="1"/>
  <c r="M1703" s="1"/>
  <c r="O1703" s="1"/>
  <c r="Q1703" s="1"/>
  <c r="S1703" s="1"/>
  <c r="U1703" s="1"/>
  <c r="I1700" i="6"/>
  <c r="J1700" s="1"/>
  <c r="L1700" s="1"/>
  <c r="N1700" s="1"/>
  <c r="P1700" s="1"/>
  <c r="R1700" s="1"/>
  <c r="T1700" s="1"/>
  <c r="J1697"/>
  <c r="L1697" s="1"/>
  <c r="N1697" s="1"/>
  <c r="P1697" s="1"/>
  <c r="R1697" s="1"/>
  <c r="T1697" s="1"/>
  <c r="I1695"/>
  <c r="I1694" s="1"/>
  <c r="J1694" s="1"/>
  <c r="L1694" s="1"/>
  <c r="N1694" s="1"/>
  <c r="P1694" s="1"/>
  <c r="R1694" s="1"/>
  <c r="T1694" s="1"/>
  <c r="K1193" i="5"/>
  <c r="M1193" s="1"/>
  <c r="O1193" s="1"/>
  <c r="Q1193" s="1"/>
  <c r="S1193" s="1"/>
  <c r="U1193" s="1"/>
  <c r="J1192"/>
  <c r="K1192" s="1"/>
  <c r="M1192" s="1"/>
  <c r="O1192" s="1"/>
  <c r="Q1192" s="1"/>
  <c r="S1192" s="1"/>
  <c r="U1192" s="1"/>
  <c r="A1193"/>
  <c r="A1192"/>
  <c r="A1191"/>
  <c r="A1190"/>
  <c r="J1702" l="1"/>
  <c r="J1701" s="1"/>
  <c r="K1701" s="1"/>
  <c r="M1701" s="1"/>
  <c r="O1701" s="1"/>
  <c r="Q1701" s="1"/>
  <c r="S1701" s="1"/>
  <c r="U1701" s="1"/>
  <c r="I1699" i="6"/>
  <c r="J1699" s="1"/>
  <c r="L1699" s="1"/>
  <c r="N1699" s="1"/>
  <c r="P1699" s="1"/>
  <c r="R1699" s="1"/>
  <c r="T1699" s="1"/>
  <c r="J1695"/>
  <c r="L1695" s="1"/>
  <c r="N1695" s="1"/>
  <c r="P1695" s="1"/>
  <c r="R1695" s="1"/>
  <c r="T1695" s="1"/>
  <c r="J1191" i="5"/>
  <c r="J1057"/>
  <c r="K1057" s="1"/>
  <c r="M1057" s="1"/>
  <c r="O1057" s="1"/>
  <c r="Q1057" s="1"/>
  <c r="S1057" s="1"/>
  <c r="U1057" s="1"/>
  <c r="K1058"/>
  <c r="M1058" s="1"/>
  <c r="O1058" s="1"/>
  <c r="Q1058" s="1"/>
  <c r="S1058" s="1"/>
  <c r="U1058" s="1"/>
  <c r="A1058"/>
  <c r="A1057"/>
  <c r="A1053"/>
  <c r="A1054"/>
  <c r="A1056"/>
  <c r="A1055"/>
  <c r="K1702" l="1"/>
  <c r="M1702" s="1"/>
  <c r="O1702" s="1"/>
  <c r="Q1702" s="1"/>
  <c r="S1702" s="1"/>
  <c r="U1702" s="1"/>
  <c r="J1700"/>
  <c r="K1700" s="1"/>
  <c r="M1700" s="1"/>
  <c r="O1700" s="1"/>
  <c r="Q1700" s="1"/>
  <c r="S1700" s="1"/>
  <c r="U1700" s="1"/>
  <c r="I1698" i="6"/>
  <c r="J1698" s="1"/>
  <c r="L1698" s="1"/>
  <c r="N1698" s="1"/>
  <c r="P1698" s="1"/>
  <c r="R1698" s="1"/>
  <c r="T1698" s="1"/>
  <c r="J1190" i="5"/>
  <c r="K1191"/>
  <c r="M1191" s="1"/>
  <c r="O1191" s="1"/>
  <c r="Q1191" s="1"/>
  <c r="S1191" s="1"/>
  <c r="U1191" s="1"/>
  <c r="J1056"/>
  <c r="K1056" s="1"/>
  <c r="M1056" s="1"/>
  <c r="O1056" s="1"/>
  <c r="Q1056" s="1"/>
  <c r="S1056" s="1"/>
  <c r="U1056" s="1"/>
  <c r="J1699" l="1"/>
  <c r="J1698" s="1"/>
  <c r="K1698" s="1"/>
  <c r="M1698" s="1"/>
  <c r="O1698" s="1"/>
  <c r="Q1698" s="1"/>
  <c r="S1698" s="1"/>
  <c r="U1698" s="1"/>
  <c r="I1693" i="6"/>
  <c r="J1693" s="1"/>
  <c r="L1693" s="1"/>
  <c r="N1693" s="1"/>
  <c r="P1693" s="1"/>
  <c r="R1693" s="1"/>
  <c r="T1693" s="1"/>
  <c r="K1190" i="5"/>
  <c r="M1190" s="1"/>
  <c r="O1190" s="1"/>
  <c r="Q1190" s="1"/>
  <c r="S1190" s="1"/>
  <c r="U1190" s="1"/>
  <c r="J1055"/>
  <c r="K1699" l="1"/>
  <c r="M1699" s="1"/>
  <c r="O1699" s="1"/>
  <c r="Q1699" s="1"/>
  <c r="S1699" s="1"/>
  <c r="U1699" s="1"/>
  <c r="K1055"/>
  <c r="M1055" s="1"/>
  <c r="O1055" s="1"/>
  <c r="Q1055" s="1"/>
  <c r="S1055" s="1"/>
  <c r="U1055" s="1"/>
  <c r="J1054"/>
  <c r="I1359" i="6"/>
  <c r="J1359" s="1"/>
  <c r="L1359" s="1"/>
  <c r="N1359" s="1"/>
  <c r="P1359" s="1"/>
  <c r="R1359" s="1"/>
  <c r="T1359" s="1"/>
  <c r="A1358"/>
  <c r="A1359"/>
  <c r="A1357"/>
  <c r="K1054" i="5" l="1"/>
  <c r="M1054" s="1"/>
  <c r="O1054" s="1"/>
  <c r="Q1054" s="1"/>
  <c r="S1054" s="1"/>
  <c r="U1054" s="1"/>
  <c r="J1053"/>
  <c r="K1053" s="1"/>
  <c r="M1053" s="1"/>
  <c r="O1053" s="1"/>
  <c r="Q1053" s="1"/>
  <c r="S1053" s="1"/>
  <c r="U1053" s="1"/>
  <c r="I1358" i="6"/>
  <c r="J1358" s="1"/>
  <c r="L1358" s="1"/>
  <c r="N1358" s="1"/>
  <c r="P1358" s="1"/>
  <c r="R1358" s="1"/>
  <c r="T1358" s="1"/>
  <c r="J1337"/>
  <c r="L1337" s="1"/>
  <c r="N1337" s="1"/>
  <c r="P1337" s="1"/>
  <c r="R1337" s="1"/>
  <c r="T1337" s="1"/>
  <c r="I1336"/>
  <c r="I1335" s="1"/>
  <c r="J1335" s="1"/>
  <c r="L1335" s="1"/>
  <c r="N1335" s="1"/>
  <c r="P1335" s="1"/>
  <c r="R1335" s="1"/>
  <c r="T1335" s="1"/>
  <c r="A1336"/>
  <c r="A1337"/>
  <c r="A1335"/>
  <c r="J1336" l="1"/>
  <c r="L1336" s="1"/>
  <c r="N1336" s="1"/>
  <c r="P1336" s="1"/>
  <c r="R1336" s="1"/>
  <c r="T1336" s="1"/>
  <c r="I1357"/>
  <c r="J1357" s="1"/>
  <c r="L1357" s="1"/>
  <c r="N1357" s="1"/>
  <c r="P1357" s="1"/>
  <c r="R1357" s="1"/>
  <c r="T1357" s="1"/>
  <c r="J219" i="5"/>
  <c r="J218" s="1"/>
  <c r="K217"/>
  <c r="M217" s="1"/>
  <c r="O217" s="1"/>
  <c r="Q217" s="1"/>
  <c r="S217" s="1"/>
  <c r="U217" s="1"/>
  <c r="J216"/>
  <c r="J215" s="1"/>
  <c r="K215" s="1"/>
  <c r="M215" s="1"/>
  <c r="O215" s="1"/>
  <c r="Q215" s="1"/>
  <c r="S215" s="1"/>
  <c r="U215" s="1"/>
  <c r="A215"/>
  <c r="A217"/>
  <c r="A216"/>
  <c r="K216" l="1"/>
  <c r="M216" s="1"/>
  <c r="O216" s="1"/>
  <c r="Q216" s="1"/>
  <c r="S216" s="1"/>
  <c r="U216" s="1"/>
  <c r="K201"/>
  <c r="M201" s="1"/>
  <c r="O201" s="1"/>
  <c r="Q201" s="1"/>
  <c r="S201" s="1"/>
  <c r="U201" s="1"/>
  <c r="J200"/>
  <c r="K200" s="1"/>
  <c r="M200" s="1"/>
  <c r="O200" s="1"/>
  <c r="Q200" s="1"/>
  <c r="S200" s="1"/>
  <c r="U200" s="1"/>
  <c r="A201"/>
  <c r="A200"/>
  <c r="A199"/>
  <c r="J199" l="1"/>
  <c r="K199" s="1"/>
  <c r="M199" s="1"/>
  <c r="O199" s="1"/>
  <c r="Q199" s="1"/>
  <c r="S199" s="1"/>
  <c r="U199" s="1"/>
  <c r="J118"/>
  <c r="J113"/>
  <c r="J112" s="1"/>
  <c r="J111" s="1"/>
  <c r="J110" s="1"/>
  <c r="J109" s="1"/>
  <c r="J1452"/>
  <c r="J883"/>
  <c r="J382"/>
  <c r="J381" s="1"/>
  <c r="J385"/>
  <c r="J384" s="1"/>
  <c r="J379"/>
  <c r="I36" i="6"/>
  <c r="I35" s="1"/>
  <c r="J35" s="1"/>
  <c r="L35" s="1"/>
  <c r="N35" s="1"/>
  <c r="P35" s="1"/>
  <c r="R35" s="1"/>
  <c r="T35" s="1"/>
  <c r="A36"/>
  <c r="A35"/>
  <c r="J378" i="5" l="1"/>
  <c r="J36" i="6"/>
  <c r="L36" s="1"/>
  <c r="N36" s="1"/>
  <c r="P36" s="1"/>
  <c r="R36" s="1"/>
  <c r="T36" s="1"/>
  <c r="K718" i="5"/>
  <c r="M718" s="1"/>
  <c r="O718" s="1"/>
  <c r="Q718" s="1"/>
  <c r="S718" s="1"/>
  <c r="U718" s="1"/>
  <c r="J717"/>
  <c r="K717" s="1"/>
  <c r="M717" s="1"/>
  <c r="O717" s="1"/>
  <c r="Q717" s="1"/>
  <c r="S717" s="1"/>
  <c r="U717" s="1"/>
  <c r="A717"/>
  <c r="A718"/>
  <c r="I869" i="6" l="1"/>
  <c r="I868" s="1"/>
  <c r="A868"/>
  <c r="A869"/>
  <c r="J868" l="1"/>
  <c r="L868" s="1"/>
  <c r="N868" s="1"/>
  <c r="P868" s="1"/>
  <c r="R868" s="1"/>
  <c r="T868" s="1"/>
  <c r="J869"/>
  <c r="L869" s="1"/>
  <c r="N869" s="1"/>
  <c r="P869" s="1"/>
  <c r="R869" s="1"/>
  <c r="T869" s="1"/>
  <c r="K1308" i="5"/>
  <c r="M1308" s="1"/>
  <c r="O1308" s="1"/>
  <c r="Q1308" s="1"/>
  <c r="S1308" s="1"/>
  <c r="U1308" s="1"/>
  <c r="J1307"/>
  <c r="K1307" s="1"/>
  <c r="M1307" s="1"/>
  <c r="O1307" s="1"/>
  <c r="Q1307" s="1"/>
  <c r="S1307" s="1"/>
  <c r="U1307" s="1"/>
  <c r="A1308"/>
  <c r="A1307"/>
  <c r="J507" l="1"/>
  <c r="I1083" i="6" l="1"/>
  <c r="K113" i="5" l="1"/>
  <c r="M113" s="1"/>
  <c r="O113" s="1"/>
  <c r="Q113" s="1"/>
  <c r="S113" s="1"/>
  <c r="U113" s="1"/>
  <c r="K112"/>
  <c r="M112" s="1"/>
  <c r="O112" s="1"/>
  <c r="Q112" s="1"/>
  <c r="S112" s="1"/>
  <c r="U112" s="1"/>
  <c r="A109"/>
  <c r="A111"/>
  <c r="A112"/>
  <c r="A110"/>
  <c r="A113"/>
  <c r="J623" l="1"/>
  <c r="K111" l="1"/>
  <c r="M111" s="1"/>
  <c r="O111" s="1"/>
  <c r="Q111" s="1"/>
  <c r="S111" s="1"/>
  <c r="U111" s="1"/>
  <c r="K109" l="1"/>
  <c r="M109" s="1"/>
  <c r="O109" s="1"/>
  <c r="Q109" s="1"/>
  <c r="S109" s="1"/>
  <c r="U109" s="1"/>
  <c r="K110"/>
  <c r="M110" s="1"/>
  <c r="O110" s="1"/>
  <c r="Q110" s="1"/>
  <c r="S110" s="1"/>
  <c r="U110" s="1"/>
  <c r="I1709" i="6" l="1"/>
  <c r="I1708" s="1"/>
  <c r="I1707" s="1"/>
  <c r="I1706" s="1"/>
  <c r="A1709"/>
  <c r="A1707"/>
  <c r="A1708"/>
  <c r="J1696" i="5" l="1"/>
  <c r="K1696" s="1"/>
  <c r="M1696" s="1"/>
  <c r="O1696" s="1"/>
  <c r="Q1696" s="1"/>
  <c r="S1696" s="1"/>
  <c r="U1696" s="1"/>
  <c r="K1697"/>
  <c r="M1697" s="1"/>
  <c r="O1697" s="1"/>
  <c r="Q1697" s="1"/>
  <c r="S1697" s="1"/>
  <c r="U1697" s="1"/>
  <c r="A1694"/>
  <c r="A1697"/>
  <c r="A1693"/>
  <c r="A1695"/>
  <c r="A1692"/>
  <c r="A1696"/>
  <c r="J1695" l="1"/>
  <c r="J1694" s="1"/>
  <c r="J1693" s="1"/>
  <c r="K1693" s="1"/>
  <c r="M1693" s="1"/>
  <c r="O1693" s="1"/>
  <c r="Q1693" s="1"/>
  <c r="S1693" s="1"/>
  <c r="U1693" s="1"/>
  <c r="J1706" i="6"/>
  <c r="L1706" s="1"/>
  <c r="N1706" s="1"/>
  <c r="P1706" s="1"/>
  <c r="R1706" s="1"/>
  <c r="T1706" s="1"/>
  <c r="J1707"/>
  <c r="L1707" s="1"/>
  <c r="N1707" s="1"/>
  <c r="P1707" s="1"/>
  <c r="R1707" s="1"/>
  <c r="T1707" s="1"/>
  <c r="J1708"/>
  <c r="L1708" s="1"/>
  <c r="N1708" s="1"/>
  <c r="P1708" s="1"/>
  <c r="R1708" s="1"/>
  <c r="T1708" s="1"/>
  <c r="J1709"/>
  <c r="L1709" s="1"/>
  <c r="N1709" s="1"/>
  <c r="P1709" s="1"/>
  <c r="R1709" s="1"/>
  <c r="T1709" s="1"/>
  <c r="I1705"/>
  <c r="I1704" s="1"/>
  <c r="J1704" s="1"/>
  <c r="L1704" s="1"/>
  <c r="N1704" s="1"/>
  <c r="P1704" s="1"/>
  <c r="R1704" s="1"/>
  <c r="T1704" s="1"/>
  <c r="A1702"/>
  <c r="A1705"/>
  <c r="A1704"/>
  <c r="K1694" i="5" l="1"/>
  <c r="M1694" s="1"/>
  <c r="O1694" s="1"/>
  <c r="Q1694" s="1"/>
  <c r="S1694" s="1"/>
  <c r="U1694" s="1"/>
  <c r="K1695"/>
  <c r="M1695" s="1"/>
  <c r="O1695" s="1"/>
  <c r="Q1695" s="1"/>
  <c r="S1695" s="1"/>
  <c r="U1695" s="1"/>
  <c r="J1692"/>
  <c r="K1692" s="1"/>
  <c r="M1692" s="1"/>
  <c r="O1692" s="1"/>
  <c r="Q1692" s="1"/>
  <c r="S1692" s="1"/>
  <c r="U1692" s="1"/>
  <c r="J1705" i="6"/>
  <c r="L1705" s="1"/>
  <c r="N1705" s="1"/>
  <c r="P1705" s="1"/>
  <c r="R1705" s="1"/>
  <c r="T1705" s="1"/>
  <c r="I1703"/>
  <c r="I1702" s="1"/>
  <c r="J1271" i="5"/>
  <c r="K1271" s="1"/>
  <c r="M1271" s="1"/>
  <c r="O1271" s="1"/>
  <c r="Q1271" s="1"/>
  <c r="S1271" s="1"/>
  <c r="U1271" s="1"/>
  <c r="K1272"/>
  <c r="M1272" s="1"/>
  <c r="O1272" s="1"/>
  <c r="Q1272" s="1"/>
  <c r="S1272" s="1"/>
  <c r="U1272" s="1"/>
  <c r="A1268"/>
  <c r="A1271"/>
  <c r="A1270"/>
  <c r="A1272"/>
  <c r="A1269"/>
  <c r="J1270" l="1"/>
  <c r="K1270" s="1"/>
  <c r="M1270" s="1"/>
  <c r="O1270" s="1"/>
  <c r="Q1270" s="1"/>
  <c r="S1270" s="1"/>
  <c r="U1270" s="1"/>
  <c r="J1702" i="6"/>
  <c r="L1702" s="1"/>
  <c r="N1702" s="1"/>
  <c r="P1702" s="1"/>
  <c r="R1702" s="1"/>
  <c r="T1702" s="1"/>
  <c r="J1703"/>
  <c r="L1703" s="1"/>
  <c r="N1703" s="1"/>
  <c r="P1703" s="1"/>
  <c r="R1703" s="1"/>
  <c r="T1703" s="1"/>
  <c r="I1692"/>
  <c r="I1691" s="1"/>
  <c r="I1690" s="1"/>
  <c r="A1691"/>
  <c r="A1690"/>
  <c r="A1692"/>
  <c r="I1689" l="1"/>
  <c r="J1689" s="1"/>
  <c r="L1689" s="1"/>
  <c r="N1689" s="1"/>
  <c r="P1689" s="1"/>
  <c r="R1689" s="1"/>
  <c r="T1689" s="1"/>
  <c r="J1690"/>
  <c r="L1690" s="1"/>
  <c r="N1690" s="1"/>
  <c r="P1690" s="1"/>
  <c r="R1690" s="1"/>
  <c r="T1690" s="1"/>
  <c r="J1269" i="5"/>
  <c r="K811"/>
  <c r="M811" s="1"/>
  <c r="O811" s="1"/>
  <c r="Q811" s="1"/>
  <c r="S811" s="1"/>
  <c r="U811" s="1"/>
  <c r="J810"/>
  <c r="K810" s="1"/>
  <c r="M810" s="1"/>
  <c r="O810" s="1"/>
  <c r="Q810" s="1"/>
  <c r="S810" s="1"/>
  <c r="U810" s="1"/>
  <c r="A810"/>
  <c r="A811"/>
  <c r="A809"/>
  <c r="A808"/>
  <c r="K1269" l="1"/>
  <c r="M1269" s="1"/>
  <c r="O1269" s="1"/>
  <c r="Q1269" s="1"/>
  <c r="S1269" s="1"/>
  <c r="U1269" s="1"/>
  <c r="J1268"/>
  <c r="K1268" s="1"/>
  <c r="M1268" s="1"/>
  <c r="O1268" s="1"/>
  <c r="Q1268" s="1"/>
  <c r="S1268" s="1"/>
  <c r="U1268" s="1"/>
  <c r="J809"/>
  <c r="J1691" i="6"/>
  <c r="L1691" s="1"/>
  <c r="N1691" s="1"/>
  <c r="P1691" s="1"/>
  <c r="R1691" s="1"/>
  <c r="T1691" s="1"/>
  <c r="J1692"/>
  <c r="L1692" s="1"/>
  <c r="N1692" s="1"/>
  <c r="P1692" s="1"/>
  <c r="R1692" s="1"/>
  <c r="T1692" s="1"/>
  <c r="I1684"/>
  <c r="I1683" s="1"/>
  <c r="J1683" s="1"/>
  <c r="L1683" s="1"/>
  <c r="N1683" s="1"/>
  <c r="P1683" s="1"/>
  <c r="R1683" s="1"/>
  <c r="T1683" s="1"/>
  <c r="I1682"/>
  <c r="I1681" s="1"/>
  <c r="A1678"/>
  <c r="A1681"/>
  <c r="A1682"/>
  <c r="A1684"/>
  <c r="A1683"/>
  <c r="A1680"/>
  <c r="J808" i="5" l="1"/>
  <c r="K808" s="1"/>
  <c r="M808" s="1"/>
  <c r="O808" s="1"/>
  <c r="Q808" s="1"/>
  <c r="S808" s="1"/>
  <c r="U808" s="1"/>
  <c r="K809"/>
  <c r="M809" s="1"/>
  <c r="O809" s="1"/>
  <c r="Q809" s="1"/>
  <c r="S809" s="1"/>
  <c r="U809" s="1"/>
  <c r="J1682" i="6"/>
  <c r="L1682" s="1"/>
  <c r="N1682" s="1"/>
  <c r="P1682" s="1"/>
  <c r="R1682" s="1"/>
  <c r="T1682" s="1"/>
  <c r="I1680"/>
  <c r="I1679" s="1"/>
  <c r="I1678" s="1"/>
  <c r="J1681"/>
  <c r="L1681" s="1"/>
  <c r="N1681" s="1"/>
  <c r="P1681" s="1"/>
  <c r="R1681" s="1"/>
  <c r="T1681" s="1"/>
  <c r="J1684"/>
  <c r="L1684" s="1"/>
  <c r="N1684" s="1"/>
  <c r="P1684" s="1"/>
  <c r="R1684" s="1"/>
  <c r="T1684" s="1"/>
  <c r="K623" i="5"/>
  <c r="M623" s="1"/>
  <c r="O623" s="1"/>
  <c r="Q623" s="1"/>
  <c r="S623" s="1"/>
  <c r="U623" s="1"/>
  <c r="K625"/>
  <c r="M625" s="1"/>
  <c r="O625" s="1"/>
  <c r="Q625" s="1"/>
  <c r="S625" s="1"/>
  <c r="U625" s="1"/>
  <c r="J622"/>
  <c r="K622" s="1"/>
  <c r="M622" s="1"/>
  <c r="O622" s="1"/>
  <c r="Q622" s="1"/>
  <c r="S622" s="1"/>
  <c r="U622" s="1"/>
  <c r="J624"/>
  <c r="K624" s="1"/>
  <c r="M624" s="1"/>
  <c r="O624" s="1"/>
  <c r="Q624" s="1"/>
  <c r="S624" s="1"/>
  <c r="U624" s="1"/>
  <c r="A621"/>
  <c r="A624"/>
  <c r="A622"/>
  <c r="A619"/>
  <c r="A623"/>
  <c r="A618"/>
  <c r="A625"/>
  <c r="A620"/>
  <c r="J1678" i="6" l="1"/>
  <c r="L1678" s="1"/>
  <c r="N1678" s="1"/>
  <c r="P1678" s="1"/>
  <c r="R1678" s="1"/>
  <c r="T1678" s="1"/>
  <c r="J1679"/>
  <c r="L1679" s="1"/>
  <c r="N1679" s="1"/>
  <c r="P1679" s="1"/>
  <c r="R1679" s="1"/>
  <c r="T1679" s="1"/>
  <c r="J1680"/>
  <c r="L1680" s="1"/>
  <c r="N1680" s="1"/>
  <c r="P1680" s="1"/>
  <c r="R1680" s="1"/>
  <c r="T1680" s="1"/>
  <c r="J621" i="5"/>
  <c r="J620" l="1"/>
  <c r="K621"/>
  <c r="M621" s="1"/>
  <c r="O621" s="1"/>
  <c r="Q621" s="1"/>
  <c r="S621" s="1"/>
  <c r="U621" s="1"/>
  <c r="J619" l="1"/>
  <c r="K620"/>
  <c r="M620" s="1"/>
  <c r="O620" s="1"/>
  <c r="Q620" s="1"/>
  <c r="S620" s="1"/>
  <c r="U620" s="1"/>
  <c r="J618" l="1"/>
  <c r="K618" s="1"/>
  <c r="M618" s="1"/>
  <c r="O618" s="1"/>
  <c r="Q618" s="1"/>
  <c r="S618" s="1"/>
  <c r="U618" s="1"/>
  <c r="K619"/>
  <c r="M619" s="1"/>
  <c r="O619" s="1"/>
  <c r="Q619" s="1"/>
  <c r="S619" s="1"/>
  <c r="U619" s="1"/>
  <c r="I1731" i="6" l="1"/>
  <c r="I1730"/>
  <c r="J1730" s="1"/>
  <c r="L1730" s="1"/>
  <c r="N1730" s="1"/>
  <c r="P1730" s="1"/>
  <c r="R1730" s="1"/>
  <c r="T1730" s="1"/>
  <c r="A1731"/>
  <c r="A1730"/>
  <c r="A1726"/>
  <c r="A1729"/>
  <c r="I1729" l="1"/>
  <c r="I1726" s="1"/>
  <c r="J1726" s="1"/>
  <c r="L1726" s="1"/>
  <c r="N1726" s="1"/>
  <c r="P1726" s="1"/>
  <c r="R1726" s="1"/>
  <c r="T1726" s="1"/>
  <c r="J1731"/>
  <c r="L1731" s="1"/>
  <c r="N1731" s="1"/>
  <c r="P1731" s="1"/>
  <c r="R1731" s="1"/>
  <c r="T1731" s="1"/>
  <c r="I1671"/>
  <c r="J1671" s="1"/>
  <c r="L1671" s="1"/>
  <c r="N1671" s="1"/>
  <c r="P1671" s="1"/>
  <c r="R1671" s="1"/>
  <c r="T1671" s="1"/>
  <c r="A1670"/>
  <c r="A1669"/>
  <c r="A1671"/>
  <c r="J1729" l="1"/>
  <c r="L1729" s="1"/>
  <c r="N1729" s="1"/>
  <c r="P1729" s="1"/>
  <c r="R1729" s="1"/>
  <c r="T1729" s="1"/>
  <c r="I1670"/>
  <c r="J1670" s="1"/>
  <c r="L1670" s="1"/>
  <c r="N1670" s="1"/>
  <c r="P1670" s="1"/>
  <c r="R1670" s="1"/>
  <c r="T1670" s="1"/>
  <c r="K1469" i="5"/>
  <c r="M1469" s="1"/>
  <c r="O1469" s="1"/>
  <c r="Q1469" s="1"/>
  <c r="S1469" s="1"/>
  <c r="U1469" s="1"/>
  <c r="K1470"/>
  <c r="M1470" s="1"/>
  <c r="O1470" s="1"/>
  <c r="Q1470" s="1"/>
  <c r="S1470" s="1"/>
  <c r="U1470" s="1"/>
  <c r="J1468"/>
  <c r="K1468" s="1"/>
  <c r="M1468" s="1"/>
  <c r="O1468" s="1"/>
  <c r="Q1468" s="1"/>
  <c r="S1468" s="1"/>
  <c r="U1468" s="1"/>
  <c r="A1469"/>
  <c r="A1465"/>
  <c r="A1468"/>
  <c r="A1470"/>
  <c r="I1669" i="6" l="1"/>
  <c r="J1669" s="1"/>
  <c r="L1669" s="1"/>
  <c r="N1669" s="1"/>
  <c r="P1669" s="1"/>
  <c r="R1669" s="1"/>
  <c r="T1669" s="1"/>
  <c r="J1465" i="5"/>
  <c r="K1458"/>
  <c r="M1458" s="1"/>
  <c r="O1458" s="1"/>
  <c r="Q1458" s="1"/>
  <c r="S1458" s="1"/>
  <c r="U1458" s="1"/>
  <c r="J1457"/>
  <c r="K1457" s="1"/>
  <c r="M1457" s="1"/>
  <c r="O1457" s="1"/>
  <c r="Q1457" s="1"/>
  <c r="S1457" s="1"/>
  <c r="U1457" s="1"/>
  <c r="A1458"/>
  <c r="A1457"/>
  <c r="A1456"/>
  <c r="J1456" l="1"/>
  <c r="K1456" s="1"/>
  <c r="M1456" s="1"/>
  <c r="O1456" s="1"/>
  <c r="Q1456" s="1"/>
  <c r="S1456" s="1"/>
  <c r="U1456" s="1"/>
  <c r="K1465"/>
  <c r="M1465" s="1"/>
  <c r="O1465" s="1"/>
  <c r="Q1465" s="1"/>
  <c r="S1465" s="1"/>
  <c r="U1465" s="1"/>
  <c r="J653"/>
  <c r="K729"/>
  <c r="M729" s="1"/>
  <c r="O729" s="1"/>
  <c r="Q729" s="1"/>
  <c r="S729" s="1"/>
  <c r="U729" s="1"/>
  <c r="K736"/>
  <c r="M736" s="1"/>
  <c r="O736" s="1"/>
  <c r="Q736" s="1"/>
  <c r="S736" s="1"/>
  <c r="U736" s="1"/>
  <c r="I129" i="6"/>
  <c r="J129" s="1"/>
  <c r="L129" s="1"/>
  <c r="N129" s="1"/>
  <c r="P129" s="1"/>
  <c r="R129" s="1"/>
  <c r="T129" s="1"/>
  <c r="A129"/>
  <c r="A128"/>
  <c r="I128" l="1"/>
  <c r="J128" s="1"/>
  <c r="L128" s="1"/>
  <c r="N128" s="1"/>
  <c r="P128" s="1"/>
  <c r="R128" s="1"/>
  <c r="T128" s="1"/>
  <c r="J652" i="5"/>
  <c r="J735"/>
  <c r="A735"/>
  <c r="A736"/>
  <c r="K735" l="1"/>
  <c r="M735" s="1"/>
  <c r="O735" s="1"/>
  <c r="Q735" s="1"/>
  <c r="S735" s="1"/>
  <c r="U735" s="1"/>
  <c r="J651"/>
  <c r="I51" i="6"/>
  <c r="J51" s="1"/>
  <c r="L51" s="1"/>
  <c r="N51" s="1"/>
  <c r="P51" s="1"/>
  <c r="R51" s="1"/>
  <c r="T51" s="1"/>
  <c r="A51"/>
  <c r="A50"/>
  <c r="I50" l="1"/>
  <c r="J50" s="1"/>
  <c r="L50" s="1"/>
  <c r="N50" s="1"/>
  <c r="P50" s="1"/>
  <c r="R50" s="1"/>
  <c r="T50" s="1"/>
  <c r="J728" i="5"/>
  <c r="K728" s="1"/>
  <c r="M728" s="1"/>
  <c r="O728" s="1"/>
  <c r="Q728" s="1"/>
  <c r="S728" s="1"/>
  <c r="U728" s="1"/>
  <c r="H732"/>
  <c r="I732" s="1"/>
  <c r="G127" i="6"/>
  <c r="G126" s="1"/>
  <c r="G125" s="1"/>
  <c r="G124" s="1"/>
  <c r="I127"/>
  <c r="F127"/>
  <c r="F126" s="1"/>
  <c r="F125" s="1"/>
  <c r="F124" s="1"/>
  <c r="A729" i="5"/>
  <c r="A728"/>
  <c r="A126" i="6"/>
  <c r="A127"/>
  <c r="A125"/>
  <c r="I126" l="1"/>
  <c r="I733" i="5"/>
  <c r="I734"/>
  <c r="K734" s="1"/>
  <c r="M734" s="1"/>
  <c r="O734" s="1"/>
  <c r="Q734" s="1"/>
  <c r="S734" s="1"/>
  <c r="U734" s="1"/>
  <c r="J733"/>
  <c r="J732" s="1"/>
  <c r="A733"/>
  <c r="A730"/>
  <c r="A734"/>
  <c r="K733" l="1"/>
  <c r="M733" s="1"/>
  <c r="O733" s="1"/>
  <c r="Q733" s="1"/>
  <c r="S733" s="1"/>
  <c r="U733" s="1"/>
  <c r="K732"/>
  <c r="M732" s="1"/>
  <c r="O732" s="1"/>
  <c r="Q732" s="1"/>
  <c r="S732" s="1"/>
  <c r="U732" s="1"/>
  <c r="I125" i="6"/>
  <c r="H127"/>
  <c r="A732" i="5"/>
  <c r="H126" i="6" l="1"/>
  <c r="J127"/>
  <c r="L127" s="1"/>
  <c r="N127" s="1"/>
  <c r="P127" s="1"/>
  <c r="R127" s="1"/>
  <c r="T127" s="1"/>
  <c r="I124"/>
  <c r="J731" i="5"/>
  <c r="H731"/>
  <c r="I731" s="1"/>
  <c r="A731"/>
  <c r="H125" i="6" l="1"/>
  <c r="J126"/>
  <c r="L126" s="1"/>
  <c r="N126" s="1"/>
  <c r="P126" s="1"/>
  <c r="R126" s="1"/>
  <c r="T126" s="1"/>
  <c r="K731" i="5"/>
  <c r="M731" s="1"/>
  <c r="O731" s="1"/>
  <c r="Q731" s="1"/>
  <c r="S731" s="1"/>
  <c r="U731" s="1"/>
  <c r="J730"/>
  <c r="H124" i="6" l="1"/>
  <c r="J124" s="1"/>
  <c r="L124" s="1"/>
  <c r="N124" s="1"/>
  <c r="P124" s="1"/>
  <c r="R124" s="1"/>
  <c r="T124" s="1"/>
  <c r="J125"/>
  <c r="L125" s="1"/>
  <c r="N125" s="1"/>
  <c r="P125" s="1"/>
  <c r="R125" s="1"/>
  <c r="T125" s="1"/>
  <c r="G23" i="1" l="1"/>
  <c r="J1740" i="5"/>
  <c r="J1739" s="1"/>
  <c r="J1737"/>
  <c r="J1736" s="1"/>
  <c r="J1734"/>
  <c r="J1728"/>
  <c r="J1727" s="1"/>
  <c r="J1726" s="1"/>
  <c r="J1725" s="1"/>
  <c r="J1722"/>
  <c r="J1721" s="1"/>
  <c r="J1719"/>
  <c r="J1690"/>
  <c r="J1689" s="1"/>
  <c r="J1688" s="1"/>
  <c r="J1687" s="1"/>
  <c r="J1686" s="1"/>
  <c r="J1665"/>
  <c r="J1664" s="1"/>
  <c r="J1663" s="1"/>
  <c r="J1653"/>
  <c r="J1652" s="1"/>
  <c r="J1651" s="1"/>
  <c r="J1649"/>
  <c r="J1648" s="1"/>
  <c r="J1647" s="1"/>
  <c r="J1645"/>
  <c r="J1644" s="1"/>
  <c r="J1643" s="1"/>
  <c r="J1638"/>
  <c r="J1637" s="1"/>
  <c r="J1635"/>
  <c r="J1634" s="1"/>
  <c r="J1631"/>
  <c r="J1630" s="1"/>
  <c r="J1629" s="1"/>
  <c r="J1625"/>
  <c r="J1624" s="1"/>
  <c r="J1623" s="1"/>
  <c r="J1622" s="1"/>
  <c r="J1621" s="1"/>
  <c r="J1618"/>
  <c r="J1617" s="1"/>
  <c r="J1616" s="1"/>
  <c r="J1615" s="1"/>
  <c r="J1614" s="1"/>
  <c r="J1613" s="1"/>
  <c r="J1607"/>
  <c r="J1606" s="1"/>
  <c r="J1605" s="1"/>
  <c r="J1604" s="1"/>
  <c r="J1603" s="1"/>
  <c r="J1602" s="1"/>
  <c r="J1593"/>
  <c r="J1592" s="1"/>
  <c r="J1590"/>
  <c r="J1589" s="1"/>
  <c r="J1587"/>
  <c r="J1586" s="1"/>
  <c r="J1584"/>
  <c r="J1573"/>
  <c r="J1572" s="1"/>
  <c r="J1570"/>
  <c r="J1569" s="1"/>
  <c r="J1567"/>
  <c r="J1555"/>
  <c r="J1554" s="1"/>
  <c r="J1553" s="1"/>
  <c r="J1552" s="1"/>
  <c r="J1550"/>
  <c r="J1549" s="1"/>
  <c r="J1548" s="1"/>
  <c r="J1547" s="1"/>
  <c r="J1521"/>
  <c r="J1520" s="1"/>
  <c r="J1519" s="1"/>
  <c r="J1518" s="1"/>
  <c r="J1517" s="1"/>
  <c r="J1516" s="1"/>
  <c r="J1514"/>
  <c r="J1513" s="1"/>
  <c r="J1512" s="1"/>
  <c r="J1511" s="1"/>
  <c r="J1509"/>
  <c r="J1508" s="1"/>
  <c r="J1507" s="1"/>
  <c r="J1506" s="1"/>
  <c r="J1498"/>
  <c r="J1497" s="1"/>
  <c r="J1496" s="1"/>
  <c r="J1495" s="1"/>
  <c r="J1493"/>
  <c r="J1492" s="1"/>
  <c r="J1491" s="1"/>
  <c r="J1489"/>
  <c r="J1488" s="1"/>
  <c r="J1487" s="1"/>
  <c r="J1481"/>
  <c r="J1480" s="1"/>
  <c r="J1478"/>
  <c r="J1475"/>
  <c r="J1474" s="1"/>
  <c r="J1472"/>
  <c r="J1463"/>
  <c r="J1460"/>
  <c r="J1454"/>
  <c r="J1453" s="1"/>
  <c r="J1451"/>
  <c r="J1450" s="1"/>
  <c r="J1448"/>
  <c r="J1436"/>
  <c r="J1435" s="1"/>
  <c r="J1431" s="1"/>
  <c r="J1426"/>
  <c r="J1423"/>
  <c r="J1419"/>
  <c r="J1418" s="1"/>
  <c r="J1417" s="1"/>
  <c r="J1411"/>
  <c r="J1410" s="1"/>
  <c r="J1409" s="1"/>
  <c r="J1404"/>
  <c r="J1403" s="1"/>
  <c r="J1399" s="1"/>
  <c r="J1397"/>
  <c r="J1396" s="1"/>
  <c r="J1392" s="1"/>
  <c r="J1389"/>
  <c r="J1388" s="1"/>
  <c r="J1384" s="1"/>
  <c r="J1368"/>
  <c r="J1367" s="1"/>
  <c r="J1363" s="1"/>
  <c r="J1362" s="1"/>
  <c r="J1360"/>
  <c r="J1359" s="1"/>
  <c r="J1355" s="1"/>
  <c r="J1354" s="1"/>
  <c r="J1352"/>
  <c r="J1351" s="1"/>
  <c r="J1347" s="1"/>
  <c r="J1346" s="1"/>
  <c r="J1344"/>
  <c r="J1343" s="1"/>
  <c r="J1339" s="1"/>
  <c r="J1338" s="1"/>
  <c r="J1334"/>
  <c r="J1333" s="1"/>
  <c r="J1332" s="1"/>
  <c r="J1331" s="1"/>
  <c r="J1330" s="1"/>
  <c r="J1326"/>
  <c r="J1325" s="1"/>
  <c r="J1324" s="1"/>
  <c r="J1319" s="1"/>
  <c r="J1318" s="1"/>
  <c r="G55" i="1" s="1"/>
  <c r="J1315" i="5"/>
  <c r="J1314" s="1"/>
  <c r="J1313" s="1"/>
  <c r="J1311"/>
  <c r="J1310" s="1"/>
  <c r="J1309" s="1"/>
  <c r="J1305"/>
  <c r="J1304" s="1"/>
  <c r="J1303" s="1"/>
  <c r="J1301"/>
  <c r="J1300" s="1"/>
  <c r="J1299" s="1"/>
  <c r="J1286"/>
  <c r="J1285" s="1"/>
  <c r="J1283"/>
  <c r="J1277"/>
  <c r="J1276" s="1"/>
  <c r="J1275" s="1"/>
  <c r="J1274" s="1"/>
  <c r="J1266"/>
  <c r="J1265" s="1"/>
  <c r="J1264" s="1"/>
  <c r="J1263" s="1"/>
  <c r="J1254"/>
  <c r="J1250"/>
  <c r="J1248"/>
  <c r="J1245"/>
  <c r="J1244" s="1"/>
  <c r="J1241"/>
  <c r="J1239"/>
  <c r="J1235"/>
  <c r="J1234" s="1"/>
  <c r="J1233" s="1"/>
  <c r="J1228"/>
  <c r="J1226"/>
  <c r="J1222"/>
  <c r="J1220"/>
  <c r="J1215"/>
  <c r="J1213"/>
  <c r="J1202"/>
  <c r="J1200"/>
  <c r="J1188"/>
  <c r="J1187" s="1"/>
  <c r="J1185"/>
  <c r="J1184" s="1"/>
  <c r="J1182"/>
  <c r="J1171"/>
  <c r="J1169"/>
  <c r="J1153"/>
  <c r="J1151"/>
  <c r="J1147"/>
  <c r="J1146" s="1"/>
  <c r="J1145" s="1"/>
  <c r="J1141"/>
  <c r="J1140" s="1"/>
  <c r="J1139" s="1"/>
  <c r="J1137"/>
  <c r="J1136" s="1"/>
  <c r="J1135" s="1"/>
  <c r="J1133"/>
  <c r="J1132" s="1"/>
  <c r="J1129"/>
  <c r="J1128" s="1"/>
  <c r="J1127" s="1"/>
  <c r="J1124"/>
  <c r="J1123" s="1"/>
  <c r="J1122" s="1"/>
  <c r="J1121" s="1"/>
  <c r="J1119"/>
  <c r="J1118" s="1"/>
  <c r="J1117" s="1"/>
  <c r="J1115"/>
  <c r="J1114" s="1"/>
  <c r="J1113" s="1"/>
  <c r="J1111"/>
  <c r="J1110" s="1"/>
  <c r="J1109" s="1"/>
  <c r="J1106"/>
  <c r="J1104"/>
  <c r="J1100"/>
  <c r="J1099" s="1"/>
  <c r="J1098" s="1"/>
  <c r="J1095"/>
  <c r="J1094" s="1"/>
  <c r="J1093" s="1"/>
  <c r="J1091"/>
  <c r="J1090" s="1"/>
  <c r="J1089" s="1"/>
  <c r="J1086"/>
  <c r="J1085" s="1"/>
  <c r="J1084" s="1"/>
  <c r="J1082"/>
  <c r="J1081" s="1"/>
  <c r="J1080" s="1"/>
  <c r="J1073"/>
  <c r="J1072" s="1"/>
  <c r="J1071" s="1"/>
  <c r="J1069"/>
  <c r="J1068" s="1"/>
  <c r="J1067" s="1"/>
  <c r="J1064"/>
  <c r="J1063" s="1"/>
  <c r="J1062" s="1"/>
  <c r="J1061" s="1"/>
  <c r="J1051"/>
  <c r="J1050" s="1"/>
  <c r="J1049" s="1"/>
  <c r="J1048" s="1"/>
  <c r="J1046"/>
  <c r="J1045" s="1"/>
  <c r="J1044" s="1"/>
  <c r="J1043" s="1"/>
  <c r="J1037"/>
  <c r="J1035"/>
  <c r="J1026"/>
  <c r="J1025" s="1"/>
  <c r="J1024" s="1"/>
  <c r="J1022"/>
  <c r="J1021" s="1"/>
  <c r="J1020" s="1"/>
  <c r="J1013"/>
  <c r="J1012" s="1"/>
  <c r="J1011" s="1"/>
  <c r="J1009"/>
  <c r="J1008" s="1"/>
  <c r="J1007" s="1"/>
  <c r="J1005"/>
  <c r="J1004" s="1"/>
  <c r="J1003" s="1"/>
  <c r="J1001"/>
  <c r="J1000" s="1"/>
  <c r="J999" s="1"/>
  <c r="J992"/>
  <c r="J991" s="1"/>
  <c r="J990" s="1"/>
  <c r="J988"/>
  <c r="J987" s="1"/>
  <c r="J986" s="1"/>
  <c r="J984"/>
  <c r="J983" s="1"/>
  <c r="J982" s="1"/>
  <c r="J975"/>
  <c r="J974" s="1"/>
  <c r="J970" s="1"/>
  <c r="J969" s="1"/>
  <c r="J964"/>
  <c r="J963" s="1"/>
  <c r="J962" s="1"/>
  <c r="J960"/>
  <c r="J959" s="1"/>
  <c r="J958" s="1"/>
  <c r="J945"/>
  <c r="J944" s="1"/>
  <c r="J943" s="1"/>
  <c r="J942" s="1"/>
  <c r="J941" s="1"/>
  <c r="J928"/>
  <c r="J927" s="1"/>
  <c r="J926" s="1"/>
  <c r="J921" s="1"/>
  <c r="J920" s="1"/>
  <c r="J919" s="1"/>
  <c r="J916"/>
  <c r="J915" s="1"/>
  <c r="J913"/>
  <c r="J906"/>
  <c r="J905" s="1"/>
  <c r="J904" s="1"/>
  <c r="J903" s="1"/>
  <c r="J902" s="1"/>
  <c r="J901" s="1"/>
  <c r="J900" s="1"/>
  <c r="J898"/>
  <c r="J890"/>
  <c r="J889" s="1"/>
  <c r="J888" s="1"/>
  <c r="J887" s="1"/>
  <c r="J886" s="1"/>
  <c r="J885" s="1"/>
  <c r="J884" s="1"/>
  <c r="J882"/>
  <c r="J881" s="1"/>
  <c r="J880" s="1"/>
  <c r="J879" s="1"/>
  <c r="J878" s="1"/>
  <c r="J877" s="1"/>
  <c r="G25" i="1" s="1"/>
  <c r="J875" i="5"/>
  <c r="J874" s="1"/>
  <c r="J872"/>
  <c r="J871" s="1"/>
  <c r="J869"/>
  <c r="J868" s="1"/>
  <c r="J866"/>
  <c r="J857"/>
  <c r="J856" s="1"/>
  <c r="J852" s="1"/>
  <c r="J851" s="1"/>
  <c r="J849"/>
  <c r="J848" s="1"/>
  <c r="J847" s="1"/>
  <c r="J846" s="1"/>
  <c r="J845" s="1"/>
  <c r="J843"/>
  <c r="J842" s="1"/>
  <c r="J841" s="1"/>
  <c r="J840" s="1"/>
  <c r="J835"/>
  <c r="J834" s="1"/>
  <c r="J833" s="1"/>
  <c r="J832" s="1"/>
  <c r="J830"/>
  <c r="J829" s="1"/>
  <c r="J828" s="1"/>
  <c r="J827" s="1"/>
  <c r="J826" s="1"/>
  <c r="J824"/>
  <c r="J823" s="1"/>
  <c r="J822" s="1"/>
  <c r="J821" s="1"/>
  <c r="J816"/>
  <c r="J815" s="1"/>
  <c r="J813"/>
  <c r="J806"/>
  <c r="J803"/>
  <c r="J802" s="1"/>
  <c r="J801" s="1"/>
  <c r="J797"/>
  <c r="J796" s="1"/>
  <c r="J795" s="1"/>
  <c r="J794" s="1"/>
  <c r="J793" s="1"/>
  <c r="J791"/>
  <c r="J790" s="1"/>
  <c r="J787"/>
  <c r="J786" s="1"/>
  <c r="J784"/>
  <c r="J783" s="1"/>
  <c r="J774"/>
  <c r="J772"/>
  <c r="J769"/>
  <c r="J768" s="1"/>
  <c r="J764"/>
  <c r="J763" s="1"/>
  <c r="J762" s="1"/>
  <c r="J760"/>
  <c r="J759" s="1"/>
  <c r="J758" s="1"/>
  <c r="J755"/>
  <c r="J753"/>
  <c r="J750"/>
  <c r="J749" s="1"/>
  <c r="J746"/>
  <c r="J744"/>
  <c r="I191" i="6" s="1"/>
  <c r="J740" i="5"/>
  <c r="J739" s="1"/>
  <c r="J726"/>
  <c r="J725" s="1"/>
  <c r="J724" s="1"/>
  <c r="J722"/>
  <c r="J721" s="1"/>
  <c r="J720" s="1"/>
  <c r="J715"/>
  <c r="J714" s="1"/>
  <c r="J713" s="1"/>
  <c r="J711"/>
  <c r="J710" s="1"/>
  <c r="J709" s="1"/>
  <c r="J700"/>
  <c r="J699" s="1"/>
  <c r="J698" s="1"/>
  <c r="J697" s="1"/>
  <c r="J692" s="1"/>
  <c r="J691" s="1"/>
  <c r="J683"/>
  <c r="J682" s="1"/>
  <c r="J680"/>
  <c r="J679" s="1"/>
  <c r="J675"/>
  <c r="J674" s="1"/>
  <c r="J673" s="1"/>
  <c r="J672" s="1"/>
  <c r="J670"/>
  <c r="J669" s="1"/>
  <c r="J668" s="1"/>
  <c r="J667" s="1"/>
  <c r="J664"/>
  <c r="J663" s="1"/>
  <c r="J662" s="1"/>
  <c r="J660"/>
  <c r="J659" s="1"/>
  <c r="J658" s="1"/>
  <c r="J648"/>
  <c r="J645"/>
  <c r="J640"/>
  <c r="J639" s="1"/>
  <c r="J637"/>
  <c r="J636" s="1"/>
  <c r="J635" s="1"/>
  <c r="J633"/>
  <c r="J631"/>
  <c r="J616"/>
  <c r="J615" s="1"/>
  <c r="J614" s="1"/>
  <c r="J613" s="1"/>
  <c r="J611"/>
  <c r="J610" s="1"/>
  <c r="J609" s="1"/>
  <c r="J608" s="1"/>
  <c r="J599"/>
  <c r="J597"/>
  <c r="J593"/>
  <c r="J591"/>
  <c r="J569"/>
  <c r="J568" s="1"/>
  <c r="J566"/>
  <c r="J565" s="1"/>
  <c r="J563"/>
  <c r="J557"/>
  <c r="J556" s="1"/>
  <c r="J555" s="1"/>
  <c r="J553"/>
  <c r="J552" s="1"/>
  <c r="J551" s="1"/>
  <c r="J545"/>
  <c r="J544" s="1"/>
  <c r="J543" s="1"/>
  <c r="J542" s="1"/>
  <c r="J541" s="1"/>
  <c r="J540" s="1"/>
  <c r="J538"/>
  <c r="J537" s="1"/>
  <c r="J536" s="1"/>
  <c r="J535" s="1"/>
  <c r="J534" s="1"/>
  <c r="J533" s="1"/>
  <c r="J532" s="1"/>
  <c r="J530"/>
  <c r="J529" s="1"/>
  <c r="J528" s="1"/>
  <c r="J527" s="1"/>
  <c r="J526" s="1"/>
  <c r="J524"/>
  <c r="J523" s="1"/>
  <c r="J521"/>
  <c r="J520" s="1"/>
  <c r="J518"/>
  <c r="J511"/>
  <c r="J510" s="1"/>
  <c r="J509" s="1"/>
  <c r="J508" s="1"/>
  <c r="J506"/>
  <c r="J504"/>
  <c r="J503" s="1"/>
  <c r="J493"/>
  <c r="J492" s="1"/>
  <c r="J491" s="1"/>
  <c r="J489"/>
  <c r="J488" s="1"/>
  <c r="J487" s="1"/>
  <c r="J483"/>
  <c r="J482" s="1"/>
  <c r="J481" s="1"/>
  <c r="J480" s="1"/>
  <c r="J479" s="1"/>
  <c r="J475"/>
  <c r="J474" s="1"/>
  <c r="J473" s="1"/>
  <c r="J472" s="1"/>
  <c r="J471" s="1"/>
  <c r="J468"/>
  <c r="J465"/>
  <c r="J464" s="1"/>
  <c r="J463" s="1"/>
  <c r="J462" s="1"/>
  <c r="J459"/>
  <c r="J458" s="1"/>
  <c r="J457" s="1"/>
  <c r="J456" s="1"/>
  <c r="J454"/>
  <c r="J453" s="1"/>
  <c r="J452" s="1"/>
  <c r="J450"/>
  <c r="J449" s="1"/>
  <c r="J446"/>
  <c r="J445" s="1"/>
  <c r="J443"/>
  <c r="J428"/>
  <c r="J427" s="1"/>
  <c r="J426" s="1"/>
  <c r="J425" s="1"/>
  <c r="J424" s="1"/>
  <c r="J421"/>
  <c r="J420" s="1"/>
  <c r="J419" s="1"/>
  <c r="J418" s="1"/>
  <c r="J417" s="1"/>
  <c r="J416" s="1"/>
  <c r="J415" s="1"/>
  <c r="J412"/>
  <c r="J411" s="1"/>
  <c r="J409"/>
  <c r="J408" s="1"/>
  <c r="J399"/>
  <c r="J390"/>
  <c r="J389" s="1"/>
  <c r="J388" s="1"/>
  <c r="J377" s="1"/>
  <c r="J367"/>
  <c r="J366" s="1"/>
  <c r="J365" s="1"/>
  <c r="J364" s="1"/>
  <c r="J362"/>
  <c r="J361" s="1"/>
  <c r="J360" s="1"/>
  <c r="J359" s="1"/>
  <c r="J349"/>
  <c r="J348" s="1"/>
  <c r="J347" s="1"/>
  <c r="J346" s="1"/>
  <c r="J344"/>
  <c r="J343" s="1"/>
  <c r="J342" s="1"/>
  <c r="J338"/>
  <c r="J337" s="1"/>
  <c r="J336" s="1"/>
  <c r="J335" s="1"/>
  <c r="J334" s="1"/>
  <c r="G54" i="1" s="1"/>
  <c r="J321" i="5"/>
  <c r="J320" s="1"/>
  <c r="J319" s="1"/>
  <c r="J317"/>
  <c r="J316" s="1"/>
  <c r="J315" s="1"/>
  <c r="J312"/>
  <c r="J311" s="1"/>
  <c r="J310" s="1"/>
  <c r="J308"/>
  <c r="J307" s="1"/>
  <c r="J306" s="1"/>
  <c r="J301"/>
  <c r="J300" s="1"/>
  <c r="J299" s="1"/>
  <c r="J298" s="1"/>
  <c r="J296"/>
  <c r="J295" s="1"/>
  <c r="J293"/>
  <c r="J292" s="1"/>
  <c r="J290"/>
  <c r="J289" s="1"/>
  <c r="J283"/>
  <c r="J282" s="1"/>
  <c r="J280"/>
  <c r="J279" s="1"/>
  <c r="J275"/>
  <c r="J274" s="1"/>
  <c r="J273" s="1"/>
  <c r="J271"/>
  <c r="J270" s="1"/>
  <c r="J269" s="1"/>
  <c r="J265"/>
  <c r="J264" s="1"/>
  <c r="J263" s="1"/>
  <c r="J262" s="1"/>
  <c r="J260"/>
  <c r="J259" s="1"/>
  <c r="J258" s="1"/>
  <c r="J257" s="1"/>
  <c r="J253"/>
  <c r="J252" s="1"/>
  <c r="J251" s="1"/>
  <c r="J249"/>
  <c r="J248" s="1"/>
  <c r="J247" s="1"/>
  <c r="J238"/>
  <c r="J237" s="1"/>
  <c r="J236" s="1"/>
  <c r="J235" s="1"/>
  <c r="J234" s="1"/>
  <c r="G30" i="1" s="1"/>
  <c r="J231" i="5"/>
  <c r="J230" s="1"/>
  <c r="J228"/>
  <c r="J227" s="1"/>
  <c r="J225"/>
  <c r="J213"/>
  <c r="J212" s="1"/>
  <c r="J210"/>
  <c r="J207"/>
  <c r="J206" s="1"/>
  <c r="J204"/>
  <c r="J203" s="1"/>
  <c r="J202" s="1"/>
  <c r="J197"/>
  <c r="J196" s="1"/>
  <c r="J194"/>
  <c r="J190"/>
  <c r="J189" s="1"/>
  <c r="J188" s="1"/>
  <c r="J187" s="1"/>
  <c r="J184"/>
  <c r="J183" s="1"/>
  <c r="J182" s="1"/>
  <c r="J180"/>
  <c r="J179" s="1"/>
  <c r="J178" s="1"/>
  <c r="J169"/>
  <c r="J168" s="1"/>
  <c r="J167" s="1"/>
  <c r="J166" s="1"/>
  <c r="J165" s="1"/>
  <c r="J164" s="1"/>
  <c r="J162"/>
  <c r="J161" s="1"/>
  <c r="J160" s="1"/>
  <c r="J159" s="1"/>
  <c r="J158" s="1"/>
  <c r="J156"/>
  <c r="J155" s="1"/>
  <c r="J154" s="1"/>
  <c r="J152"/>
  <c r="J151" s="1"/>
  <c r="J150" s="1"/>
  <c r="J148"/>
  <c r="J147" s="1"/>
  <c r="J146" s="1"/>
  <c r="J144"/>
  <c r="J143" s="1"/>
  <c r="J142" s="1"/>
  <c r="J134"/>
  <c r="J133" s="1"/>
  <c r="J132" s="1"/>
  <c r="J131" s="1"/>
  <c r="J129"/>
  <c r="J128" s="1"/>
  <c r="J127" s="1"/>
  <c r="J126" s="1"/>
  <c r="J123"/>
  <c r="J122" s="1"/>
  <c r="J120"/>
  <c r="J119" s="1"/>
  <c r="J117"/>
  <c r="J107"/>
  <c r="J106" s="1"/>
  <c r="J105" s="1"/>
  <c r="J103"/>
  <c r="J100" s="1"/>
  <c r="J98"/>
  <c r="J97" s="1"/>
  <c r="J93"/>
  <c r="J92" s="1"/>
  <c r="J91" s="1"/>
  <c r="J90" s="1"/>
  <c r="J88"/>
  <c r="J87" s="1"/>
  <c r="J85"/>
  <c r="J75"/>
  <c r="J74" s="1"/>
  <c r="J63"/>
  <c r="J62" s="1"/>
  <c r="J54"/>
  <c r="J53" s="1"/>
  <c r="J52" s="1"/>
  <c r="J49"/>
  <c r="J47"/>
  <c r="J46" s="1"/>
  <c r="J44"/>
  <c r="J41"/>
  <c r="J40" s="1"/>
  <c r="J38"/>
  <c r="J37" s="1"/>
  <c r="J35"/>
  <c r="J28"/>
  <c r="J27" s="1"/>
  <c r="J26" s="1"/>
  <c r="J25" s="1"/>
  <c r="J24" s="1"/>
  <c r="J23" s="1"/>
  <c r="G20" i="1" s="1"/>
  <c r="I1811" i="6"/>
  <c r="I1810" s="1"/>
  <c r="I1809" s="1"/>
  <c r="I1808" s="1"/>
  <c r="I1807" s="1"/>
  <c r="I1806"/>
  <c r="I1805" s="1"/>
  <c r="I1804" s="1"/>
  <c r="I1803" s="1"/>
  <c r="I1802" s="1"/>
  <c r="I1801" s="1"/>
  <c r="I1795"/>
  <c r="I1794" s="1"/>
  <c r="I1793" s="1"/>
  <c r="I1792" s="1"/>
  <c r="I1791" s="1"/>
  <c r="I1790"/>
  <c r="I1789" s="1"/>
  <c r="I1788" s="1"/>
  <c r="I1787" s="1"/>
  <c r="I1786" s="1"/>
  <c r="I1785"/>
  <c r="I1784" s="1"/>
  <c r="I1783" s="1"/>
  <c r="I1782" s="1"/>
  <c r="I1781" s="1"/>
  <c r="I1780"/>
  <c r="I1779" s="1"/>
  <c r="I1778" s="1"/>
  <c r="I1777"/>
  <c r="I1776" s="1"/>
  <c r="I1772"/>
  <c r="I1771" s="1"/>
  <c r="I1770" s="1"/>
  <c r="I1769"/>
  <c r="I1768" s="1"/>
  <c r="I1757"/>
  <c r="I1756" s="1"/>
  <c r="I1755" s="1"/>
  <c r="I1754" s="1"/>
  <c r="I1753" s="1"/>
  <c r="I1752"/>
  <c r="I1751" s="1"/>
  <c r="I1750" s="1"/>
  <c r="I1749" s="1"/>
  <c r="I1748" s="1"/>
  <c r="I1747"/>
  <c r="I1746" s="1"/>
  <c r="I1745" s="1"/>
  <c r="I1744"/>
  <c r="I1743" s="1"/>
  <c r="I1739"/>
  <c r="I1738" s="1"/>
  <c r="I1737" s="1"/>
  <c r="I1736"/>
  <c r="I1735" s="1"/>
  <c r="I1725"/>
  <c r="I1724" s="1"/>
  <c r="I1723" s="1"/>
  <c r="I1722"/>
  <c r="I1721" s="1"/>
  <c r="I1717"/>
  <c r="I1716" s="1"/>
  <c r="I1715" s="1"/>
  <c r="I1714"/>
  <c r="I1713" s="1"/>
  <c r="I1668"/>
  <c r="I1658"/>
  <c r="I1657" s="1"/>
  <c r="I1656" s="1"/>
  <c r="I1655" s="1"/>
  <c r="I1654" s="1"/>
  <c r="I1653" s="1"/>
  <c r="I1677"/>
  <c r="I1676" s="1"/>
  <c r="I1675" s="1"/>
  <c r="I1674" s="1"/>
  <c r="I1673" s="1"/>
  <c r="I1672" s="1"/>
  <c r="I1646"/>
  <c r="I1645" s="1"/>
  <c r="I1644" s="1"/>
  <c r="I1643" s="1"/>
  <c r="I1642" s="1"/>
  <c r="I1641" s="1"/>
  <c r="I1628"/>
  <c r="I1627" s="1"/>
  <c r="I1626" s="1"/>
  <c r="I1625" s="1"/>
  <c r="I1624" s="1"/>
  <c r="I1623" s="1"/>
  <c r="I1622" s="1"/>
  <c r="I1621"/>
  <c r="I1620" s="1"/>
  <c r="I1619" s="1"/>
  <c r="I1618" s="1"/>
  <c r="I1617" s="1"/>
  <c r="I1616"/>
  <c r="I1615" s="1"/>
  <c r="I1614" s="1"/>
  <c r="I1613" s="1"/>
  <c r="I1612" s="1"/>
  <c r="I1611"/>
  <c r="I1610" s="1"/>
  <c r="I1609" s="1"/>
  <c r="I1608"/>
  <c r="I1607" s="1"/>
  <c r="I1604"/>
  <c r="I1603" s="1"/>
  <c r="I1602" s="1"/>
  <c r="I1601"/>
  <c r="I1600" s="1"/>
  <c r="I1597"/>
  <c r="I1596" s="1"/>
  <c r="I1595" s="1"/>
  <c r="I1594"/>
  <c r="I1593" s="1"/>
  <c r="I1592" s="1"/>
  <c r="I1591"/>
  <c r="I1590" s="1"/>
  <c r="I1587"/>
  <c r="I1586" s="1"/>
  <c r="I1585" s="1"/>
  <c r="I1584"/>
  <c r="I1583" s="1"/>
  <c r="I1580"/>
  <c r="I1579" s="1"/>
  <c r="I1578" s="1"/>
  <c r="I1577"/>
  <c r="I1576" s="1"/>
  <c r="I1575" s="1"/>
  <c r="I1574"/>
  <c r="I1573" s="1"/>
  <c r="I1570"/>
  <c r="I1569" s="1"/>
  <c r="I1568" s="1"/>
  <c r="I1567"/>
  <c r="I1566" s="1"/>
  <c r="I1565" s="1"/>
  <c r="I1564"/>
  <c r="I1563" s="1"/>
  <c r="I1560"/>
  <c r="I1558" s="1"/>
  <c r="I1557" s="1"/>
  <c r="I1556"/>
  <c r="I1555" s="1"/>
  <c r="I1554" s="1"/>
  <c r="I1553"/>
  <c r="I1552" s="1"/>
  <c r="I1548"/>
  <c r="I1547" s="1"/>
  <c r="I1545"/>
  <c r="I1544" s="1"/>
  <c r="I1542"/>
  <c r="I1540"/>
  <c r="I1539" s="1"/>
  <c r="I1538" s="1"/>
  <c r="I1537"/>
  <c r="I1536" s="1"/>
  <c r="I1535" s="1"/>
  <c r="I1534"/>
  <c r="I1533" s="1"/>
  <c r="I1531"/>
  <c r="I1529" s="1"/>
  <c r="I1528" s="1"/>
  <c r="I1527"/>
  <c r="I1526" s="1"/>
  <c r="I1525" s="1"/>
  <c r="I1524"/>
  <c r="I1523" s="1"/>
  <c r="I1519"/>
  <c r="I1518" s="1"/>
  <c r="I1517" s="1"/>
  <c r="I1516" s="1"/>
  <c r="I1515" s="1"/>
  <c r="I1504"/>
  <c r="I1503" s="1"/>
  <c r="I1502" s="1"/>
  <c r="I1501" s="1"/>
  <c r="I1500" s="1"/>
  <c r="I1499" s="1"/>
  <c r="I1498" s="1"/>
  <c r="I1497"/>
  <c r="I1496" s="1"/>
  <c r="I1495" s="1"/>
  <c r="I1494" s="1"/>
  <c r="I1493" s="1"/>
  <c r="I1492" s="1"/>
  <c r="I1491"/>
  <c r="I1490" s="1"/>
  <c r="I1489" s="1"/>
  <c r="I1488" s="1"/>
  <c r="I1487"/>
  <c r="I1486" s="1"/>
  <c r="I1485" s="1"/>
  <c r="I1484"/>
  <c r="I1483" s="1"/>
  <c r="I1482" s="1"/>
  <c r="I1481"/>
  <c r="I1480" s="1"/>
  <c r="I1477"/>
  <c r="I1476" s="1"/>
  <c r="I1475" s="1"/>
  <c r="I1474" s="1"/>
  <c r="I1473" s="1"/>
  <c r="I1471"/>
  <c r="I1470" s="1"/>
  <c r="I1469" s="1"/>
  <c r="I1468" s="1"/>
  <c r="I1467" s="1"/>
  <c r="I1466" s="1"/>
  <c r="I1463"/>
  <c r="I1462" s="1"/>
  <c r="I1461" s="1"/>
  <c r="I1460" s="1"/>
  <c r="I1459" s="1"/>
  <c r="I1458" s="1"/>
  <c r="I1457"/>
  <c r="I1456"/>
  <c r="I1453"/>
  <c r="I1452" s="1"/>
  <c r="I1451" s="1"/>
  <c r="I1450"/>
  <c r="I1449" s="1"/>
  <c r="I1445"/>
  <c r="I1444" s="1"/>
  <c r="I1443" s="1"/>
  <c r="I1442" s="1"/>
  <c r="I1441" s="1"/>
  <c r="I1440" s="1"/>
  <c r="I1439"/>
  <c r="I1438" s="1"/>
  <c r="I1437" s="1"/>
  <c r="I1436" s="1"/>
  <c r="I1435" s="1"/>
  <c r="I1434" s="1"/>
  <c r="I1433"/>
  <c r="I1432" s="1"/>
  <c r="I1431" s="1"/>
  <c r="I1430" s="1"/>
  <c r="I1429" s="1"/>
  <c r="I1428"/>
  <c r="I1427" s="1"/>
  <c r="I1426" s="1"/>
  <c r="I1425" s="1"/>
  <c r="I1424" s="1"/>
  <c r="I1422"/>
  <c r="I1421" s="1"/>
  <c r="I1420" s="1"/>
  <c r="I1419" s="1"/>
  <c r="I1418" s="1"/>
  <c r="I1417" s="1"/>
  <c r="I1409"/>
  <c r="I1408"/>
  <c r="I1402"/>
  <c r="I1401" s="1"/>
  <c r="I1400" s="1"/>
  <c r="I1399" s="1"/>
  <c r="I1398" s="1"/>
  <c r="I1397" s="1"/>
  <c r="I1395"/>
  <c r="I1394" s="1"/>
  <c r="I1393" s="1"/>
  <c r="I1392" s="1"/>
  <c r="I1391" s="1"/>
  <c r="I1390"/>
  <c r="I1389" s="1"/>
  <c r="I1388" s="1"/>
  <c r="I1387" s="1"/>
  <c r="I1386" s="1"/>
  <c r="I1385" s="1"/>
  <c r="I1383"/>
  <c r="I1382"/>
  <c r="I1379"/>
  <c r="I1378" s="1"/>
  <c r="I1377" s="1"/>
  <c r="I1376"/>
  <c r="I1375" s="1"/>
  <c r="I1371"/>
  <c r="I1370" s="1"/>
  <c r="I1369" s="1"/>
  <c r="I1368" s="1"/>
  <c r="I1367" s="1"/>
  <c r="I1366" s="1"/>
  <c r="I1363"/>
  <c r="I1362"/>
  <c r="I1356"/>
  <c r="I1355" s="1"/>
  <c r="I1354" s="1"/>
  <c r="I1353"/>
  <c r="I1352" s="1"/>
  <c r="I1348"/>
  <c r="I1347" s="1"/>
  <c r="I1346" s="1"/>
  <c r="I1345" s="1"/>
  <c r="I1344" s="1"/>
  <c r="I1343"/>
  <c r="I1342" s="1"/>
  <c r="I1341" s="1"/>
  <c r="I1340" s="1"/>
  <c r="I1339" s="1"/>
  <c r="I1338" s="1"/>
  <c r="I1334"/>
  <c r="I1333" s="1"/>
  <c r="I1332" s="1"/>
  <c r="I1331"/>
  <c r="I1330" s="1"/>
  <c r="I1325"/>
  <c r="I1324" s="1"/>
  <c r="I1323"/>
  <c r="I1322" s="1"/>
  <c r="I1299"/>
  <c r="I1298" s="1"/>
  <c r="I1297"/>
  <c r="I1296" s="1"/>
  <c r="I1292"/>
  <c r="I1291" s="1"/>
  <c r="I1290"/>
  <c r="I1289" s="1"/>
  <c r="I1279"/>
  <c r="I1278" s="1"/>
  <c r="I1277" s="1"/>
  <c r="I1276" s="1"/>
  <c r="I1275" s="1"/>
  <c r="I1274"/>
  <c r="I1273" s="1"/>
  <c r="I1272"/>
  <c r="I1271" s="1"/>
  <c r="I1269"/>
  <c r="I1268" s="1"/>
  <c r="I1267" s="1"/>
  <c r="I1264"/>
  <c r="I1263" s="1"/>
  <c r="I1262" s="1"/>
  <c r="I1261" s="1"/>
  <c r="I1260" s="1"/>
  <c r="I1238"/>
  <c r="I1237"/>
  <c r="I1234"/>
  <c r="I1233" s="1"/>
  <c r="I1232" s="1"/>
  <c r="I1231"/>
  <c r="I1230" s="1"/>
  <c r="I1221"/>
  <c r="I1220" s="1"/>
  <c r="I1219" s="1"/>
  <c r="I1218" s="1"/>
  <c r="I1217"/>
  <c r="I1216" s="1"/>
  <c r="I1215" s="1"/>
  <c r="I1214" s="1"/>
  <c r="I1202"/>
  <c r="I1201" s="1"/>
  <c r="I1200" s="1"/>
  <c r="I1199" s="1"/>
  <c r="I1198" s="1"/>
  <c r="I1154"/>
  <c r="I1153" s="1"/>
  <c r="I1152" s="1"/>
  <c r="I1151" s="1"/>
  <c r="I1150" s="1"/>
  <c r="I1149" s="1"/>
  <c r="I1148"/>
  <c r="I1147" s="1"/>
  <c r="I1146" s="1"/>
  <c r="I1145" s="1"/>
  <c r="I1144" s="1"/>
  <c r="I1143" s="1"/>
  <c r="I1142"/>
  <c r="I1141" s="1"/>
  <c r="I1140" s="1"/>
  <c r="I1139" s="1"/>
  <c r="I1138" s="1"/>
  <c r="I1137" s="1"/>
  <c r="I1136"/>
  <c r="I1135" s="1"/>
  <c r="I1134" s="1"/>
  <c r="I1133" s="1"/>
  <c r="I1132" s="1"/>
  <c r="I1126"/>
  <c r="I1125" s="1"/>
  <c r="I1124" s="1"/>
  <c r="I1123" s="1"/>
  <c r="I1122" s="1"/>
  <c r="I1121"/>
  <c r="I1120" s="1"/>
  <c r="I1119" s="1"/>
  <c r="I1118" s="1"/>
  <c r="I1117" s="1"/>
  <c r="I1108"/>
  <c r="I1107" s="1"/>
  <c r="I1106" s="1"/>
  <c r="I1105" s="1"/>
  <c r="I1104" s="1"/>
  <c r="I1100"/>
  <c r="I1099" s="1"/>
  <c r="I1098" s="1"/>
  <c r="I1097" s="1"/>
  <c r="I1096" s="1"/>
  <c r="I1095" s="1"/>
  <c r="I1094"/>
  <c r="I1093" s="1"/>
  <c r="I1092" s="1"/>
  <c r="I1091" s="1"/>
  <c r="I1090" s="1"/>
  <c r="I1089" s="1"/>
  <c r="I1088"/>
  <c r="I1087" s="1"/>
  <c r="I1086" s="1"/>
  <c r="I1085" s="1"/>
  <c r="I1084" s="1"/>
  <c r="I1082"/>
  <c r="I1081" s="1"/>
  <c r="I1080" s="1"/>
  <c r="I1079" s="1"/>
  <c r="I1070"/>
  <c r="I1069" s="1"/>
  <c r="I1068" s="1"/>
  <c r="I1067" s="1"/>
  <c r="I1066" s="1"/>
  <c r="I1065" s="1"/>
  <c r="I1064"/>
  <c r="I1063" s="1"/>
  <c r="I1062" s="1"/>
  <c r="I1061" s="1"/>
  <c r="I1060" s="1"/>
  <c r="I1059" s="1"/>
  <c r="I1057"/>
  <c r="I1056" s="1"/>
  <c r="I1055" s="1"/>
  <c r="I1054" s="1"/>
  <c r="I1053" s="1"/>
  <c r="I1052" s="1"/>
  <c r="I1051"/>
  <c r="I1050" s="1"/>
  <c r="I1049" s="1"/>
  <c r="I1048" s="1"/>
  <c r="I1047" s="1"/>
  <c r="I1046" s="1"/>
  <c r="I1045"/>
  <c r="I1044" s="1"/>
  <c r="I1043" s="1"/>
  <c r="I1042" s="1"/>
  <c r="I1041" s="1"/>
  <c r="I1040"/>
  <c r="I1039" s="1"/>
  <c r="I1038" s="1"/>
  <c r="I1037" s="1"/>
  <c r="I1036" s="1"/>
  <c r="I1034"/>
  <c r="I1033" s="1"/>
  <c r="I1032" s="1"/>
  <c r="I1031"/>
  <c r="I1030"/>
  <c r="I1027"/>
  <c r="I1026" s="1"/>
  <c r="I1022"/>
  <c r="I1021" s="1"/>
  <c r="I1020"/>
  <c r="I1019" s="1"/>
  <c r="I1018" s="1"/>
  <c r="I1012"/>
  <c r="I1011" s="1"/>
  <c r="I1010" s="1"/>
  <c r="I1009" s="1"/>
  <c r="I1008" s="1"/>
  <c r="I1007" s="1"/>
  <c r="I1006"/>
  <c r="I1005" s="1"/>
  <c r="I1004" s="1"/>
  <c r="I1003" s="1"/>
  <c r="I1002" s="1"/>
  <c r="I1001" s="1"/>
  <c r="I994"/>
  <c r="I993" s="1"/>
  <c r="I992" s="1"/>
  <c r="I991" s="1"/>
  <c r="I990" s="1"/>
  <c r="I989" s="1"/>
  <c r="I988" s="1"/>
  <c r="I987"/>
  <c r="I986" s="1"/>
  <c r="I985" s="1"/>
  <c r="I984" s="1"/>
  <c r="I983" s="1"/>
  <c r="I982" s="1"/>
  <c r="I981" s="1"/>
  <c r="I980" s="1"/>
  <c r="I979"/>
  <c r="I978" s="1"/>
  <c r="I977" s="1"/>
  <c r="I976" s="1"/>
  <c r="I975" s="1"/>
  <c r="I974" s="1"/>
  <c r="I973" s="1"/>
  <c r="I972"/>
  <c r="I971" s="1"/>
  <c r="I970" s="1"/>
  <c r="I969" s="1"/>
  <c r="I968" s="1"/>
  <c r="I967" s="1"/>
  <c r="I960"/>
  <c r="I959" s="1"/>
  <c r="I958" s="1"/>
  <c r="I957" s="1"/>
  <c r="I956" s="1"/>
  <c r="I955" s="1"/>
  <c r="I953"/>
  <c r="I952" s="1"/>
  <c r="I951" s="1"/>
  <c r="I950" s="1"/>
  <c r="I949" s="1"/>
  <c r="I948" s="1"/>
  <c r="I945"/>
  <c r="I944" s="1"/>
  <c r="I943" s="1"/>
  <c r="I939" s="1"/>
  <c r="I938" s="1"/>
  <c r="I937" s="1"/>
  <c r="I933"/>
  <c r="I930"/>
  <c r="I927"/>
  <c r="I926"/>
  <c r="I922"/>
  <c r="I921"/>
  <c r="I911"/>
  <c r="I910" s="1"/>
  <c r="I909" s="1"/>
  <c r="I908" s="1"/>
  <c r="I907" s="1"/>
  <c r="I905"/>
  <c r="I904" s="1"/>
  <c r="I903" s="1"/>
  <c r="I901"/>
  <c r="I900" s="1"/>
  <c r="I899" s="1"/>
  <c r="I895"/>
  <c r="I894" s="1"/>
  <c r="I893" s="1"/>
  <c r="I889" s="1"/>
  <c r="I888" s="1"/>
  <c r="I887" s="1"/>
  <c r="I886"/>
  <c r="I885" s="1"/>
  <c r="I884" s="1"/>
  <c r="I883" s="1"/>
  <c r="I882" s="1"/>
  <c r="I881" s="1"/>
  <c r="I867"/>
  <c r="I866" s="1"/>
  <c r="I865" s="1"/>
  <c r="I861"/>
  <c r="I860" s="1"/>
  <c r="I859" s="1"/>
  <c r="I858" s="1"/>
  <c r="I857" s="1"/>
  <c r="I856" s="1"/>
  <c r="I855"/>
  <c r="I854"/>
  <c r="I821"/>
  <c r="I820" s="1"/>
  <c r="I819" s="1"/>
  <c r="I815" s="1"/>
  <c r="I814" s="1"/>
  <c r="I813" s="1"/>
  <c r="I812" s="1"/>
  <c r="I807"/>
  <c r="I806" s="1"/>
  <c r="I805" s="1"/>
  <c r="I801" s="1"/>
  <c r="I800" s="1"/>
  <c r="I799" s="1"/>
  <c r="I798" s="1"/>
  <c r="I797"/>
  <c r="I796" s="1"/>
  <c r="I795" s="1"/>
  <c r="I791" s="1"/>
  <c r="I790" s="1"/>
  <c r="I789" s="1"/>
  <c r="I788" s="1"/>
  <c r="I787"/>
  <c r="I786" s="1"/>
  <c r="I785" s="1"/>
  <c r="I781" s="1"/>
  <c r="I780" s="1"/>
  <c r="I779" s="1"/>
  <c r="I778" s="1"/>
  <c r="I771"/>
  <c r="I770" s="1"/>
  <c r="I769" s="1"/>
  <c r="I768" s="1"/>
  <c r="I767" s="1"/>
  <c r="I766" s="1"/>
  <c r="I765"/>
  <c r="I764" s="1"/>
  <c r="I763" s="1"/>
  <c r="I762" s="1"/>
  <c r="I761" s="1"/>
  <c r="I760" s="1"/>
  <c r="I758"/>
  <c r="I757" s="1"/>
  <c r="I756" s="1"/>
  <c r="I755" s="1"/>
  <c r="I754" s="1"/>
  <c r="I753" s="1"/>
  <c r="I752"/>
  <c r="I751" s="1"/>
  <c r="I750" s="1"/>
  <c r="I749"/>
  <c r="I748" s="1"/>
  <c r="I747" s="1"/>
  <c r="I746"/>
  <c r="I745" s="1"/>
  <c r="I740"/>
  <c r="I739"/>
  <c r="I733"/>
  <c r="I732" s="1"/>
  <c r="I731" s="1"/>
  <c r="I730" s="1"/>
  <c r="I729" s="1"/>
  <c r="I728" s="1"/>
  <c r="I726"/>
  <c r="I725" s="1"/>
  <c r="I724" s="1"/>
  <c r="I723" s="1"/>
  <c r="I722" s="1"/>
  <c r="I721"/>
  <c r="I720" s="1"/>
  <c r="I719" s="1"/>
  <c r="I718" s="1"/>
  <c r="I717" s="1"/>
  <c r="I710"/>
  <c r="I709" s="1"/>
  <c r="I708" s="1"/>
  <c r="I707" s="1"/>
  <c r="I706" s="1"/>
  <c r="I705"/>
  <c r="I704" s="1"/>
  <c r="I703" s="1"/>
  <c r="I702" s="1"/>
  <c r="I701" s="1"/>
  <c r="I699"/>
  <c r="I698" s="1"/>
  <c r="I697" s="1"/>
  <c r="I696" s="1"/>
  <c r="I695" s="1"/>
  <c r="I694"/>
  <c r="I693" s="1"/>
  <c r="I692" s="1"/>
  <c r="I691" s="1"/>
  <c r="I690" s="1"/>
  <c r="I688"/>
  <c r="I687" s="1"/>
  <c r="I686" s="1"/>
  <c r="I685" s="1"/>
  <c r="I684" s="1"/>
  <c r="I683"/>
  <c r="I682" s="1"/>
  <c r="I681" s="1"/>
  <c r="I680" s="1"/>
  <c r="I679"/>
  <c r="I678" s="1"/>
  <c r="I677" s="1"/>
  <c r="I676" s="1"/>
  <c r="I674"/>
  <c r="I673" s="1"/>
  <c r="I672" s="1"/>
  <c r="I671" s="1"/>
  <c r="I670" s="1"/>
  <c r="I668"/>
  <c r="I667" s="1"/>
  <c r="I666" s="1"/>
  <c r="I665" s="1"/>
  <c r="I664" s="1"/>
  <c r="I663"/>
  <c r="I662" s="1"/>
  <c r="I661" s="1"/>
  <c r="I660" s="1"/>
  <c r="I659" s="1"/>
  <c r="I658"/>
  <c r="I657" s="1"/>
  <c r="I656"/>
  <c r="I655" s="1"/>
  <c r="I653"/>
  <c r="I652" s="1"/>
  <c r="I651" s="1"/>
  <c r="I648"/>
  <c r="I647" s="1"/>
  <c r="I646" s="1"/>
  <c r="I645" s="1"/>
  <c r="I644" s="1"/>
  <c r="I642"/>
  <c r="I641" s="1"/>
  <c r="I640" s="1"/>
  <c r="I639" s="1"/>
  <c r="I638" s="1"/>
  <c r="I637"/>
  <c r="I636" s="1"/>
  <c r="I632"/>
  <c r="I631" s="1"/>
  <c r="I630" s="1"/>
  <c r="I625"/>
  <c r="I624" s="1"/>
  <c r="I623" s="1"/>
  <c r="I622" s="1"/>
  <c r="I621" s="1"/>
  <c r="I620" s="1"/>
  <c r="I619"/>
  <c r="I618" s="1"/>
  <c r="I617" s="1"/>
  <c r="I616" s="1"/>
  <c r="I615" s="1"/>
  <c r="I614" s="1"/>
  <c r="I613"/>
  <c r="I612" s="1"/>
  <c r="I611" s="1"/>
  <c r="I610" s="1"/>
  <c r="I609" s="1"/>
  <c r="I608" s="1"/>
  <c r="I606"/>
  <c r="I605" s="1"/>
  <c r="I604" s="1"/>
  <c r="I603" s="1"/>
  <c r="I602" s="1"/>
  <c r="I601"/>
  <c r="I600" s="1"/>
  <c r="I599" s="1"/>
  <c r="I598" s="1"/>
  <c r="I597" s="1"/>
  <c r="I596"/>
  <c r="I595" s="1"/>
  <c r="I594" s="1"/>
  <c r="I593" s="1"/>
  <c r="I592" s="1"/>
  <c r="I585"/>
  <c r="I584" s="1"/>
  <c r="I583" s="1"/>
  <c r="I582" s="1"/>
  <c r="I581" s="1"/>
  <c r="I580"/>
  <c r="I579" s="1"/>
  <c r="I578" s="1"/>
  <c r="I577" s="1"/>
  <c r="I576" s="1"/>
  <c r="I574"/>
  <c r="I573" s="1"/>
  <c r="I572" s="1"/>
  <c r="I571" s="1"/>
  <c r="I570" s="1"/>
  <c r="I569" s="1"/>
  <c r="I568" s="1"/>
  <c r="I567"/>
  <c r="I566" s="1"/>
  <c r="I565" s="1"/>
  <c r="I564" s="1"/>
  <c r="I563" s="1"/>
  <c r="I562"/>
  <c r="I561" s="1"/>
  <c r="I560" s="1"/>
  <c r="I559" s="1"/>
  <c r="I558" s="1"/>
  <c r="I557" s="1"/>
  <c r="I556"/>
  <c r="I555" s="1"/>
  <c r="I554" s="1"/>
  <c r="I553" s="1"/>
  <c r="I552" s="1"/>
  <c r="I551"/>
  <c r="I550" s="1"/>
  <c r="I549" s="1"/>
  <c r="I548" s="1"/>
  <c r="I547" s="1"/>
  <c r="I545"/>
  <c r="I544" s="1"/>
  <c r="I543" s="1"/>
  <c r="I542" s="1"/>
  <c r="I541" s="1"/>
  <c r="I540" s="1"/>
  <c r="I538"/>
  <c r="I537" s="1"/>
  <c r="I536" s="1"/>
  <c r="I535"/>
  <c r="I534" s="1"/>
  <c r="I526"/>
  <c r="I525" s="1"/>
  <c r="I524" s="1"/>
  <c r="I523"/>
  <c r="I522" s="1"/>
  <c r="I517"/>
  <c r="I516" s="1"/>
  <c r="I515" s="1"/>
  <c r="I514" s="1"/>
  <c r="I513"/>
  <c r="I512"/>
  <c r="I511" s="1"/>
  <c r="I507"/>
  <c r="I506" s="1"/>
  <c r="I505"/>
  <c r="I504" s="1"/>
  <c r="I499"/>
  <c r="I498" s="1"/>
  <c r="I497"/>
  <c r="I496" s="1"/>
  <c r="I494"/>
  <c r="I493" s="1"/>
  <c r="I492" s="1"/>
  <c r="I488"/>
  <c r="I487" s="1"/>
  <c r="I486" s="1"/>
  <c r="I485" s="1"/>
  <c r="I484" s="1"/>
  <c r="I483" s="1"/>
  <c r="I482"/>
  <c r="I481" s="1"/>
  <c r="I480"/>
  <c r="I479" s="1"/>
  <c r="I474"/>
  <c r="I473" s="1"/>
  <c r="I472"/>
  <c r="I471" s="1"/>
  <c r="I466"/>
  <c r="I465" s="1"/>
  <c r="I464" s="1"/>
  <c r="I463" s="1"/>
  <c r="I462" s="1"/>
  <c r="I461" s="1"/>
  <c r="I459"/>
  <c r="I458" s="1"/>
  <c r="I457" s="1"/>
  <c r="I456" s="1"/>
  <c r="I455" s="1"/>
  <c r="I454" s="1"/>
  <c r="I447"/>
  <c r="I446" s="1"/>
  <c r="I445" s="1"/>
  <c r="I444" s="1"/>
  <c r="I443" s="1"/>
  <c r="I442" s="1"/>
  <c r="I435" s="1"/>
  <c r="I434"/>
  <c r="I433" s="1"/>
  <c r="I432" s="1"/>
  <c r="I431" s="1"/>
  <c r="I430" s="1"/>
  <c r="I429" s="1"/>
  <c r="I428" s="1"/>
  <c r="I427"/>
  <c r="I426" s="1"/>
  <c r="I425" s="1"/>
  <c r="I424" s="1"/>
  <c r="I423" s="1"/>
  <c r="I422" s="1"/>
  <c r="I421"/>
  <c r="I420" s="1"/>
  <c r="I419" s="1"/>
  <c r="I418" s="1"/>
  <c r="I417" s="1"/>
  <c r="I416" s="1"/>
  <c r="I415"/>
  <c r="I414" s="1"/>
  <c r="I413" s="1"/>
  <c r="I412" s="1"/>
  <c r="I411" s="1"/>
  <c r="I410" s="1"/>
  <c r="I402"/>
  <c r="I401" s="1"/>
  <c r="I400"/>
  <c r="I399" s="1"/>
  <c r="I394"/>
  <c r="I393" s="1"/>
  <c r="I392"/>
  <c r="I391" s="1"/>
  <c r="I386"/>
  <c r="I385" s="1"/>
  <c r="I384" s="1"/>
  <c r="I383" s="1"/>
  <c r="I382" s="1"/>
  <c r="I381" s="1"/>
  <c r="I373"/>
  <c r="I372" s="1"/>
  <c r="I371" s="1"/>
  <c r="I370" s="1"/>
  <c r="I369" s="1"/>
  <c r="I368" s="1"/>
  <c r="I367"/>
  <c r="I366" s="1"/>
  <c r="I365" s="1"/>
  <c r="I364" s="1"/>
  <c r="I363" s="1"/>
  <c r="I362" s="1"/>
  <c r="I361"/>
  <c r="I360" s="1"/>
  <c r="I359" s="1"/>
  <c r="I358" s="1"/>
  <c r="I357" s="1"/>
  <c r="I356"/>
  <c r="I355" s="1"/>
  <c r="I354" s="1"/>
  <c r="I353" s="1"/>
  <c r="I352" s="1"/>
  <c r="I350"/>
  <c r="I349" s="1"/>
  <c r="I348" s="1"/>
  <c r="I347" s="1"/>
  <c r="I346" s="1"/>
  <c r="I345" s="1"/>
  <c r="I337"/>
  <c r="I336" s="1"/>
  <c r="I335" s="1"/>
  <c r="I334" s="1"/>
  <c r="I333" s="1"/>
  <c r="I332" s="1"/>
  <c r="I331"/>
  <c r="I330" s="1"/>
  <c r="I329" s="1"/>
  <c r="I328" s="1"/>
  <c r="I327" s="1"/>
  <c r="I326" s="1"/>
  <c r="I325"/>
  <c r="I324" s="1"/>
  <c r="I323" s="1"/>
  <c r="I322" s="1"/>
  <c r="I321" s="1"/>
  <c r="I320" s="1"/>
  <c r="I319"/>
  <c r="I318" s="1"/>
  <c r="I317" s="1"/>
  <c r="I316" s="1"/>
  <c r="I315" s="1"/>
  <c r="I314" s="1"/>
  <c r="I313"/>
  <c r="I312" s="1"/>
  <c r="I311" s="1"/>
  <c r="I310" s="1"/>
  <c r="I309" s="1"/>
  <c r="I308" s="1"/>
  <c r="I307"/>
  <c r="I306" s="1"/>
  <c r="I305" s="1"/>
  <c r="I304" s="1"/>
  <c r="I303" s="1"/>
  <c r="I302" s="1"/>
  <c r="I288"/>
  <c r="I287" s="1"/>
  <c r="I286" s="1"/>
  <c r="I285" s="1"/>
  <c r="I284" s="1"/>
  <c r="I283" s="1"/>
  <c r="I282"/>
  <c r="I281" s="1"/>
  <c r="I280" s="1"/>
  <c r="I279" s="1"/>
  <c r="I278" s="1"/>
  <c r="I277" s="1"/>
  <c r="I276"/>
  <c r="I275" s="1"/>
  <c r="I274" s="1"/>
  <c r="I273" s="1"/>
  <c r="I272" s="1"/>
  <c r="I271" s="1"/>
  <c r="I270"/>
  <c r="I269" s="1"/>
  <c r="I268" s="1"/>
  <c r="I267" s="1"/>
  <c r="I266" s="1"/>
  <c r="I265" s="1"/>
  <c r="I264"/>
  <c r="I263" s="1"/>
  <c r="I262" s="1"/>
  <c r="I261" s="1"/>
  <c r="I260" s="1"/>
  <c r="I259" s="1"/>
  <c r="I251"/>
  <c r="I250" s="1"/>
  <c r="I249" s="1"/>
  <c r="I248" s="1"/>
  <c r="I247" s="1"/>
  <c r="I246" s="1"/>
  <c r="I245"/>
  <c r="I244" s="1"/>
  <c r="I243" s="1"/>
  <c r="I239" s="1"/>
  <c r="I238" s="1"/>
  <c r="I237" s="1"/>
  <c r="I228"/>
  <c r="I227" s="1"/>
  <c r="I226" s="1"/>
  <c r="I225"/>
  <c r="I224"/>
  <c r="I219"/>
  <c r="I218" s="1"/>
  <c r="I217" s="1"/>
  <c r="I216" s="1"/>
  <c r="I215"/>
  <c r="I214" s="1"/>
  <c r="I213" s="1"/>
  <c r="I212"/>
  <c r="I211" s="1"/>
  <c r="I210" s="1"/>
  <c r="I205"/>
  <c r="I204" s="1"/>
  <c r="I203"/>
  <c r="I202" s="1"/>
  <c r="I200"/>
  <c r="I199" s="1"/>
  <c r="I198" s="1"/>
  <c r="I194"/>
  <c r="I193" s="1"/>
  <c r="I192"/>
  <c r="I186"/>
  <c r="I185" s="1"/>
  <c r="I184" s="1"/>
  <c r="I183" s="1"/>
  <c r="I182" s="1"/>
  <c r="I181" s="1"/>
  <c r="I180" s="1"/>
  <c r="I179"/>
  <c r="I178" s="1"/>
  <c r="I177" s="1"/>
  <c r="I176" s="1"/>
  <c r="I175" s="1"/>
  <c r="I174" s="1"/>
  <c r="I173"/>
  <c r="I172" s="1"/>
  <c r="I171" s="1"/>
  <c r="I170" s="1"/>
  <c r="I169" s="1"/>
  <c r="I168" s="1"/>
  <c r="I167"/>
  <c r="I166" s="1"/>
  <c r="I165" s="1"/>
  <c r="I164" s="1"/>
  <c r="I163" s="1"/>
  <c r="I162" s="1"/>
  <c r="I160"/>
  <c r="I159" s="1"/>
  <c r="I158" s="1"/>
  <c r="I157" s="1"/>
  <c r="I156"/>
  <c r="I155" s="1"/>
  <c r="I154" s="1"/>
  <c r="I153" s="1"/>
  <c r="I148"/>
  <c r="I147" s="1"/>
  <c r="I146" s="1"/>
  <c r="I145" s="1"/>
  <c r="I144" s="1"/>
  <c r="I143" s="1"/>
  <c r="I142"/>
  <c r="I141" s="1"/>
  <c r="I140" s="1"/>
  <c r="I139" s="1"/>
  <c r="I138" s="1"/>
  <c r="I137" s="1"/>
  <c r="I136"/>
  <c r="I135" s="1"/>
  <c r="I134" s="1"/>
  <c r="I133" s="1"/>
  <c r="I132" s="1"/>
  <c r="I131" s="1"/>
  <c r="I123"/>
  <c r="I111"/>
  <c r="I110" s="1"/>
  <c r="I109" s="1"/>
  <c r="I108" s="1"/>
  <c r="I107" s="1"/>
  <c r="I106" s="1"/>
  <c r="I104"/>
  <c r="I103" s="1"/>
  <c r="I101"/>
  <c r="I100" s="1"/>
  <c r="I95"/>
  <c r="I94"/>
  <c r="I89"/>
  <c r="I88" s="1"/>
  <c r="I87" s="1"/>
  <c r="I86" s="1"/>
  <c r="I85" s="1"/>
  <c r="I84" s="1"/>
  <c r="I83"/>
  <c r="I82" s="1"/>
  <c r="I81"/>
  <c r="I80" s="1"/>
  <c r="I74"/>
  <c r="I73" s="1"/>
  <c r="I72" s="1"/>
  <c r="I71" s="1"/>
  <c r="I70" s="1"/>
  <c r="I69" s="1"/>
  <c r="I68"/>
  <c r="I67" s="1"/>
  <c r="I66"/>
  <c r="I65" s="1"/>
  <c r="I60"/>
  <c r="I59" s="1"/>
  <c r="I58"/>
  <c r="I57" s="1"/>
  <c r="I49"/>
  <c r="I48" s="1"/>
  <c r="I43"/>
  <c r="I42" s="1"/>
  <c r="I41" s="1"/>
  <c r="I40" s="1"/>
  <c r="I39" s="1"/>
  <c r="I38" s="1"/>
  <c r="I34"/>
  <c r="I33" s="1"/>
  <c r="I32" s="1"/>
  <c r="I31" s="1"/>
  <c r="I30" s="1"/>
  <c r="I25" s="1"/>
  <c r="I24"/>
  <c r="I23" s="1"/>
  <c r="I22" s="1"/>
  <c r="I21" s="1"/>
  <c r="I20" s="1"/>
  <c r="I19" s="1"/>
  <c r="I633" l="1"/>
  <c r="I629" s="1"/>
  <c r="I628" s="1"/>
  <c r="I627" s="1"/>
  <c r="J502" i="5"/>
  <c r="J501" s="1"/>
  <c r="J96"/>
  <c r="J95" s="1"/>
  <c r="J1642"/>
  <c r="J1641" s="1"/>
  <c r="J1640" s="1"/>
  <c r="J752"/>
  <c r="J748" s="1"/>
  <c r="J1298"/>
  <c r="J1297" s="1"/>
  <c r="J1296" s="1"/>
  <c r="I1720" i="6"/>
  <c r="I1719" s="1"/>
  <c r="I1718" s="1"/>
  <c r="I521"/>
  <c r="I520" s="1"/>
  <c r="I519" s="1"/>
  <c r="J370" i="5"/>
  <c r="J369" s="1"/>
  <c r="J1253"/>
  <c r="J1252" s="1"/>
  <c r="J398"/>
  <c r="J397" s="1"/>
  <c r="J396" s="1"/>
  <c r="J395" s="1"/>
  <c r="J394" s="1"/>
  <c r="J393" s="1"/>
  <c r="J392" s="1"/>
  <c r="J116"/>
  <c r="J115" s="1"/>
  <c r="J114" s="1"/>
  <c r="J193"/>
  <c r="J209"/>
  <c r="I1329" i="6"/>
  <c r="I1328" s="1"/>
  <c r="I1327" s="1"/>
  <c r="I864"/>
  <c r="I863" s="1"/>
  <c r="I862" s="1"/>
  <c r="J1685" i="5"/>
  <c r="J1684" s="1"/>
  <c r="J1262"/>
  <c r="G61" i="1" s="1"/>
  <c r="J1718" i="5"/>
  <c r="J1717" s="1"/>
  <c r="J1716" s="1"/>
  <c r="J1715" s="1"/>
  <c r="G41" i="1" s="1"/>
  <c r="J43" i="5"/>
  <c r="J771"/>
  <c r="J767" s="1"/>
  <c r="J550"/>
  <c r="J820"/>
  <c r="J819" s="1"/>
  <c r="J630"/>
  <c r="J629" s="1"/>
  <c r="J644"/>
  <c r="J643" s="1"/>
  <c r="J1447"/>
  <c r="J1446" s="1"/>
  <c r="J897"/>
  <c r="J1462"/>
  <c r="J1459" s="1"/>
  <c r="I932" i="6"/>
  <c r="J1425" i="5"/>
  <c r="I929" i="6"/>
  <c r="I122"/>
  <c r="I47"/>
  <c r="I46" s="1"/>
  <c r="I45" s="1"/>
  <c r="I44" s="1"/>
  <c r="J1199" i="5"/>
  <c r="J1198" s="1"/>
  <c r="J1197" s="1"/>
  <c r="J1196" s="1"/>
  <c r="J1247"/>
  <c r="J1243" s="1"/>
  <c r="I1361" i="6"/>
  <c r="I1360" s="1"/>
  <c r="I1351" s="1"/>
  <c r="J177" i="5"/>
  <c r="J1034"/>
  <c r="J1033" s="1"/>
  <c r="J1032" s="1"/>
  <c r="J1131"/>
  <c r="J1126" s="1"/>
  <c r="J1168"/>
  <c r="J1167" s="1"/>
  <c r="J1212"/>
  <c r="J1211" s="1"/>
  <c r="J1210" s="1"/>
  <c r="J1225"/>
  <c r="J1224" s="1"/>
  <c r="J1238"/>
  <c r="J1237" s="1"/>
  <c r="J738"/>
  <c r="J737" s="1"/>
  <c r="J1103"/>
  <c r="J1102" s="1"/>
  <c r="J1097" s="1"/>
  <c r="I1606" i="6"/>
  <c r="I1605" s="1"/>
  <c r="I1381"/>
  <c r="I1380" s="1"/>
  <c r="I1374" s="1"/>
  <c r="I1373" s="1"/>
  <c r="I1372" s="1"/>
  <c r="I1365" s="1"/>
  <c r="J596" i="5"/>
  <c r="J595" s="1"/>
  <c r="J1219"/>
  <c r="J1218" s="1"/>
  <c r="I1455" i="6"/>
  <c r="I1454" s="1"/>
  <c r="I1448" s="1"/>
  <c r="I1447" s="1"/>
  <c r="I1446" s="1"/>
  <c r="J782" i="5"/>
  <c r="J781" s="1"/>
  <c r="J780" s="1"/>
  <c r="J590"/>
  <c r="J589" s="1"/>
  <c r="J743"/>
  <c r="J742" s="1"/>
  <c r="J1150"/>
  <c r="J1149" s="1"/>
  <c r="J1633"/>
  <c r="J1628" s="1"/>
  <c r="J1627" s="1"/>
  <c r="I495" i="6"/>
  <c r="I491" s="1"/>
  <c r="I490" s="1"/>
  <c r="I489" s="1"/>
  <c r="I510"/>
  <c r="I509" s="1"/>
  <c r="I508" s="1"/>
  <c r="I1742"/>
  <c r="I1741" s="1"/>
  <c r="I1740" s="1"/>
  <c r="I93"/>
  <c r="I92" s="1"/>
  <c r="I91" s="1"/>
  <c r="I90" s="1"/>
  <c r="I954"/>
  <c r="I947" s="1"/>
  <c r="I533"/>
  <c r="I532" s="1"/>
  <c r="I531" s="1"/>
  <c r="I201"/>
  <c r="I197" s="1"/>
  <c r="I196" s="1"/>
  <c r="I195" s="1"/>
  <c r="J1408" i="5"/>
  <c r="J1595"/>
  <c r="G37" i="1"/>
  <c r="J607" i="5"/>
  <c r="I398" i="6"/>
  <c r="I397" s="1"/>
  <c r="I396" s="1"/>
  <c r="I395" s="1"/>
  <c r="I223"/>
  <c r="I222" s="1"/>
  <c r="I221" s="1"/>
  <c r="I220" s="1"/>
  <c r="I409"/>
  <c r="I925"/>
  <c r="I924" s="1"/>
  <c r="I923" s="1"/>
  <c r="I1029"/>
  <c r="I1028" s="1"/>
  <c r="I1025" s="1"/>
  <c r="I1024" s="1"/>
  <c r="I1023" s="1"/>
  <c r="J305" i="5"/>
  <c r="J1471"/>
  <c r="G52" i="1"/>
  <c r="G51" s="1"/>
  <c r="G66"/>
  <c r="G65" s="1"/>
  <c r="J141" i="5"/>
  <c r="J224"/>
  <c r="J223" s="1"/>
  <c r="J222" s="1"/>
  <c r="J246"/>
  <c r="J278"/>
  <c r="J562"/>
  <c r="J561" s="1"/>
  <c r="J560" s="1"/>
  <c r="J559" s="1"/>
  <c r="J757"/>
  <c r="J1477"/>
  <c r="J1733"/>
  <c r="J1732" s="1"/>
  <c r="J1731" s="1"/>
  <c r="J1730" s="1"/>
  <c r="J1724" s="1"/>
  <c r="I738" i="6"/>
  <c r="I737" s="1"/>
  <c r="I736" s="1"/>
  <c r="I735" s="1"/>
  <c r="I734" s="1"/>
  <c r="I727" s="1"/>
  <c r="I1000"/>
  <c r="I1058"/>
  <c r="I1407"/>
  <c r="I1406" s="1"/>
  <c r="I1405" s="1"/>
  <c r="I1404" s="1"/>
  <c r="I1712"/>
  <c r="I1711" s="1"/>
  <c r="I1710" s="1"/>
  <c r="J678" i="5"/>
  <c r="J677" s="1"/>
  <c r="J812"/>
  <c r="J800" s="1"/>
  <c r="J799" s="1"/>
  <c r="J1505"/>
  <c r="G31" i="1" s="1"/>
  <c r="J1583" i="5"/>
  <c r="J1582" s="1"/>
  <c r="J1581" s="1"/>
  <c r="J1580" s="1"/>
  <c r="I152" i="6"/>
  <c r="I151" s="1"/>
  <c r="I150" s="1"/>
  <c r="I351"/>
  <c r="I344" s="1"/>
  <c r="I1767"/>
  <c r="I1766" s="1"/>
  <c r="I1758" s="1"/>
  <c r="I1775"/>
  <c r="I1774" s="1"/>
  <c r="I1773" s="1"/>
  <c r="J84" i="5"/>
  <c r="J73" s="1"/>
  <c r="J442"/>
  <c r="J441" s="1"/>
  <c r="J440" s="1"/>
  <c r="J430" s="1"/>
  <c r="G32" i="1" s="1"/>
  <c r="J486" i="5"/>
  <c r="J485" s="1"/>
  <c r="J478" s="1"/>
  <c r="J516"/>
  <c r="J515" s="1"/>
  <c r="J514" s="1"/>
  <c r="J513" s="1"/>
  <c r="G39" i="1" s="1"/>
  <c r="J1066" i="5"/>
  <c r="J1181"/>
  <c r="J1180" s="1"/>
  <c r="I1667" i="6"/>
  <c r="I1666" s="1"/>
  <c r="I1078"/>
  <c r="I1077" s="1"/>
  <c r="I1423"/>
  <c r="J1088" i="5"/>
  <c r="J1486"/>
  <c r="J1485" s="1"/>
  <c r="J1484" s="1"/>
  <c r="J34"/>
  <c r="J33" s="1"/>
  <c r="J268"/>
  <c r="J267" s="1"/>
  <c r="J314"/>
  <c r="J666"/>
  <c r="J912"/>
  <c r="J911" s="1"/>
  <c r="J910" s="1"/>
  <c r="J909" s="1"/>
  <c r="J1019"/>
  <c r="J1108"/>
  <c r="J1282"/>
  <c r="J1281" s="1"/>
  <c r="J1280" s="1"/>
  <c r="J1279" s="1"/>
  <c r="J1273" s="1"/>
  <c r="J1566"/>
  <c r="J1557" s="1"/>
  <c r="J1546" s="1"/>
  <c r="J256"/>
  <c r="J288"/>
  <c r="J461"/>
  <c r="J657"/>
  <c r="J839"/>
  <c r="J838" s="1"/>
  <c r="J865"/>
  <c r="J864" s="1"/>
  <c r="J863" s="1"/>
  <c r="J862" s="1"/>
  <c r="J861" s="1"/>
  <c r="G24" i="1" s="1"/>
  <c r="J957" i="5"/>
  <c r="J956" s="1"/>
  <c r="J940" s="1"/>
  <c r="J918" s="1"/>
  <c r="J981"/>
  <c r="J998"/>
  <c r="J1079"/>
  <c r="J1337"/>
  <c r="J1329" s="1"/>
  <c r="J341"/>
  <c r="J340" s="1"/>
  <c r="I470" i="6"/>
  <c r="I469" s="1"/>
  <c r="I468" s="1"/>
  <c r="I467" s="1"/>
  <c r="I654"/>
  <c r="I1288"/>
  <c r="I1287" s="1"/>
  <c r="I1286" s="1"/>
  <c r="I1599"/>
  <c r="I1598" s="1"/>
  <c r="J517" i="5"/>
  <c r="I99" i="6"/>
  <c r="I98" s="1"/>
  <c r="I97" s="1"/>
  <c r="I96" s="1"/>
  <c r="I190"/>
  <c r="I189" s="1"/>
  <c r="I188" s="1"/>
  <c r="I187" s="1"/>
  <c r="I478"/>
  <c r="I477" s="1"/>
  <c r="I476" s="1"/>
  <c r="I475" s="1"/>
  <c r="I675"/>
  <c r="I669" s="1"/>
  <c r="I1236"/>
  <c r="I1235" s="1"/>
  <c r="I1229" s="1"/>
  <c r="I1228" s="1"/>
  <c r="I1227" s="1"/>
  <c r="I1589"/>
  <c r="I1588" s="1"/>
  <c r="I56"/>
  <c r="I55" s="1"/>
  <c r="I54" s="1"/>
  <c r="I53" s="1"/>
  <c r="I390"/>
  <c r="I389" s="1"/>
  <c r="I388" s="1"/>
  <c r="I387" s="1"/>
  <c r="I650"/>
  <c r="I649" s="1"/>
  <c r="I643" s="1"/>
  <c r="I700"/>
  <c r="I1270"/>
  <c r="I1266" s="1"/>
  <c r="I1265" s="1"/>
  <c r="I1259" s="1"/>
  <c r="I1384"/>
  <c r="I1572"/>
  <c r="I1571" s="1"/>
  <c r="I64"/>
  <c r="I63" s="1"/>
  <c r="I62" s="1"/>
  <c r="I61" s="1"/>
  <c r="I79"/>
  <c r="I78" s="1"/>
  <c r="I77" s="1"/>
  <c r="I76" s="1"/>
  <c r="I258"/>
  <c r="I575"/>
  <c r="I853"/>
  <c r="I852" s="1"/>
  <c r="I848" s="1"/>
  <c r="I847" s="1"/>
  <c r="I846" s="1"/>
  <c r="I920"/>
  <c r="I919" s="1"/>
  <c r="I918" s="1"/>
  <c r="I1103"/>
  <c r="I1102" s="1"/>
  <c r="I1213"/>
  <c r="I1197" s="1"/>
  <c r="I1321"/>
  <c r="I1320" s="1"/>
  <c r="I1319" s="1"/>
  <c r="I1318" s="1"/>
  <c r="I1522"/>
  <c r="I130"/>
  <c r="I161"/>
  <c r="I546"/>
  <c r="I539" s="1"/>
  <c r="I591"/>
  <c r="I209"/>
  <c r="I208" s="1"/>
  <c r="I236"/>
  <c r="I301"/>
  <c r="I607"/>
  <c r="I689"/>
  <c r="I716"/>
  <c r="I744"/>
  <c r="I743" s="1"/>
  <c r="I742" s="1"/>
  <c r="I741" s="1"/>
  <c r="I1035"/>
  <c r="I1295"/>
  <c r="I1294" s="1"/>
  <c r="I1293" s="1"/>
  <c r="I1479"/>
  <c r="I1478" s="1"/>
  <c r="I1472" s="1"/>
  <c r="I1465" s="1"/>
  <c r="I1464" s="1"/>
  <c r="I1532"/>
  <c r="I1541"/>
  <c r="I1734"/>
  <c r="I1733" s="1"/>
  <c r="I1732" s="1"/>
  <c r="I1551"/>
  <c r="I1550" s="1"/>
  <c r="I1562"/>
  <c r="I1561" s="1"/>
  <c r="I503"/>
  <c r="I502" s="1"/>
  <c r="I501" s="1"/>
  <c r="I898"/>
  <c r="I897" s="1"/>
  <c r="I896" s="1"/>
  <c r="I1017"/>
  <c r="I1016" s="1"/>
  <c r="I1015" s="1"/>
  <c r="I1582"/>
  <c r="I1581" s="1"/>
  <c r="G1088"/>
  <c r="H428" i="5"/>
  <c r="H427" s="1"/>
  <c r="I429"/>
  <c r="K429" s="1"/>
  <c r="M429" s="1"/>
  <c r="O429" s="1"/>
  <c r="Q429" s="1"/>
  <c r="S429" s="1"/>
  <c r="U429" s="1"/>
  <c r="A428"/>
  <c r="A425"/>
  <c r="A427"/>
  <c r="A429"/>
  <c r="A423"/>
  <c r="A426"/>
  <c r="G62" i="1" l="1"/>
  <c r="I1403" i="6"/>
  <c r="I1396" s="1"/>
  <c r="I1364" s="1"/>
  <c r="J304" i="5"/>
  <c r="G46" i="1" s="1"/>
  <c r="J549" i="5"/>
  <c r="J548" s="1"/>
  <c r="J547" s="1"/>
  <c r="J1217"/>
  <c r="J1209" s="1"/>
  <c r="J1195" s="1"/>
  <c r="J1179"/>
  <c r="J1178" s="1"/>
  <c r="J500"/>
  <c r="J499" s="1"/>
  <c r="G38" i="1" s="1"/>
  <c r="J1445" i="5"/>
  <c r="I1350" i="6"/>
  <c r="I1349" s="1"/>
  <c r="I1326" s="1"/>
  <c r="J1144" i="5"/>
  <c r="J1143" s="1"/>
  <c r="J72"/>
  <c r="G26" i="1" s="1"/>
  <c r="J628" i="5"/>
  <c r="J627" s="1"/>
  <c r="J32"/>
  <c r="J31" s="1"/>
  <c r="J30" s="1"/>
  <c r="G22" i="1" s="1"/>
  <c r="J708" i="5"/>
  <c r="J707" s="1"/>
  <c r="J896"/>
  <c r="I931" i="6"/>
  <c r="J1422" i="5"/>
  <c r="J1421" s="1"/>
  <c r="I121" i="6"/>
  <c r="I207"/>
  <c r="I206" s="1"/>
  <c r="I149"/>
  <c r="I380"/>
  <c r="I235" s="1"/>
  <c r="J1232" i="5"/>
  <c r="J1231" s="1"/>
  <c r="G60" i="1" s="1"/>
  <c r="J1060" i="5"/>
  <c r="I52" i="6"/>
  <c r="I1416"/>
  <c r="J968" i="5"/>
  <c r="J277"/>
  <c r="J1504"/>
  <c r="J192"/>
  <c r="J186" s="1"/>
  <c r="J176" s="1"/>
  <c r="J1620"/>
  <c r="J588"/>
  <c r="J587" s="1"/>
  <c r="J423"/>
  <c r="I518" i="6"/>
  <c r="I1285"/>
  <c r="I1258" s="1"/>
  <c r="I1521"/>
  <c r="I1520" s="1"/>
  <c r="I1514" s="1"/>
  <c r="H426" i="5"/>
  <c r="I426" s="1"/>
  <c r="K426" s="1"/>
  <c r="M426" s="1"/>
  <c r="O426" s="1"/>
  <c r="Q426" s="1"/>
  <c r="S426" s="1"/>
  <c r="U426" s="1"/>
  <c r="I427"/>
  <c r="K427" s="1"/>
  <c r="M427" s="1"/>
  <c r="O427" s="1"/>
  <c r="Q427" s="1"/>
  <c r="S427" s="1"/>
  <c r="U427" s="1"/>
  <c r="J1714"/>
  <c r="J1713" s="1"/>
  <c r="G42" i="1"/>
  <c r="G40" s="1"/>
  <c r="G64"/>
  <c r="G63" s="1"/>
  <c r="J245" i="5"/>
  <c r="J333"/>
  <c r="G56" i="1"/>
  <c r="I428" i="5"/>
  <c r="K428" s="1"/>
  <c r="M428" s="1"/>
  <c r="O428" s="1"/>
  <c r="Q428" s="1"/>
  <c r="S428" s="1"/>
  <c r="U428" s="1"/>
  <c r="J818"/>
  <c r="G57" i="1"/>
  <c r="J860" i="5"/>
  <c r="G36" i="1"/>
  <c r="G21"/>
  <c r="I1101" i="6"/>
  <c r="I500"/>
  <c r="I460" s="1"/>
  <c r="I1014"/>
  <c r="I1013" s="1"/>
  <c r="I626"/>
  <c r="H883" i="5"/>
  <c r="G1806" i="6" s="1"/>
  <c r="H312" i="5"/>
  <c r="H308"/>
  <c r="H301"/>
  <c r="H300" s="1"/>
  <c r="H296"/>
  <c r="H295" s="1"/>
  <c r="H293"/>
  <c r="H292" s="1"/>
  <c r="H290"/>
  <c r="H289" s="1"/>
  <c r="H283"/>
  <c r="H282" s="1"/>
  <c r="H280"/>
  <c r="H279" s="1"/>
  <c r="H275"/>
  <c r="H274" s="1"/>
  <c r="H273" s="1"/>
  <c r="H271"/>
  <c r="H270" s="1"/>
  <c r="H265"/>
  <c r="H264" s="1"/>
  <c r="H260"/>
  <c r="H259" s="1"/>
  <c r="H258" s="1"/>
  <c r="H253"/>
  <c r="H249"/>
  <c r="H248" s="1"/>
  <c r="H238"/>
  <c r="H237" s="1"/>
  <c r="H231"/>
  <c r="H230" s="1"/>
  <c r="H228"/>
  <c r="H225"/>
  <c r="H218"/>
  <c r="H213"/>
  <c r="H210"/>
  <c r="H207"/>
  <c r="H206" s="1"/>
  <c r="H204"/>
  <c r="H203" s="1"/>
  <c r="H197"/>
  <c r="H196" s="1"/>
  <c r="H194"/>
  <c r="H190"/>
  <c r="H189" s="1"/>
  <c r="H184"/>
  <c r="H183" s="1"/>
  <c r="H182" s="1"/>
  <c r="H180"/>
  <c r="H179" s="1"/>
  <c r="H169"/>
  <c r="H162"/>
  <c r="H161" s="1"/>
  <c r="H156"/>
  <c r="H155" s="1"/>
  <c r="H154" s="1"/>
  <c r="H152"/>
  <c r="H151" s="1"/>
  <c r="H148"/>
  <c r="H147" s="1"/>
  <c r="H144"/>
  <c r="H143" s="1"/>
  <c r="H134"/>
  <c r="H129"/>
  <c r="H123"/>
  <c r="H122" s="1"/>
  <c r="H120"/>
  <c r="H119" s="1"/>
  <c r="H107"/>
  <c r="H106" s="1"/>
  <c r="H103"/>
  <c r="H98"/>
  <c r="H97" s="1"/>
  <c r="H93"/>
  <c r="H92" s="1"/>
  <c r="H91" s="1"/>
  <c r="H88"/>
  <c r="H87" s="1"/>
  <c r="H85"/>
  <c r="H81"/>
  <c r="H80" s="1"/>
  <c r="H77"/>
  <c r="H75"/>
  <c r="H63"/>
  <c r="H62" s="1"/>
  <c r="H54"/>
  <c r="H53" s="1"/>
  <c r="H52" s="1"/>
  <c r="H44"/>
  <c r="H47"/>
  <c r="H46" s="1"/>
  <c r="H41"/>
  <c r="H40" s="1"/>
  <c r="H38"/>
  <c r="H37" s="1"/>
  <c r="H35"/>
  <c r="H28"/>
  <c r="H27" s="1"/>
  <c r="G1811" i="6"/>
  <c r="G1810" s="1"/>
  <c r="G1809" s="1"/>
  <c r="G1808" s="1"/>
  <c r="G1807" s="1"/>
  <c r="G1795"/>
  <c r="G1794" s="1"/>
  <c r="G1793" s="1"/>
  <c r="G1792" s="1"/>
  <c r="G1791" s="1"/>
  <c r="G1790"/>
  <c r="G1789" s="1"/>
  <c r="G1788" s="1"/>
  <c r="G1787" s="1"/>
  <c r="G1786" s="1"/>
  <c r="G1785"/>
  <c r="G1784" s="1"/>
  <c r="G1783" s="1"/>
  <c r="G1782" s="1"/>
  <c r="G1781" s="1"/>
  <c r="G1780"/>
  <c r="G1779" s="1"/>
  <c r="G1778" s="1"/>
  <c r="G1777"/>
  <c r="G1776" s="1"/>
  <c r="G1772"/>
  <c r="G1771" s="1"/>
  <c r="G1770" s="1"/>
  <c r="G1769"/>
  <c r="G1768" s="1"/>
  <c r="G1757"/>
  <c r="G1756" s="1"/>
  <c r="G1755" s="1"/>
  <c r="G1754" s="1"/>
  <c r="G1753" s="1"/>
  <c r="G1752"/>
  <c r="G1751" s="1"/>
  <c r="G1750" s="1"/>
  <c r="G1749" s="1"/>
  <c r="G1748" s="1"/>
  <c r="G1747"/>
  <c r="G1746" s="1"/>
  <c r="G1745" s="1"/>
  <c r="G1744"/>
  <c r="G1739"/>
  <c r="G1738" s="1"/>
  <c r="G1737" s="1"/>
  <c r="G1736"/>
  <c r="G1735" s="1"/>
  <c r="G1725"/>
  <c r="G1724" s="1"/>
  <c r="G1723" s="1"/>
  <c r="G1722"/>
  <c r="G1721" s="1"/>
  <c r="G1717"/>
  <c r="G1716" s="1"/>
  <c r="G1715" s="1"/>
  <c r="G1714"/>
  <c r="G1713" s="1"/>
  <c r="G1668"/>
  <c r="G1667" s="1"/>
  <c r="G1666" s="1"/>
  <c r="G1665" s="1"/>
  <c r="G1664" s="1"/>
  <c r="G1658"/>
  <c r="G1657" s="1"/>
  <c r="G1656" s="1"/>
  <c r="G1655" s="1"/>
  <c r="G1654" s="1"/>
  <c r="G1653" s="1"/>
  <c r="G1677"/>
  <c r="G1646"/>
  <c r="G1645" s="1"/>
  <c r="G1644" s="1"/>
  <c r="G1643" s="1"/>
  <c r="G1642" s="1"/>
  <c r="G1641" s="1"/>
  <c r="G1628"/>
  <c r="G1627" s="1"/>
  <c r="G1621"/>
  <c r="G1620" s="1"/>
  <c r="G1619" s="1"/>
  <c r="G1618" s="1"/>
  <c r="G1617" s="1"/>
  <c r="G1616"/>
  <c r="G1615" s="1"/>
  <c r="G1614" s="1"/>
  <c r="G1613" s="1"/>
  <c r="G1612" s="1"/>
  <c r="G1611"/>
  <c r="G1610" s="1"/>
  <c r="G1609" s="1"/>
  <c r="G1608"/>
  <c r="G1607" s="1"/>
  <c r="G1604"/>
  <c r="G1603" s="1"/>
  <c r="G1602" s="1"/>
  <c r="G1601"/>
  <c r="G1600" s="1"/>
  <c r="G1597"/>
  <c r="G1596" s="1"/>
  <c r="G1595" s="1"/>
  <c r="G1594"/>
  <c r="G1593" s="1"/>
  <c r="G1592" s="1"/>
  <c r="G1591"/>
  <c r="G1590" s="1"/>
  <c r="G1587"/>
  <c r="G1586" s="1"/>
  <c r="G1585" s="1"/>
  <c r="G1584"/>
  <c r="G1583" s="1"/>
  <c r="G1580"/>
  <c r="G1579" s="1"/>
  <c r="G1578" s="1"/>
  <c r="G1577"/>
  <c r="G1576" s="1"/>
  <c r="G1575" s="1"/>
  <c r="G1574"/>
  <c r="G1573" s="1"/>
  <c r="G1570"/>
  <c r="G1569" s="1"/>
  <c r="G1568" s="1"/>
  <c r="G1567"/>
  <c r="G1566" s="1"/>
  <c r="G1565" s="1"/>
  <c r="G1564"/>
  <c r="G1563" s="1"/>
  <c r="G1560"/>
  <c r="G1558" s="1"/>
  <c r="G1557" s="1"/>
  <c r="G1556"/>
  <c r="G1555" s="1"/>
  <c r="G1554" s="1"/>
  <c r="G1553"/>
  <c r="G1552" s="1"/>
  <c r="G1549"/>
  <c r="G1548" s="1"/>
  <c r="G1547" s="1"/>
  <c r="G1546"/>
  <c r="G1545" s="1"/>
  <c r="G1544" s="1"/>
  <c r="G1543"/>
  <c r="G1542" s="1"/>
  <c r="G1540"/>
  <c r="G1539" s="1"/>
  <c r="G1538" s="1"/>
  <c r="G1537"/>
  <c r="G1536" s="1"/>
  <c r="G1535" s="1"/>
  <c r="G1534"/>
  <c r="G1533" s="1"/>
  <c r="G1531"/>
  <c r="G1529" s="1"/>
  <c r="G1528" s="1"/>
  <c r="G1527"/>
  <c r="G1526" s="1"/>
  <c r="G1525" s="1"/>
  <c r="G1524"/>
  <c r="G1523" s="1"/>
  <c r="G1519"/>
  <c r="G1518" s="1"/>
  <c r="G1517" s="1"/>
  <c r="G1516" s="1"/>
  <c r="G1515" s="1"/>
  <c r="G1504"/>
  <c r="G1503" s="1"/>
  <c r="G1502" s="1"/>
  <c r="G1501" s="1"/>
  <c r="G1500" s="1"/>
  <c r="G1499" s="1"/>
  <c r="G1498" s="1"/>
  <c r="G1497"/>
  <c r="G1496" s="1"/>
  <c r="G1495" s="1"/>
  <c r="G1494" s="1"/>
  <c r="G1493" s="1"/>
  <c r="G1492" s="1"/>
  <c r="G1491"/>
  <c r="G1490" s="1"/>
  <c r="G1489" s="1"/>
  <c r="G1488" s="1"/>
  <c r="G1487"/>
  <c r="G1484"/>
  <c r="G1483" s="1"/>
  <c r="G1482" s="1"/>
  <c r="G1481"/>
  <c r="G1477"/>
  <c r="G1476" s="1"/>
  <c r="G1471"/>
  <c r="G1463"/>
  <c r="G1462" s="1"/>
  <c r="G1461" s="1"/>
  <c r="G1460" s="1"/>
  <c r="G1459" s="1"/>
  <c r="G1458" s="1"/>
  <c r="G1457"/>
  <c r="G1456"/>
  <c r="G1453"/>
  <c r="G1452" s="1"/>
  <c r="G1451" s="1"/>
  <c r="G1450"/>
  <c r="G1449" s="1"/>
  <c r="G1445"/>
  <c r="G1444" s="1"/>
  <c r="G1439"/>
  <c r="G1433"/>
  <c r="G1432" s="1"/>
  <c r="G1431" s="1"/>
  <c r="G1430" s="1"/>
  <c r="G1429" s="1"/>
  <c r="G1428"/>
  <c r="G1427" s="1"/>
  <c r="G1426" s="1"/>
  <c r="G1425" s="1"/>
  <c r="G1422"/>
  <c r="G1409"/>
  <c r="G1408"/>
  <c r="G1402"/>
  <c r="G1395"/>
  <c r="G1394" s="1"/>
  <c r="G1393" s="1"/>
  <c r="G1392" s="1"/>
  <c r="G1391" s="1"/>
  <c r="G1390"/>
  <c r="G1389" s="1"/>
  <c r="G1388" s="1"/>
  <c r="G1383"/>
  <c r="G1382"/>
  <c r="G1379"/>
  <c r="G1378" s="1"/>
  <c r="G1377" s="1"/>
  <c r="G1376"/>
  <c r="G1371"/>
  <c r="G1370" s="1"/>
  <c r="G1369" s="1"/>
  <c r="G1368" s="1"/>
  <c r="G1367" s="1"/>
  <c r="G1363"/>
  <c r="G1362"/>
  <c r="G1356"/>
  <c r="G1355" s="1"/>
  <c r="G1354" s="1"/>
  <c r="G1353"/>
  <c r="G1352" s="1"/>
  <c r="G1348"/>
  <c r="G1347" s="1"/>
  <c r="G1346" s="1"/>
  <c r="G1345" s="1"/>
  <c r="G1344" s="1"/>
  <c r="G1343"/>
  <c r="G1334"/>
  <c r="G1333" s="1"/>
  <c r="G1331"/>
  <c r="G1330" s="1"/>
  <c r="G1325"/>
  <c r="G1324" s="1"/>
  <c r="G1323"/>
  <c r="G1322" s="1"/>
  <c r="G1299"/>
  <c r="G1298" s="1"/>
  <c r="G1297"/>
  <c r="G1296" s="1"/>
  <c r="G1292"/>
  <c r="G1291" s="1"/>
  <c r="G1290"/>
  <c r="G1289" s="1"/>
  <c r="G1279"/>
  <c r="G1278" s="1"/>
  <c r="G1277" s="1"/>
  <c r="G1276" s="1"/>
  <c r="G1275" s="1"/>
  <c r="G1274"/>
  <c r="G1273" s="1"/>
  <c r="G1272"/>
  <c r="G1271" s="1"/>
  <c r="G1269"/>
  <c r="G1268" s="1"/>
  <c r="G1267" s="1"/>
  <c r="G1264"/>
  <c r="G1263" s="1"/>
  <c r="G1238"/>
  <c r="G1237"/>
  <c r="G1234"/>
  <c r="G1233" s="1"/>
  <c r="G1232" s="1"/>
  <c r="G1231"/>
  <c r="G1230" s="1"/>
  <c r="G1221"/>
  <c r="G1220" s="1"/>
  <c r="G1219" s="1"/>
  <c r="G1218" s="1"/>
  <c r="G1217"/>
  <c r="G1216" s="1"/>
  <c r="G1215" s="1"/>
  <c r="G1214" s="1"/>
  <c r="G1202"/>
  <c r="G1201" s="1"/>
  <c r="G1200" s="1"/>
  <c r="G1199" s="1"/>
  <c r="G1198" s="1"/>
  <c r="G1154"/>
  <c r="G1153" s="1"/>
  <c r="G1152" s="1"/>
  <c r="G1151" s="1"/>
  <c r="G1150" s="1"/>
  <c r="G1149" s="1"/>
  <c r="G1148"/>
  <c r="G1147" s="1"/>
  <c r="G1146" s="1"/>
  <c r="G1145" s="1"/>
  <c r="G1144" s="1"/>
  <c r="G1143" s="1"/>
  <c r="G1142"/>
  <c r="G1141" s="1"/>
  <c r="G1140" s="1"/>
  <c r="G1139" s="1"/>
  <c r="G1138" s="1"/>
  <c r="G1137" s="1"/>
  <c r="G1136"/>
  <c r="G1135" s="1"/>
  <c r="G1134" s="1"/>
  <c r="G1133" s="1"/>
  <c r="G1132" s="1"/>
  <c r="G1126"/>
  <c r="G1125" s="1"/>
  <c r="G1124" s="1"/>
  <c r="G1123" s="1"/>
  <c r="G1122" s="1"/>
  <c r="G1121"/>
  <c r="G1120" s="1"/>
  <c r="G1119" s="1"/>
  <c r="G1118" s="1"/>
  <c r="G1117" s="1"/>
  <c r="G1108"/>
  <c r="G1107" s="1"/>
  <c r="G1106" s="1"/>
  <c r="G1105" s="1"/>
  <c r="G1104" s="1"/>
  <c r="G1100"/>
  <c r="G1099" s="1"/>
  <c r="G1098" s="1"/>
  <c r="G1097" s="1"/>
  <c r="G1096" s="1"/>
  <c r="G1095" s="1"/>
  <c r="G1094"/>
  <c r="G1093" s="1"/>
  <c r="G1092" s="1"/>
  <c r="G1091" s="1"/>
  <c r="G1090" s="1"/>
  <c r="G1089" s="1"/>
  <c r="G1087"/>
  <c r="G1086" s="1"/>
  <c r="G1085" s="1"/>
  <c r="G1084" s="1"/>
  <c r="G1083"/>
  <c r="G1082" s="1"/>
  <c r="G1081" s="1"/>
  <c r="G1080" s="1"/>
  <c r="G1079" s="1"/>
  <c r="G1070"/>
  <c r="G1069" s="1"/>
  <c r="G1068" s="1"/>
  <c r="G1067" s="1"/>
  <c r="G1066" s="1"/>
  <c r="G1065" s="1"/>
  <c r="G1064"/>
  <c r="G1063" s="1"/>
  <c r="G1062" s="1"/>
  <c r="G1061" s="1"/>
  <c r="G1060" s="1"/>
  <c r="G1059" s="1"/>
  <c r="G1057"/>
  <c r="G1056" s="1"/>
  <c r="G1055" s="1"/>
  <c r="G1054" s="1"/>
  <c r="G1053" s="1"/>
  <c r="G1052" s="1"/>
  <c r="G1051"/>
  <c r="G1050" s="1"/>
  <c r="G1049" s="1"/>
  <c r="G1048" s="1"/>
  <c r="G1047" s="1"/>
  <c r="G1046" s="1"/>
  <c r="G1045"/>
  <c r="G1044" s="1"/>
  <c r="G1043" s="1"/>
  <c r="G1042" s="1"/>
  <c r="G1041" s="1"/>
  <c r="G1040"/>
  <c r="G1039" s="1"/>
  <c r="G1038" s="1"/>
  <c r="G1037" s="1"/>
  <c r="G1036" s="1"/>
  <c r="G1034"/>
  <c r="G1033" s="1"/>
  <c r="G1032" s="1"/>
  <c r="G1031"/>
  <c r="G1030"/>
  <c r="G1027"/>
  <c r="G1026" s="1"/>
  <c r="G1022"/>
  <c r="G1021" s="1"/>
  <c r="G1020"/>
  <c r="G1019" s="1"/>
  <c r="G1018" s="1"/>
  <c r="G1012"/>
  <c r="G1011" s="1"/>
  <c r="G1010" s="1"/>
  <c r="G1009" s="1"/>
  <c r="G1008" s="1"/>
  <c r="G1007" s="1"/>
  <c r="G1006"/>
  <c r="G1005" s="1"/>
  <c r="G1004" s="1"/>
  <c r="G1003" s="1"/>
  <c r="G1002" s="1"/>
  <c r="G1001" s="1"/>
  <c r="G994"/>
  <c r="G993" s="1"/>
  <c r="G992" s="1"/>
  <c r="G991" s="1"/>
  <c r="G990" s="1"/>
  <c r="G989" s="1"/>
  <c r="G988" s="1"/>
  <c r="G987"/>
  <c r="G986" s="1"/>
  <c r="G985" s="1"/>
  <c r="G984" s="1"/>
  <c r="G983" s="1"/>
  <c r="G982" s="1"/>
  <c r="G981" s="1"/>
  <c r="G980" s="1"/>
  <c r="G979"/>
  <c r="G978" s="1"/>
  <c r="G977" s="1"/>
  <c r="G976" s="1"/>
  <c r="G975" s="1"/>
  <c r="G974" s="1"/>
  <c r="G973" s="1"/>
  <c r="G972"/>
  <c r="G971" s="1"/>
  <c r="G970" s="1"/>
  <c r="G969" s="1"/>
  <c r="G968" s="1"/>
  <c r="G967" s="1"/>
  <c r="G960"/>
  <c r="G959" s="1"/>
  <c r="G958" s="1"/>
  <c r="G957" s="1"/>
  <c r="G956" s="1"/>
  <c r="G955" s="1"/>
  <c r="G953"/>
  <c r="G952" s="1"/>
  <c r="G951" s="1"/>
  <c r="G950" s="1"/>
  <c r="G949" s="1"/>
  <c r="G948" s="1"/>
  <c r="G945"/>
  <c r="G944" s="1"/>
  <c r="G943" s="1"/>
  <c r="G939" s="1"/>
  <c r="G938" s="1"/>
  <c r="G937" s="1"/>
  <c r="G933"/>
  <c r="G932" s="1"/>
  <c r="G931" s="1"/>
  <c r="G930"/>
  <c r="G929" s="1"/>
  <c r="G927"/>
  <c r="G926"/>
  <c r="G922"/>
  <c r="G921"/>
  <c r="G911"/>
  <c r="G910" s="1"/>
  <c r="G909" s="1"/>
  <c r="G908" s="1"/>
  <c r="G907" s="1"/>
  <c r="G905"/>
  <c r="G904" s="1"/>
  <c r="G903" s="1"/>
  <c r="G901"/>
  <c r="G900" s="1"/>
  <c r="G899" s="1"/>
  <c r="G895"/>
  <c r="G894" s="1"/>
  <c r="G893" s="1"/>
  <c r="G889" s="1"/>
  <c r="G888" s="1"/>
  <c r="G887" s="1"/>
  <c r="G886"/>
  <c r="G885" s="1"/>
  <c r="G884" s="1"/>
  <c r="G883" s="1"/>
  <c r="G882" s="1"/>
  <c r="G881" s="1"/>
  <c r="G867"/>
  <c r="G866" s="1"/>
  <c r="G865" s="1"/>
  <c r="G864" s="1"/>
  <c r="G863" s="1"/>
  <c r="G862" s="1"/>
  <c r="G861"/>
  <c r="G860" s="1"/>
  <c r="G859" s="1"/>
  <c r="G858" s="1"/>
  <c r="G857" s="1"/>
  <c r="G856" s="1"/>
  <c r="G855"/>
  <c r="G854"/>
  <c r="G821"/>
  <c r="G820" s="1"/>
  <c r="G819" s="1"/>
  <c r="G815" s="1"/>
  <c r="G814" s="1"/>
  <c r="G813" s="1"/>
  <c r="G812" s="1"/>
  <c r="G807"/>
  <c r="G806" s="1"/>
  <c r="G805" s="1"/>
  <c r="G801" s="1"/>
  <c r="G800" s="1"/>
  <c r="G799" s="1"/>
  <c r="G798" s="1"/>
  <c r="G797"/>
  <c r="G796" s="1"/>
  <c r="G795" s="1"/>
  <c r="G791" s="1"/>
  <c r="G790" s="1"/>
  <c r="G789" s="1"/>
  <c r="G788" s="1"/>
  <c r="G787"/>
  <c r="G786" s="1"/>
  <c r="G785" s="1"/>
  <c r="G781" s="1"/>
  <c r="G780" s="1"/>
  <c r="G779" s="1"/>
  <c r="G778" s="1"/>
  <c r="G771"/>
  <c r="G770" s="1"/>
  <c r="G769" s="1"/>
  <c r="G768" s="1"/>
  <c r="G767" s="1"/>
  <c r="G766" s="1"/>
  <c r="G765"/>
  <c r="G764" s="1"/>
  <c r="G763" s="1"/>
  <c r="G762" s="1"/>
  <c r="G761" s="1"/>
  <c r="G760" s="1"/>
  <c r="G758"/>
  <c r="G757" s="1"/>
  <c r="G756" s="1"/>
  <c r="G755" s="1"/>
  <c r="G754" s="1"/>
  <c r="G753" s="1"/>
  <c r="G752"/>
  <c r="G751" s="1"/>
  <c r="G750" s="1"/>
  <c r="G749"/>
  <c r="G748" s="1"/>
  <c r="G746"/>
  <c r="G745" s="1"/>
  <c r="G740"/>
  <c r="G739"/>
  <c r="G733"/>
  <c r="G732" s="1"/>
  <c r="G731" s="1"/>
  <c r="G726"/>
  <c r="G725" s="1"/>
  <c r="G724" s="1"/>
  <c r="G723" s="1"/>
  <c r="G722" s="1"/>
  <c r="G721"/>
  <c r="G720" s="1"/>
  <c r="G719" s="1"/>
  <c r="G718" s="1"/>
  <c r="G717" s="1"/>
  <c r="G710"/>
  <c r="G709" s="1"/>
  <c r="G708" s="1"/>
  <c r="G707" s="1"/>
  <c r="G706" s="1"/>
  <c r="G705"/>
  <c r="G704" s="1"/>
  <c r="G703" s="1"/>
  <c r="G699"/>
  <c r="G698" s="1"/>
  <c r="G697" s="1"/>
  <c r="G696" s="1"/>
  <c r="G695" s="1"/>
  <c r="G694"/>
  <c r="G693" s="1"/>
  <c r="G692" s="1"/>
  <c r="G691" s="1"/>
  <c r="G690" s="1"/>
  <c r="G688"/>
  <c r="G687" s="1"/>
  <c r="G686" s="1"/>
  <c r="G685" s="1"/>
  <c r="G684" s="1"/>
  <c r="G683"/>
  <c r="G682" s="1"/>
  <c r="G681" s="1"/>
  <c r="G680" s="1"/>
  <c r="G679"/>
  <c r="G678" s="1"/>
  <c r="G677" s="1"/>
  <c r="G676" s="1"/>
  <c r="G674"/>
  <c r="G673" s="1"/>
  <c r="G672" s="1"/>
  <c r="G671" s="1"/>
  <c r="G670" s="1"/>
  <c r="G668"/>
  <c r="G667" s="1"/>
  <c r="G666" s="1"/>
  <c r="G665" s="1"/>
  <c r="G664" s="1"/>
  <c r="G663"/>
  <c r="G662" s="1"/>
  <c r="G661" s="1"/>
  <c r="G660" s="1"/>
  <c r="G659" s="1"/>
  <c r="G658"/>
  <c r="G657" s="1"/>
  <c r="G656"/>
  <c r="G655" s="1"/>
  <c r="G653"/>
  <c r="G652" s="1"/>
  <c r="G651" s="1"/>
  <c r="G648"/>
  <c r="G647" s="1"/>
  <c r="G646" s="1"/>
  <c r="G642"/>
  <c r="G641" s="1"/>
  <c r="G640" s="1"/>
  <c r="G639" s="1"/>
  <c r="G638" s="1"/>
  <c r="G637"/>
  <c r="G636" s="1"/>
  <c r="G632"/>
  <c r="G631" s="1"/>
  <c r="G630" s="1"/>
  <c r="G619"/>
  <c r="G618" s="1"/>
  <c r="G617" s="1"/>
  <c r="G616" s="1"/>
  <c r="G615" s="1"/>
  <c r="G614" s="1"/>
  <c r="G613"/>
  <c r="G612" s="1"/>
  <c r="G606"/>
  <c r="G601"/>
  <c r="G596"/>
  <c r="G595" s="1"/>
  <c r="G594" s="1"/>
  <c r="G593" s="1"/>
  <c r="G592" s="1"/>
  <c r="G585"/>
  <c r="G580"/>
  <c r="G579" s="1"/>
  <c r="G574"/>
  <c r="G573" s="1"/>
  <c r="G572" s="1"/>
  <c r="G571" s="1"/>
  <c r="G567"/>
  <c r="G566" s="1"/>
  <c r="G565" s="1"/>
  <c r="G564" s="1"/>
  <c r="G563" s="1"/>
  <c r="G562"/>
  <c r="G561" s="1"/>
  <c r="G560" s="1"/>
  <c r="G559" s="1"/>
  <c r="G558" s="1"/>
  <c r="G557" s="1"/>
  <c r="G556"/>
  <c r="G555" s="1"/>
  <c r="G554" s="1"/>
  <c r="G553" s="1"/>
  <c r="G552" s="1"/>
  <c r="G551"/>
  <c r="G550" s="1"/>
  <c r="G549" s="1"/>
  <c r="G548" s="1"/>
  <c r="G547" s="1"/>
  <c r="G545"/>
  <c r="G544" s="1"/>
  <c r="G543" s="1"/>
  <c r="G542" s="1"/>
  <c r="G541" s="1"/>
  <c r="G540" s="1"/>
  <c r="G538"/>
  <c r="G537" s="1"/>
  <c r="G536" s="1"/>
  <c r="G535"/>
  <c r="G534" s="1"/>
  <c r="G529"/>
  <c r="G528" s="1"/>
  <c r="G527" s="1"/>
  <c r="G526"/>
  <c r="G525" s="1"/>
  <c r="G524" s="1"/>
  <c r="G523"/>
  <c r="G522" s="1"/>
  <c r="G517"/>
  <c r="G516" s="1"/>
  <c r="G515" s="1"/>
  <c r="G514" s="1"/>
  <c r="G513"/>
  <c r="G512"/>
  <c r="G511" s="1"/>
  <c r="G507"/>
  <c r="G506" s="1"/>
  <c r="G505"/>
  <c r="G504" s="1"/>
  <c r="G499"/>
  <c r="G498" s="1"/>
  <c r="G497"/>
  <c r="G496" s="1"/>
  <c r="G494"/>
  <c r="G493" s="1"/>
  <c r="G492" s="1"/>
  <c r="G488"/>
  <c r="G487" s="1"/>
  <c r="G486" s="1"/>
  <c r="G485" s="1"/>
  <c r="G484" s="1"/>
  <c r="G483" s="1"/>
  <c r="G482"/>
  <c r="G481" s="1"/>
  <c r="G480"/>
  <c r="G479" s="1"/>
  <c r="G474"/>
  <c r="G473" s="1"/>
  <c r="G472"/>
  <c r="G471" s="1"/>
  <c r="G466"/>
  <c r="G465" s="1"/>
  <c r="G464" s="1"/>
  <c r="G463" s="1"/>
  <c r="G462" s="1"/>
  <c r="G461" s="1"/>
  <c r="G459"/>
  <c r="G458" s="1"/>
  <c r="G457" s="1"/>
  <c r="G456" s="1"/>
  <c r="G455" s="1"/>
  <c r="G454" s="1"/>
  <c r="G447"/>
  <c r="G446" s="1"/>
  <c r="G445" s="1"/>
  <c r="G444" s="1"/>
  <c r="G443" s="1"/>
  <c r="G442" s="1"/>
  <c r="G435" s="1"/>
  <c r="G434"/>
  <c r="G433" s="1"/>
  <c r="G432" s="1"/>
  <c r="G431" s="1"/>
  <c r="G430" s="1"/>
  <c r="G429" s="1"/>
  <c r="G428" s="1"/>
  <c r="G427"/>
  <c r="G426" s="1"/>
  <c r="G425" s="1"/>
  <c r="G424" s="1"/>
  <c r="G423" s="1"/>
  <c r="G422" s="1"/>
  <c r="G421"/>
  <c r="G420" s="1"/>
  <c r="G419" s="1"/>
  <c r="G418" s="1"/>
  <c r="G417" s="1"/>
  <c r="G416" s="1"/>
  <c r="G415"/>
  <c r="G414" s="1"/>
  <c r="G413" s="1"/>
  <c r="G412" s="1"/>
  <c r="G411" s="1"/>
  <c r="G410" s="1"/>
  <c r="G402"/>
  <c r="G401" s="1"/>
  <c r="G400"/>
  <c r="G399" s="1"/>
  <c r="G394"/>
  <c r="G393" s="1"/>
  <c r="G392"/>
  <c r="G391" s="1"/>
  <c r="G386"/>
  <c r="G385" s="1"/>
  <c r="G384" s="1"/>
  <c r="G383" s="1"/>
  <c r="G382" s="1"/>
  <c r="G381" s="1"/>
  <c r="G373"/>
  <c r="G372" s="1"/>
  <c r="G371" s="1"/>
  <c r="G370" s="1"/>
  <c r="G369" s="1"/>
  <c r="G368" s="1"/>
  <c r="G367"/>
  <c r="G366" s="1"/>
  <c r="G365" s="1"/>
  <c r="G364" s="1"/>
  <c r="G363" s="1"/>
  <c r="G362" s="1"/>
  <c r="G361"/>
  <c r="G360" s="1"/>
  <c r="G359" s="1"/>
  <c r="G358" s="1"/>
  <c r="G357" s="1"/>
  <c r="G356"/>
  <c r="G355" s="1"/>
  <c r="G354" s="1"/>
  <c r="G353" s="1"/>
  <c r="G352" s="1"/>
  <c r="G350"/>
  <c r="G349" s="1"/>
  <c r="G348" s="1"/>
  <c r="G347" s="1"/>
  <c r="G346" s="1"/>
  <c r="G345" s="1"/>
  <c r="G337"/>
  <c r="G336" s="1"/>
  <c r="G335" s="1"/>
  <c r="G334" s="1"/>
  <c r="G333" s="1"/>
  <c r="G332" s="1"/>
  <c r="G331"/>
  <c r="G330" s="1"/>
  <c r="G329" s="1"/>
  <c r="G328" s="1"/>
  <c r="G327" s="1"/>
  <c r="G326" s="1"/>
  <c r="G325"/>
  <c r="G324" s="1"/>
  <c r="G323" s="1"/>
  <c r="G322" s="1"/>
  <c r="G321" s="1"/>
  <c r="G320" s="1"/>
  <c r="G319"/>
  <c r="G318" s="1"/>
  <c r="G317" s="1"/>
  <c r="G316" s="1"/>
  <c r="G315" s="1"/>
  <c r="G314" s="1"/>
  <c r="G313"/>
  <c r="G312" s="1"/>
  <c r="G311" s="1"/>
  <c r="G310" s="1"/>
  <c r="G309" s="1"/>
  <c r="G308" s="1"/>
  <c r="G307"/>
  <c r="G306" s="1"/>
  <c r="G305" s="1"/>
  <c r="G304" s="1"/>
  <c r="G303" s="1"/>
  <c r="G302" s="1"/>
  <c r="G288"/>
  <c r="G287" s="1"/>
  <c r="G286" s="1"/>
  <c r="G285" s="1"/>
  <c r="G284" s="1"/>
  <c r="G283" s="1"/>
  <c r="G282"/>
  <c r="G281" s="1"/>
  <c r="G280" s="1"/>
  <c r="G279" s="1"/>
  <c r="G278" s="1"/>
  <c r="G277" s="1"/>
  <c r="G276"/>
  <c r="G275" s="1"/>
  <c r="G274" s="1"/>
  <c r="G273" s="1"/>
  <c r="G272" s="1"/>
  <c r="G271" s="1"/>
  <c r="G270"/>
  <c r="G269" s="1"/>
  <c r="G268" s="1"/>
  <c r="G267" s="1"/>
  <c r="G266" s="1"/>
  <c r="G265" s="1"/>
  <c r="G264"/>
  <c r="G263" s="1"/>
  <c r="G262" s="1"/>
  <c r="G261" s="1"/>
  <c r="G260" s="1"/>
  <c r="G259" s="1"/>
  <c r="G251"/>
  <c r="G250" s="1"/>
  <c r="G249" s="1"/>
  <c r="G248" s="1"/>
  <c r="G247" s="1"/>
  <c r="G246" s="1"/>
  <c r="G245"/>
  <c r="G244" s="1"/>
  <c r="G243" s="1"/>
  <c r="G239" s="1"/>
  <c r="G238" s="1"/>
  <c r="G237" s="1"/>
  <c r="G228"/>
  <c r="G227" s="1"/>
  <c r="G226" s="1"/>
  <c r="G225"/>
  <c r="G224"/>
  <c r="G219"/>
  <c r="G218" s="1"/>
  <c r="G217" s="1"/>
  <c r="G216" s="1"/>
  <c r="G215"/>
  <c r="G214" s="1"/>
  <c r="G213" s="1"/>
  <c r="G212"/>
  <c r="G211" s="1"/>
  <c r="G210" s="1"/>
  <c r="G205"/>
  <c r="G204" s="1"/>
  <c r="G203"/>
  <c r="G202" s="1"/>
  <c r="G200"/>
  <c r="G199" s="1"/>
  <c r="G198" s="1"/>
  <c r="G194"/>
  <c r="G193" s="1"/>
  <c r="G192"/>
  <c r="G186"/>
  <c r="G185" s="1"/>
  <c r="G184" s="1"/>
  <c r="G183" s="1"/>
  <c r="G182" s="1"/>
  <c r="G181" s="1"/>
  <c r="G180" s="1"/>
  <c r="G179"/>
  <c r="G178" s="1"/>
  <c r="G177" s="1"/>
  <c r="G176" s="1"/>
  <c r="G175" s="1"/>
  <c r="G174" s="1"/>
  <c r="G173"/>
  <c r="G172" s="1"/>
  <c r="G171" s="1"/>
  <c r="G170" s="1"/>
  <c r="G169" s="1"/>
  <c r="G168" s="1"/>
  <c r="G167"/>
  <c r="G166" s="1"/>
  <c r="G165" s="1"/>
  <c r="G164" s="1"/>
  <c r="G163" s="1"/>
  <c r="G162" s="1"/>
  <c r="G160"/>
  <c r="G159" s="1"/>
  <c r="G158" s="1"/>
  <c r="G157" s="1"/>
  <c r="G156"/>
  <c r="G155" s="1"/>
  <c r="G154" s="1"/>
  <c r="G153" s="1"/>
  <c r="G148"/>
  <c r="G147" s="1"/>
  <c r="G146" s="1"/>
  <c r="G145" s="1"/>
  <c r="G144" s="1"/>
  <c r="G143" s="1"/>
  <c r="G142"/>
  <c r="G141" s="1"/>
  <c r="G140" s="1"/>
  <c r="G139" s="1"/>
  <c r="G138" s="1"/>
  <c r="G137" s="1"/>
  <c r="G136"/>
  <c r="G135" s="1"/>
  <c r="G134" s="1"/>
  <c r="G133" s="1"/>
  <c r="G132" s="1"/>
  <c r="G131" s="1"/>
  <c r="G123"/>
  <c r="G122" s="1"/>
  <c r="G121" s="1"/>
  <c r="G120" s="1"/>
  <c r="G111"/>
  <c r="G110" s="1"/>
  <c r="G109" s="1"/>
  <c r="G108" s="1"/>
  <c r="G107" s="1"/>
  <c r="G106" s="1"/>
  <c r="G104"/>
  <c r="G103" s="1"/>
  <c r="G101"/>
  <c r="G100" s="1"/>
  <c r="G95"/>
  <c r="G94"/>
  <c r="G89"/>
  <c r="G88" s="1"/>
  <c r="G87" s="1"/>
  <c r="G86" s="1"/>
  <c r="G85" s="1"/>
  <c r="G84" s="1"/>
  <c r="G83"/>
  <c r="G82" s="1"/>
  <c r="G81"/>
  <c r="G80" s="1"/>
  <c r="G74"/>
  <c r="G73" s="1"/>
  <c r="G72" s="1"/>
  <c r="G71" s="1"/>
  <c r="G70" s="1"/>
  <c r="G69" s="1"/>
  <c r="G68"/>
  <c r="G67" s="1"/>
  <c r="G66"/>
  <c r="G65" s="1"/>
  <c r="G60"/>
  <c r="G59" s="1"/>
  <c r="G58"/>
  <c r="G57" s="1"/>
  <c r="G49"/>
  <c r="G48" s="1"/>
  <c r="G47" s="1"/>
  <c r="G46" s="1"/>
  <c r="G45" s="1"/>
  <c r="G44" s="1"/>
  <c r="G43"/>
  <c r="G42" s="1"/>
  <c r="G41" s="1"/>
  <c r="G40" s="1"/>
  <c r="G39" s="1"/>
  <c r="G38" s="1"/>
  <c r="G34"/>
  <c r="G33" s="1"/>
  <c r="G32" s="1"/>
  <c r="G31" s="1"/>
  <c r="G30" s="1"/>
  <c r="G25" s="1"/>
  <c r="G24"/>
  <c r="G23" s="1"/>
  <c r="G22" s="1"/>
  <c r="G21" s="1"/>
  <c r="G20" s="1"/>
  <c r="G19" s="1"/>
  <c r="E23" i="1"/>
  <c r="I1741" i="5"/>
  <c r="K1741" s="1"/>
  <c r="M1741" s="1"/>
  <c r="O1741" s="1"/>
  <c r="Q1741" s="1"/>
  <c r="S1741" s="1"/>
  <c r="U1741" s="1"/>
  <c r="I1738"/>
  <c r="K1738" s="1"/>
  <c r="M1738" s="1"/>
  <c r="O1738" s="1"/>
  <c r="Q1738" s="1"/>
  <c r="S1738" s="1"/>
  <c r="U1738" s="1"/>
  <c r="I1735"/>
  <c r="K1735" s="1"/>
  <c r="M1735" s="1"/>
  <c r="O1735" s="1"/>
  <c r="Q1735" s="1"/>
  <c r="S1735" s="1"/>
  <c r="U1735" s="1"/>
  <c r="I1729"/>
  <c r="K1729" s="1"/>
  <c r="M1729" s="1"/>
  <c r="O1729" s="1"/>
  <c r="Q1729" s="1"/>
  <c r="S1729" s="1"/>
  <c r="U1729" s="1"/>
  <c r="I1723"/>
  <c r="K1723" s="1"/>
  <c r="M1723" s="1"/>
  <c r="O1723" s="1"/>
  <c r="Q1723" s="1"/>
  <c r="S1723" s="1"/>
  <c r="U1723" s="1"/>
  <c r="I1720"/>
  <c r="K1720" s="1"/>
  <c r="M1720" s="1"/>
  <c r="O1720" s="1"/>
  <c r="Q1720" s="1"/>
  <c r="S1720" s="1"/>
  <c r="U1720" s="1"/>
  <c r="I1691"/>
  <c r="K1691" s="1"/>
  <c r="M1691" s="1"/>
  <c r="O1691" s="1"/>
  <c r="Q1691" s="1"/>
  <c r="S1691" s="1"/>
  <c r="U1691" s="1"/>
  <c r="I1666"/>
  <c r="K1666" s="1"/>
  <c r="M1666" s="1"/>
  <c r="O1666" s="1"/>
  <c r="Q1666" s="1"/>
  <c r="S1666" s="1"/>
  <c r="U1666" s="1"/>
  <c r="I1654"/>
  <c r="K1654" s="1"/>
  <c r="M1654" s="1"/>
  <c r="O1654" s="1"/>
  <c r="Q1654" s="1"/>
  <c r="S1654" s="1"/>
  <c r="U1654" s="1"/>
  <c r="I1650"/>
  <c r="K1650" s="1"/>
  <c r="M1650" s="1"/>
  <c r="O1650" s="1"/>
  <c r="Q1650" s="1"/>
  <c r="S1650" s="1"/>
  <c r="U1650" s="1"/>
  <c r="I1646"/>
  <c r="K1646" s="1"/>
  <c r="M1646" s="1"/>
  <c r="O1646" s="1"/>
  <c r="Q1646" s="1"/>
  <c r="S1646" s="1"/>
  <c r="U1646" s="1"/>
  <c r="I1639"/>
  <c r="K1639" s="1"/>
  <c r="M1639" s="1"/>
  <c r="O1639" s="1"/>
  <c r="Q1639" s="1"/>
  <c r="S1639" s="1"/>
  <c r="U1639" s="1"/>
  <c r="I1636"/>
  <c r="K1636" s="1"/>
  <c r="M1636" s="1"/>
  <c r="O1636" s="1"/>
  <c r="Q1636" s="1"/>
  <c r="S1636" s="1"/>
  <c r="U1636" s="1"/>
  <c r="I1632"/>
  <c r="K1632" s="1"/>
  <c r="M1632" s="1"/>
  <c r="O1632" s="1"/>
  <c r="Q1632" s="1"/>
  <c r="S1632" s="1"/>
  <c r="U1632" s="1"/>
  <c r="I1626"/>
  <c r="K1626" s="1"/>
  <c r="M1626" s="1"/>
  <c r="O1626" s="1"/>
  <c r="Q1626" s="1"/>
  <c r="S1626" s="1"/>
  <c r="U1626" s="1"/>
  <c r="I1619"/>
  <c r="K1619" s="1"/>
  <c r="M1619" s="1"/>
  <c r="O1619" s="1"/>
  <c r="Q1619" s="1"/>
  <c r="S1619" s="1"/>
  <c r="U1619" s="1"/>
  <c r="I1608"/>
  <c r="K1608" s="1"/>
  <c r="M1608" s="1"/>
  <c r="O1608" s="1"/>
  <c r="Q1608" s="1"/>
  <c r="S1608" s="1"/>
  <c r="U1608" s="1"/>
  <c r="I1594"/>
  <c r="K1594" s="1"/>
  <c r="M1594" s="1"/>
  <c r="O1594" s="1"/>
  <c r="Q1594" s="1"/>
  <c r="S1594" s="1"/>
  <c r="U1594" s="1"/>
  <c r="I1591"/>
  <c r="K1591" s="1"/>
  <c r="M1591" s="1"/>
  <c r="O1591" s="1"/>
  <c r="Q1591" s="1"/>
  <c r="S1591" s="1"/>
  <c r="U1591" s="1"/>
  <c r="I1588"/>
  <c r="K1588" s="1"/>
  <c r="M1588" s="1"/>
  <c r="O1588" s="1"/>
  <c r="Q1588" s="1"/>
  <c r="S1588" s="1"/>
  <c r="U1588" s="1"/>
  <c r="I1585"/>
  <c r="K1585" s="1"/>
  <c r="M1585" s="1"/>
  <c r="O1585" s="1"/>
  <c r="Q1585" s="1"/>
  <c r="S1585" s="1"/>
  <c r="U1585" s="1"/>
  <c r="I1575"/>
  <c r="K1575" s="1"/>
  <c r="M1575" s="1"/>
  <c r="O1575" s="1"/>
  <c r="Q1575" s="1"/>
  <c r="S1575" s="1"/>
  <c r="U1575" s="1"/>
  <c r="I1574"/>
  <c r="K1574" s="1"/>
  <c r="M1574" s="1"/>
  <c r="O1574" s="1"/>
  <c r="Q1574" s="1"/>
  <c r="S1574" s="1"/>
  <c r="U1574" s="1"/>
  <c r="I1571"/>
  <c r="K1571" s="1"/>
  <c r="M1571" s="1"/>
  <c r="O1571" s="1"/>
  <c r="Q1571" s="1"/>
  <c r="S1571" s="1"/>
  <c r="U1571" s="1"/>
  <c r="I1568"/>
  <c r="K1568" s="1"/>
  <c r="M1568" s="1"/>
  <c r="O1568" s="1"/>
  <c r="Q1568" s="1"/>
  <c r="S1568" s="1"/>
  <c r="U1568" s="1"/>
  <c r="I1556"/>
  <c r="K1556" s="1"/>
  <c r="M1556" s="1"/>
  <c r="O1556" s="1"/>
  <c r="Q1556" s="1"/>
  <c r="S1556" s="1"/>
  <c r="U1556" s="1"/>
  <c r="I1551"/>
  <c r="K1551" s="1"/>
  <c r="M1551" s="1"/>
  <c r="O1551" s="1"/>
  <c r="Q1551" s="1"/>
  <c r="S1551" s="1"/>
  <c r="U1551" s="1"/>
  <c r="I1522"/>
  <c r="K1522" s="1"/>
  <c r="M1522" s="1"/>
  <c r="O1522" s="1"/>
  <c r="Q1522" s="1"/>
  <c r="S1522" s="1"/>
  <c r="U1522" s="1"/>
  <c r="I1515"/>
  <c r="K1515" s="1"/>
  <c r="M1515" s="1"/>
  <c r="O1515" s="1"/>
  <c r="Q1515" s="1"/>
  <c r="S1515" s="1"/>
  <c r="U1515" s="1"/>
  <c r="I1510"/>
  <c r="K1510" s="1"/>
  <c r="M1510" s="1"/>
  <c r="O1510" s="1"/>
  <c r="Q1510" s="1"/>
  <c r="S1510" s="1"/>
  <c r="U1510" s="1"/>
  <c r="I1499"/>
  <c r="K1499" s="1"/>
  <c r="M1499" s="1"/>
  <c r="O1499" s="1"/>
  <c r="Q1499" s="1"/>
  <c r="S1499" s="1"/>
  <c r="U1499" s="1"/>
  <c r="I1494"/>
  <c r="K1494" s="1"/>
  <c r="M1494" s="1"/>
  <c r="O1494" s="1"/>
  <c r="Q1494" s="1"/>
  <c r="S1494" s="1"/>
  <c r="U1494" s="1"/>
  <c r="I1490"/>
  <c r="K1490" s="1"/>
  <c r="M1490" s="1"/>
  <c r="O1490" s="1"/>
  <c r="Q1490" s="1"/>
  <c r="S1490" s="1"/>
  <c r="U1490" s="1"/>
  <c r="I1482"/>
  <c r="K1482" s="1"/>
  <c r="M1482" s="1"/>
  <c r="O1482" s="1"/>
  <c r="Q1482" s="1"/>
  <c r="S1482" s="1"/>
  <c r="U1482" s="1"/>
  <c r="I1479"/>
  <c r="K1479" s="1"/>
  <c r="M1479" s="1"/>
  <c r="O1479" s="1"/>
  <c r="Q1479" s="1"/>
  <c r="S1479" s="1"/>
  <c r="U1479" s="1"/>
  <c r="I1476"/>
  <c r="K1476" s="1"/>
  <c r="M1476" s="1"/>
  <c r="O1476" s="1"/>
  <c r="Q1476" s="1"/>
  <c r="S1476" s="1"/>
  <c r="U1476" s="1"/>
  <c r="I1473"/>
  <c r="K1473" s="1"/>
  <c r="M1473" s="1"/>
  <c r="O1473" s="1"/>
  <c r="Q1473" s="1"/>
  <c r="S1473" s="1"/>
  <c r="U1473" s="1"/>
  <c r="I1455"/>
  <c r="K1455" s="1"/>
  <c r="M1455" s="1"/>
  <c r="O1455" s="1"/>
  <c r="Q1455" s="1"/>
  <c r="S1455" s="1"/>
  <c r="U1455" s="1"/>
  <c r="I1452"/>
  <c r="K1452" s="1"/>
  <c r="M1452" s="1"/>
  <c r="O1452" s="1"/>
  <c r="Q1452" s="1"/>
  <c r="S1452" s="1"/>
  <c r="U1452" s="1"/>
  <c r="I1449"/>
  <c r="K1449" s="1"/>
  <c r="M1449" s="1"/>
  <c r="O1449" s="1"/>
  <c r="Q1449" s="1"/>
  <c r="S1449" s="1"/>
  <c r="U1449" s="1"/>
  <c r="I1437"/>
  <c r="K1437" s="1"/>
  <c r="M1437" s="1"/>
  <c r="O1437" s="1"/>
  <c r="Q1437" s="1"/>
  <c r="S1437" s="1"/>
  <c r="U1437" s="1"/>
  <c r="I1427"/>
  <c r="K1427" s="1"/>
  <c r="M1427" s="1"/>
  <c r="O1427" s="1"/>
  <c r="Q1427" s="1"/>
  <c r="S1427" s="1"/>
  <c r="U1427" s="1"/>
  <c r="I1420"/>
  <c r="K1420" s="1"/>
  <c r="M1420" s="1"/>
  <c r="O1420" s="1"/>
  <c r="Q1420" s="1"/>
  <c r="S1420" s="1"/>
  <c r="U1420" s="1"/>
  <c r="I1412"/>
  <c r="K1412" s="1"/>
  <c r="M1412" s="1"/>
  <c r="O1412" s="1"/>
  <c r="Q1412" s="1"/>
  <c r="S1412" s="1"/>
  <c r="U1412" s="1"/>
  <c r="I1398"/>
  <c r="K1398" s="1"/>
  <c r="M1398" s="1"/>
  <c r="O1398" s="1"/>
  <c r="Q1398" s="1"/>
  <c r="S1398" s="1"/>
  <c r="U1398" s="1"/>
  <c r="I1391"/>
  <c r="K1391" s="1"/>
  <c r="M1391" s="1"/>
  <c r="O1391" s="1"/>
  <c r="Q1391" s="1"/>
  <c r="S1391" s="1"/>
  <c r="U1391" s="1"/>
  <c r="I1390"/>
  <c r="K1390" s="1"/>
  <c r="M1390" s="1"/>
  <c r="O1390" s="1"/>
  <c r="Q1390" s="1"/>
  <c r="S1390" s="1"/>
  <c r="U1390" s="1"/>
  <c r="I1369"/>
  <c r="K1369" s="1"/>
  <c r="M1369" s="1"/>
  <c r="O1369" s="1"/>
  <c r="Q1369" s="1"/>
  <c r="S1369" s="1"/>
  <c r="U1369" s="1"/>
  <c r="I1361"/>
  <c r="K1361" s="1"/>
  <c r="M1361" s="1"/>
  <c r="O1361" s="1"/>
  <c r="Q1361" s="1"/>
  <c r="S1361" s="1"/>
  <c r="U1361" s="1"/>
  <c r="I1353"/>
  <c r="K1353" s="1"/>
  <c r="M1353" s="1"/>
  <c r="O1353" s="1"/>
  <c r="Q1353" s="1"/>
  <c r="S1353" s="1"/>
  <c r="U1353" s="1"/>
  <c r="I1345"/>
  <c r="K1345" s="1"/>
  <c r="M1345" s="1"/>
  <c r="O1345" s="1"/>
  <c r="Q1345" s="1"/>
  <c r="S1345" s="1"/>
  <c r="U1345" s="1"/>
  <c r="I1335"/>
  <c r="K1335" s="1"/>
  <c r="M1335" s="1"/>
  <c r="O1335" s="1"/>
  <c r="Q1335" s="1"/>
  <c r="S1335" s="1"/>
  <c r="U1335" s="1"/>
  <c r="I1327"/>
  <c r="K1327" s="1"/>
  <c r="M1327" s="1"/>
  <c r="O1327" s="1"/>
  <c r="Q1327" s="1"/>
  <c r="S1327" s="1"/>
  <c r="U1327" s="1"/>
  <c r="I1312"/>
  <c r="K1312" s="1"/>
  <c r="M1312" s="1"/>
  <c r="O1312" s="1"/>
  <c r="Q1312" s="1"/>
  <c r="S1312" s="1"/>
  <c r="U1312" s="1"/>
  <c r="I1306"/>
  <c r="K1306" s="1"/>
  <c r="M1306" s="1"/>
  <c r="O1306" s="1"/>
  <c r="Q1306" s="1"/>
  <c r="S1306" s="1"/>
  <c r="U1306" s="1"/>
  <c r="I1302"/>
  <c r="K1302" s="1"/>
  <c r="M1302" s="1"/>
  <c r="O1302" s="1"/>
  <c r="Q1302" s="1"/>
  <c r="S1302" s="1"/>
  <c r="U1302" s="1"/>
  <c r="I1287"/>
  <c r="K1287" s="1"/>
  <c r="M1287" s="1"/>
  <c r="O1287" s="1"/>
  <c r="Q1287" s="1"/>
  <c r="S1287" s="1"/>
  <c r="U1287" s="1"/>
  <c r="I1284"/>
  <c r="K1284" s="1"/>
  <c r="M1284" s="1"/>
  <c r="O1284" s="1"/>
  <c r="Q1284" s="1"/>
  <c r="S1284" s="1"/>
  <c r="U1284" s="1"/>
  <c r="I1278"/>
  <c r="K1278" s="1"/>
  <c r="M1278" s="1"/>
  <c r="O1278" s="1"/>
  <c r="Q1278" s="1"/>
  <c r="S1278" s="1"/>
  <c r="U1278" s="1"/>
  <c r="I1267"/>
  <c r="K1267" s="1"/>
  <c r="M1267" s="1"/>
  <c r="O1267" s="1"/>
  <c r="Q1267" s="1"/>
  <c r="S1267" s="1"/>
  <c r="U1267" s="1"/>
  <c r="I1256"/>
  <c r="K1256" s="1"/>
  <c r="M1256" s="1"/>
  <c r="O1256" s="1"/>
  <c r="Q1256" s="1"/>
  <c r="S1256" s="1"/>
  <c r="U1256" s="1"/>
  <c r="I1255"/>
  <c r="K1255" s="1"/>
  <c r="M1255" s="1"/>
  <c r="O1255" s="1"/>
  <c r="Q1255" s="1"/>
  <c r="S1255" s="1"/>
  <c r="U1255" s="1"/>
  <c r="I1251"/>
  <c r="K1251" s="1"/>
  <c r="M1251" s="1"/>
  <c r="O1251" s="1"/>
  <c r="Q1251" s="1"/>
  <c r="S1251" s="1"/>
  <c r="U1251" s="1"/>
  <c r="I1249"/>
  <c r="K1249" s="1"/>
  <c r="M1249" s="1"/>
  <c r="O1249" s="1"/>
  <c r="Q1249" s="1"/>
  <c r="S1249" s="1"/>
  <c r="U1249" s="1"/>
  <c r="I1246"/>
  <c r="K1246" s="1"/>
  <c r="M1246" s="1"/>
  <c r="O1246" s="1"/>
  <c r="I1242"/>
  <c r="K1242" s="1"/>
  <c r="M1242" s="1"/>
  <c r="O1242" s="1"/>
  <c r="Q1242" s="1"/>
  <c r="S1242" s="1"/>
  <c r="U1242" s="1"/>
  <c r="I1240"/>
  <c r="K1240" s="1"/>
  <c r="M1240" s="1"/>
  <c r="O1240" s="1"/>
  <c r="Q1240" s="1"/>
  <c r="S1240" s="1"/>
  <c r="U1240" s="1"/>
  <c r="I1236"/>
  <c r="K1236" s="1"/>
  <c r="M1236" s="1"/>
  <c r="O1236" s="1"/>
  <c r="Q1236" s="1"/>
  <c r="S1236" s="1"/>
  <c r="U1236" s="1"/>
  <c r="I1229"/>
  <c r="K1229" s="1"/>
  <c r="M1229" s="1"/>
  <c r="O1229" s="1"/>
  <c r="Q1229" s="1"/>
  <c r="S1229" s="1"/>
  <c r="U1229" s="1"/>
  <c r="I1227"/>
  <c r="K1227" s="1"/>
  <c r="M1227" s="1"/>
  <c r="O1227" s="1"/>
  <c r="Q1227" s="1"/>
  <c r="S1227" s="1"/>
  <c r="U1227" s="1"/>
  <c r="I1223"/>
  <c r="K1223" s="1"/>
  <c r="M1223" s="1"/>
  <c r="O1223" s="1"/>
  <c r="Q1223" s="1"/>
  <c r="S1223" s="1"/>
  <c r="U1223" s="1"/>
  <c r="I1221"/>
  <c r="K1221" s="1"/>
  <c r="M1221" s="1"/>
  <c r="O1221" s="1"/>
  <c r="Q1221" s="1"/>
  <c r="S1221" s="1"/>
  <c r="U1221" s="1"/>
  <c r="I1216"/>
  <c r="K1216" s="1"/>
  <c r="M1216" s="1"/>
  <c r="O1216" s="1"/>
  <c r="Q1216" s="1"/>
  <c r="S1216" s="1"/>
  <c r="U1216" s="1"/>
  <c r="I1214"/>
  <c r="K1214" s="1"/>
  <c r="M1214" s="1"/>
  <c r="O1214" s="1"/>
  <c r="Q1214" s="1"/>
  <c r="S1214" s="1"/>
  <c r="U1214" s="1"/>
  <c r="I1203"/>
  <c r="K1203" s="1"/>
  <c r="M1203" s="1"/>
  <c r="O1203" s="1"/>
  <c r="Q1203" s="1"/>
  <c r="S1203" s="1"/>
  <c r="U1203" s="1"/>
  <c r="I1201"/>
  <c r="K1201" s="1"/>
  <c r="M1201" s="1"/>
  <c r="O1201" s="1"/>
  <c r="Q1201" s="1"/>
  <c r="S1201" s="1"/>
  <c r="U1201" s="1"/>
  <c r="I1189"/>
  <c r="K1189" s="1"/>
  <c r="M1189" s="1"/>
  <c r="O1189" s="1"/>
  <c r="Q1189" s="1"/>
  <c r="S1189" s="1"/>
  <c r="U1189" s="1"/>
  <c r="I1186"/>
  <c r="K1186" s="1"/>
  <c r="M1186" s="1"/>
  <c r="O1186" s="1"/>
  <c r="Q1186" s="1"/>
  <c r="S1186" s="1"/>
  <c r="U1186" s="1"/>
  <c r="I1183"/>
  <c r="K1183" s="1"/>
  <c r="M1183" s="1"/>
  <c r="O1183" s="1"/>
  <c r="Q1183" s="1"/>
  <c r="S1183" s="1"/>
  <c r="U1183" s="1"/>
  <c r="I1172"/>
  <c r="K1172" s="1"/>
  <c r="M1172" s="1"/>
  <c r="O1172" s="1"/>
  <c r="Q1172" s="1"/>
  <c r="S1172" s="1"/>
  <c r="U1172" s="1"/>
  <c r="I1170"/>
  <c r="K1170" s="1"/>
  <c r="M1170" s="1"/>
  <c r="O1170" s="1"/>
  <c r="Q1170" s="1"/>
  <c r="S1170" s="1"/>
  <c r="U1170" s="1"/>
  <c r="I1154"/>
  <c r="K1154" s="1"/>
  <c r="M1154" s="1"/>
  <c r="O1154" s="1"/>
  <c r="Q1154" s="1"/>
  <c r="S1154" s="1"/>
  <c r="U1154" s="1"/>
  <c r="I1152"/>
  <c r="K1152" s="1"/>
  <c r="M1152" s="1"/>
  <c r="O1152" s="1"/>
  <c r="Q1152" s="1"/>
  <c r="S1152" s="1"/>
  <c r="U1152" s="1"/>
  <c r="I1148"/>
  <c r="K1148" s="1"/>
  <c r="M1148" s="1"/>
  <c r="O1148" s="1"/>
  <c r="Q1148" s="1"/>
  <c r="S1148" s="1"/>
  <c r="U1148" s="1"/>
  <c r="I1142"/>
  <c r="K1142" s="1"/>
  <c r="M1142" s="1"/>
  <c r="O1142" s="1"/>
  <c r="Q1142" s="1"/>
  <c r="S1142" s="1"/>
  <c r="U1142" s="1"/>
  <c r="I1138"/>
  <c r="K1138" s="1"/>
  <c r="M1138" s="1"/>
  <c r="O1138" s="1"/>
  <c r="Q1138" s="1"/>
  <c r="S1138" s="1"/>
  <c r="U1138" s="1"/>
  <c r="I1134"/>
  <c r="K1134" s="1"/>
  <c r="M1134" s="1"/>
  <c r="O1134" s="1"/>
  <c r="Q1134" s="1"/>
  <c r="S1134" s="1"/>
  <c r="U1134" s="1"/>
  <c r="I1130"/>
  <c r="K1130" s="1"/>
  <c r="M1130" s="1"/>
  <c r="O1130" s="1"/>
  <c r="Q1130" s="1"/>
  <c r="S1130" s="1"/>
  <c r="U1130" s="1"/>
  <c r="I1125"/>
  <c r="K1125" s="1"/>
  <c r="M1125" s="1"/>
  <c r="O1125" s="1"/>
  <c r="Q1125" s="1"/>
  <c r="S1125" s="1"/>
  <c r="U1125" s="1"/>
  <c r="I1120"/>
  <c r="K1120" s="1"/>
  <c r="M1120" s="1"/>
  <c r="O1120" s="1"/>
  <c r="Q1120" s="1"/>
  <c r="S1120" s="1"/>
  <c r="U1120" s="1"/>
  <c r="I1116"/>
  <c r="K1116" s="1"/>
  <c r="M1116" s="1"/>
  <c r="O1116" s="1"/>
  <c r="Q1116" s="1"/>
  <c r="S1116" s="1"/>
  <c r="U1116" s="1"/>
  <c r="I1112"/>
  <c r="K1112" s="1"/>
  <c r="M1112" s="1"/>
  <c r="O1112" s="1"/>
  <c r="Q1112" s="1"/>
  <c r="S1112" s="1"/>
  <c r="U1112" s="1"/>
  <c r="I1107"/>
  <c r="K1107" s="1"/>
  <c r="M1107" s="1"/>
  <c r="O1107" s="1"/>
  <c r="Q1107" s="1"/>
  <c r="S1107" s="1"/>
  <c r="U1107" s="1"/>
  <c r="I1105"/>
  <c r="K1105" s="1"/>
  <c r="M1105" s="1"/>
  <c r="O1105" s="1"/>
  <c r="Q1105" s="1"/>
  <c r="S1105" s="1"/>
  <c r="U1105" s="1"/>
  <c r="I1101"/>
  <c r="K1101" s="1"/>
  <c r="M1101" s="1"/>
  <c r="O1101" s="1"/>
  <c r="Q1101" s="1"/>
  <c r="S1101" s="1"/>
  <c r="U1101" s="1"/>
  <c r="I1096"/>
  <c r="K1096" s="1"/>
  <c r="M1096" s="1"/>
  <c r="O1096" s="1"/>
  <c r="Q1096" s="1"/>
  <c r="S1096" s="1"/>
  <c r="U1096" s="1"/>
  <c r="I1092"/>
  <c r="K1092" s="1"/>
  <c r="M1092" s="1"/>
  <c r="O1092" s="1"/>
  <c r="Q1092" s="1"/>
  <c r="S1092" s="1"/>
  <c r="U1092" s="1"/>
  <c r="I1087"/>
  <c r="K1087" s="1"/>
  <c r="M1087" s="1"/>
  <c r="O1087" s="1"/>
  <c r="Q1087" s="1"/>
  <c r="S1087" s="1"/>
  <c r="U1087" s="1"/>
  <c r="I1083"/>
  <c r="K1083" s="1"/>
  <c r="M1083" s="1"/>
  <c r="O1083" s="1"/>
  <c r="Q1083" s="1"/>
  <c r="S1083" s="1"/>
  <c r="U1083" s="1"/>
  <c r="I1074"/>
  <c r="K1074" s="1"/>
  <c r="M1074" s="1"/>
  <c r="O1074" s="1"/>
  <c r="Q1074" s="1"/>
  <c r="S1074" s="1"/>
  <c r="U1074" s="1"/>
  <c r="I1070"/>
  <c r="K1070" s="1"/>
  <c r="M1070" s="1"/>
  <c r="O1070" s="1"/>
  <c r="Q1070" s="1"/>
  <c r="S1070" s="1"/>
  <c r="U1070" s="1"/>
  <c r="I1065"/>
  <c r="K1065" s="1"/>
  <c r="M1065" s="1"/>
  <c r="O1065" s="1"/>
  <c r="Q1065" s="1"/>
  <c r="S1065" s="1"/>
  <c r="U1065" s="1"/>
  <c r="I1052"/>
  <c r="K1052" s="1"/>
  <c r="M1052" s="1"/>
  <c r="O1052" s="1"/>
  <c r="Q1052" s="1"/>
  <c r="S1052" s="1"/>
  <c r="U1052" s="1"/>
  <c r="I1047"/>
  <c r="K1047" s="1"/>
  <c r="M1047" s="1"/>
  <c r="O1047" s="1"/>
  <c r="Q1047" s="1"/>
  <c r="S1047" s="1"/>
  <c r="U1047" s="1"/>
  <c r="I1038"/>
  <c r="K1038" s="1"/>
  <c r="M1038" s="1"/>
  <c r="O1038" s="1"/>
  <c r="Q1038" s="1"/>
  <c r="S1038" s="1"/>
  <c r="U1038" s="1"/>
  <c r="I1036"/>
  <c r="K1036" s="1"/>
  <c r="M1036" s="1"/>
  <c r="O1036" s="1"/>
  <c r="Q1036" s="1"/>
  <c r="S1036" s="1"/>
  <c r="U1036" s="1"/>
  <c r="I1027"/>
  <c r="K1027" s="1"/>
  <c r="M1027" s="1"/>
  <c r="O1027" s="1"/>
  <c r="Q1027" s="1"/>
  <c r="S1027" s="1"/>
  <c r="U1027" s="1"/>
  <c r="I1023"/>
  <c r="K1023" s="1"/>
  <c r="M1023" s="1"/>
  <c r="O1023" s="1"/>
  <c r="Q1023" s="1"/>
  <c r="S1023" s="1"/>
  <c r="U1023" s="1"/>
  <c r="I1014"/>
  <c r="K1014" s="1"/>
  <c r="M1014" s="1"/>
  <c r="O1014" s="1"/>
  <c r="Q1014" s="1"/>
  <c r="S1014" s="1"/>
  <c r="U1014" s="1"/>
  <c r="I1010"/>
  <c r="K1010" s="1"/>
  <c r="M1010" s="1"/>
  <c r="O1010" s="1"/>
  <c r="Q1010" s="1"/>
  <c r="S1010" s="1"/>
  <c r="U1010" s="1"/>
  <c r="I1006"/>
  <c r="K1006" s="1"/>
  <c r="M1006" s="1"/>
  <c r="O1006" s="1"/>
  <c r="Q1006" s="1"/>
  <c r="S1006" s="1"/>
  <c r="U1006" s="1"/>
  <c r="I1002"/>
  <c r="K1002" s="1"/>
  <c r="M1002" s="1"/>
  <c r="O1002" s="1"/>
  <c r="Q1002" s="1"/>
  <c r="S1002" s="1"/>
  <c r="U1002" s="1"/>
  <c r="I993"/>
  <c r="K993" s="1"/>
  <c r="M993" s="1"/>
  <c r="O993" s="1"/>
  <c r="Q993" s="1"/>
  <c r="S993" s="1"/>
  <c r="U993" s="1"/>
  <c r="I989"/>
  <c r="K989" s="1"/>
  <c r="M989" s="1"/>
  <c r="O989" s="1"/>
  <c r="Q989" s="1"/>
  <c r="S989" s="1"/>
  <c r="U989" s="1"/>
  <c r="I985"/>
  <c r="K985" s="1"/>
  <c r="M985" s="1"/>
  <c r="O985" s="1"/>
  <c r="Q985" s="1"/>
  <c r="S985" s="1"/>
  <c r="U985" s="1"/>
  <c r="I976"/>
  <c r="K976" s="1"/>
  <c r="M976" s="1"/>
  <c r="O976" s="1"/>
  <c r="Q976" s="1"/>
  <c r="S976" s="1"/>
  <c r="U976" s="1"/>
  <c r="I965"/>
  <c r="K965" s="1"/>
  <c r="M965" s="1"/>
  <c r="O965" s="1"/>
  <c r="Q965" s="1"/>
  <c r="S965" s="1"/>
  <c r="U965" s="1"/>
  <c r="I961"/>
  <c r="K961" s="1"/>
  <c r="M961" s="1"/>
  <c r="O961" s="1"/>
  <c r="Q961" s="1"/>
  <c r="S961" s="1"/>
  <c r="U961" s="1"/>
  <c r="I946"/>
  <c r="K946" s="1"/>
  <c r="M946" s="1"/>
  <c r="O946" s="1"/>
  <c r="Q946" s="1"/>
  <c r="S946" s="1"/>
  <c r="U946" s="1"/>
  <c r="I929"/>
  <c r="K929" s="1"/>
  <c r="M929" s="1"/>
  <c r="O929" s="1"/>
  <c r="Q929" s="1"/>
  <c r="S929" s="1"/>
  <c r="U929" s="1"/>
  <c r="I917"/>
  <c r="K917" s="1"/>
  <c r="M917" s="1"/>
  <c r="O917" s="1"/>
  <c r="Q917" s="1"/>
  <c r="S917" s="1"/>
  <c r="U917" s="1"/>
  <c r="I914"/>
  <c r="K914" s="1"/>
  <c r="M914" s="1"/>
  <c r="O914" s="1"/>
  <c r="Q914" s="1"/>
  <c r="S914" s="1"/>
  <c r="U914" s="1"/>
  <c r="I907"/>
  <c r="K907" s="1"/>
  <c r="M907" s="1"/>
  <c r="O907" s="1"/>
  <c r="Q907" s="1"/>
  <c r="S907" s="1"/>
  <c r="U907" s="1"/>
  <c r="I899"/>
  <c r="K899" s="1"/>
  <c r="M899" s="1"/>
  <c r="O899" s="1"/>
  <c r="Q899" s="1"/>
  <c r="S899" s="1"/>
  <c r="U899" s="1"/>
  <c r="I891"/>
  <c r="K891" s="1"/>
  <c r="M891" s="1"/>
  <c r="O891" s="1"/>
  <c r="Q891" s="1"/>
  <c r="S891" s="1"/>
  <c r="U891" s="1"/>
  <c r="I876"/>
  <c r="K876" s="1"/>
  <c r="M876" s="1"/>
  <c r="O876" s="1"/>
  <c r="Q876" s="1"/>
  <c r="S876" s="1"/>
  <c r="U876" s="1"/>
  <c r="I873"/>
  <c r="K873" s="1"/>
  <c r="M873" s="1"/>
  <c r="O873" s="1"/>
  <c r="Q873" s="1"/>
  <c r="S873" s="1"/>
  <c r="U873" s="1"/>
  <c r="I870"/>
  <c r="K870" s="1"/>
  <c r="M870" s="1"/>
  <c r="O870" s="1"/>
  <c r="Q870" s="1"/>
  <c r="S870" s="1"/>
  <c r="U870" s="1"/>
  <c r="I867"/>
  <c r="K867" s="1"/>
  <c r="M867" s="1"/>
  <c r="O867" s="1"/>
  <c r="Q867" s="1"/>
  <c r="S867" s="1"/>
  <c r="U867" s="1"/>
  <c r="I858"/>
  <c r="K858" s="1"/>
  <c r="M858" s="1"/>
  <c r="O858" s="1"/>
  <c r="Q858" s="1"/>
  <c r="S858" s="1"/>
  <c r="U858" s="1"/>
  <c r="I850"/>
  <c r="K850" s="1"/>
  <c r="M850" s="1"/>
  <c r="O850" s="1"/>
  <c r="Q850" s="1"/>
  <c r="S850" s="1"/>
  <c r="U850" s="1"/>
  <c r="I844"/>
  <c r="K844" s="1"/>
  <c r="M844" s="1"/>
  <c r="O844" s="1"/>
  <c r="Q844" s="1"/>
  <c r="S844" s="1"/>
  <c r="U844" s="1"/>
  <c r="I837"/>
  <c r="K837" s="1"/>
  <c r="M837" s="1"/>
  <c r="O837" s="1"/>
  <c r="Q837" s="1"/>
  <c r="S837" s="1"/>
  <c r="U837" s="1"/>
  <c r="I831"/>
  <c r="K831" s="1"/>
  <c r="M831" s="1"/>
  <c r="O831" s="1"/>
  <c r="Q831" s="1"/>
  <c r="S831" s="1"/>
  <c r="U831" s="1"/>
  <c r="I825"/>
  <c r="K825" s="1"/>
  <c r="M825" s="1"/>
  <c r="O825" s="1"/>
  <c r="Q825" s="1"/>
  <c r="S825" s="1"/>
  <c r="U825" s="1"/>
  <c r="I817"/>
  <c r="K817" s="1"/>
  <c r="M817" s="1"/>
  <c r="O817" s="1"/>
  <c r="Q817" s="1"/>
  <c r="S817" s="1"/>
  <c r="U817" s="1"/>
  <c r="I814"/>
  <c r="K814" s="1"/>
  <c r="M814" s="1"/>
  <c r="O814" s="1"/>
  <c r="Q814" s="1"/>
  <c r="S814" s="1"/>
  <c r="U814" s="1"/>
  <c r="I807"/>
  <c r="K807" s="1"/>
  <c r="M807" s="1"/>
  <c r="O807" s="1"/>
  <c r="Q807" s="1"/>
  <c r="S807" s="1"/>
  <c r="U807" s="1"/>
  <c r="I804"/>
  <c r="K804" s="1"/>
  <c r="M804" s="1"/>
  <c r="O804" s="1"/>
  <c r="Q804" s="1"/>
  <c r="S804" s="1"/>
  <c r="U804" s="1"/>
  <c r="I798"/>
  <c r="K798" s="1"/>
  <c r="M798" s="1"/>
  <c r="O798" s="1"/>
  <c r="Q798" s="1"/>
  <c r="S798" s="1"/>
  <c r="U798" s="1"/>
  <c r="I792"/>
  <c r="K792" s="1"/>
  <c r="M792" s="1"/>
  <c r="O792" s="1"/>
  <c r="Q792" s="1"/>
  <c r="S792" s="1"/>
  <c r="U792" s="1"/>
  <c r="I788"/>
  <c r="K788" s="1"/>
  <c r="M788" s="1"/>
  <c r="O788" s="1"/>
  <c r="Q788" s="1"/>
  <c r="S788" s="1"/>
  <c r="U788" s="1"/>
  <c r="I785"/>
  <c r="K785" s="1"/>
  <c r="M785" s="1"/>
  <c r="O785" s="1"/>
  <c r="Q785" s="1"/>
  <c r="S785" s="1"/>
  <c r="U785" s="1"/>
  <c r="I779"/>
  <c r="K779" s="1"/>
  <c r="M779" s="1"/>
  <c r="O779" s="1"/>
  <c r="Q779" s="1"/>
  <c r="S779" s="1"/>
  <c r="U779" s="1"/>
  <c r="I775"/>
  <c r="K775" s="1"/>
  <c r="M775" s="1"/>
  <c r="O775" s="1"/>
  <c r="Q775" s="1"/>
  <c r="S775" s="1"/>
  <c r="U775" s="1"/>
  <c r="I773"/>
  <c r="K773" s="1"/>
  <c r="M773" s="1"/>
  <c r="O773" s="1"/>
  <c r="Q773" s="1"/>
  <c r="S773" s="1"/>
  <c r="U773" s="1"/>
  <c r="I770"/>
  <c r="K770" s="1"/>
  <c r="M770" s="1"/>
  <c r="O770" s="1"/>
  <c r="Q770" s="1"/>
  <c r="S770" s="1"/>
  <c r="U770" s="1"/>
  <c r="I765"/>
  <c r="K765" s="1"/>
  <c r="M765" s="1"/>
  <c r="O765" s="1"/>
  <c r="Q765" s="1"/>
  <c r="S765" s="1"/>
  <c r="U765" s="1"/>
  <c r="I761"/>
  <c r="K761" s="1"/>
  <c r="M761" s="1"/>
  <c r="O761" s="1"/>
  <c r="Q761" s="1"/>
  <c r="S761" s="1"/>
  <c r="U761" s="1"/>
  <c r="I756"/>
  <c r="K756" s="1"/>
  <c r="M756" s="1"/>
  <c r="O756" s="1"/>
  <c r="Q756" s="1"/>
  <c r="S756" s="1"/>
  <c r="U756" s="1"/>
  <c r="I754"/>
  <c r="K754" s="1"/>
  <c r="M754" s="1"/>
  <c r="O754" s="1"/>
  <c r="Q754" s="1"/>
  <c r="S754" s="1"/>
  <c r="U754" s="1"/>
  <c r="I751"/>
  <c r="K751" s="1"/>
  <c r="M751" s="1"/>
  <c r="O751" s="1"/>
  <c r="Q751" s="1"/>
  <c r="S751" s="1"/>
  <c r="U751" s="1"/>
  <c r="I747"/>
  <c r="K747" s="1"/>
  <c r="M747" s="1"/>
  <c r="O747" s="1"/>
  <c r="Q747" s="1"/>
  <c r="S747" s="1"/>
  <c r="U747" s="1"/>
  <c r="I745"/>
  <c r="K745" s="1"/>
  <c r="M745" s="1"/>
  <c r="O745" s="1"/>
  <c r="Q745" s="1"/>
  <c r="S745" s="1"/>
  <c r="U745" s="1"/>
  <c r="I741"/>
  <c r="K741" s="1"/>
  <c r="M741" s="1"/>
  <c r="O741" s="1"/>
  <c r="Q741" s="1"/>
  <c r="S741" s="1"/>
  <c r="U741" s="1"/>
  <c r="I727"/>
  <c r="K727" s="1"/>
  <c r="M727" s="1"/>
  <c r="O727" s="1"/>
  <c r="Q727" s="1"/>
  <c r="S727" s="1"/>
  <c r="U727" s="1"/>
  <c r="I723"/>
  <c r="K723" s="1"/>
  <c r="M723" s="1"/>
  <c r="O723" s="1"/>
  <c r="Q723" s="1"/>
  <c r="S723" s="1"/>
  <c r="U723" s="1"/>
  <c r="I716"/>
  <c r="K716" s="1"/>
  <c r="M716" s="1"/>
  <c r="O716" s="1"/>
  <c r="Q716" s="1"/>
  <c r="S716" s="1"/>
  <c r="U716" s="1"/>
  <c r="I712"/>
  <c r="K712" s="1"/>
  <c r="M712" s="1"/>
  <c r="O712" s="1"/>
  <c r="Q712" s="1"/>
  <c r="S712" s="1"/>
  <c r="U712" s="1"/>
  <c r="I701"/>
  <c r="K701" s="1"/>
  <c r="M701" s="1"/>
  <c r="O701" s="1"/>
  <c r="Q701" s="1"/>
  <c r="S701" s="1"/>
  <c r="U701" s="1"/>
  <c r="I684"/>
  <c r="K684" s="1"/>
  <c r="M684" s="1"/>
  <c r="O684" s="1"/>
  <c r="Q684" s="1"/>
  <c r="S684" s="1"/>
  <c r="U684" s="1"/>
  <c r="I676"/>
  <c r="K676" s="1"/>
  <c r="M676" s="1"/>
  <c r="O676" s="1"/>
  <c r="Q676" s="1"/>
  <c r="S676" s="1"/>
  <c r="U676" s="1"/>
  <c r="I671"/>
  <c r="K671" s="1"/>
  <c r="M671" s="1"/>
  <c r="O671" s="1"/>
  <c r="Q671" s="1"/>
  <c r="S671" s="1"/>
  <c r="U671" s="1"/>
  <c r="I665"/>
  <c r="K665" s="1"/>
  <c r="M665" s="1"/>
  <c r="O665" s="1"/>
  <c r="Q665" s="1"/>
  <c r="S665" s="1"/>
  <c r="U665" s="1"/>
  <c r="I661"/>
  <c r="K661" s="1"/>
  <c r="M661" s="1"/>
  <c r="O661" s="1"/>
  <c r="Q661" s="1"/>
  <c r="S661" s="1"/>
  <c r="U661" s="1"/>
  <c r="I654"/>
  <c r="K654" s="1"/>
  <c r="M654" s="1"/>
  <c r="O654" s="1"/>
  <c r="Q654" s="1"/>
  <c r="S654" s="1"/>
  <c r="U654" s="1"/>
  <c r="I649"/>
  <c r="K649" s="1"/>
  <c r="M649" s="1"/>
  <c r="O649" s="1"/>
  <c r="Q649" s="1"/>
  <c r="S649" s="1"/>
  <c r="U649" s="1"/>
  <c r="I642"/>
  <c r="K642" s="1"/>
  <c r="M642" s="1"/>
  <c r="O642" s="1"/>
  <c r="Q642" s="1"/>
  <c r="S642" s="1"/>
  <c r="U642" s="1"/>
  <c r="I641"/>
  <c r="K641" s="1"/>
  <c r="M641" s="1"/>
  <c r="O641" s="1"/>
  <c r="Q641" s="1"/>
  <c r="S641" s="1"/>
  <c r="U641" s="1"/>
  <c r="I638"/>
  <c r="K638" s="1"/>
  <c r="M638" s="1"/>
  <c r="O638" s="1"/>
  <c r="Q638" s="1"/>
  <c r="S638" s="1"/>
  <c r="U638" s="1"/>
  <c r="I634"/>
  <c r="K634" s="1"/>
  <c r="M634" s="1"/>
  <c r="O634" s="1"/>
  <c r="Q634" s="1"/>
  <c r="S634" s="1"/>
  <c r="U634" s="1"/>
  <c r="I632"/>
  <c r="K632" s="1"/>
  <c r="M632" s="1"/>
  <c r="O632" s="1"/>
  <c r="Q632" s="1"/>
  <c r="S632" s="1"/>
  <c r="U632" s="1"/>
  <c r="I617"/>
  <c r="K617" s="1"/>
  <c r="M617" s="1"/>
  <c r="O617" s="1"/>
  <c r="Q617" s="1"/>
  <c r="S617" s="1"/>
  <c r="U617" s="1"/>
  <c r="I612"/>
  <c r="K612" s="1"/>
  <c r="M612" s="1"/>
  <c r="O612" s="1"/>
  <c r="Q612" s="1"/>
  <c r="S612" s="1"/>
  <c r="U612" s="1"/>
  <c r="I600"/>
  <c r="K600" s="1"/>
  <c r="M600" s="1"/>
  <c r="O600" s="1"/>
  <c r="Q600" s="1"/>
  <c r="S600" s="1"/>
  <c r="U600" s="1"/>
  <c r="I598"/>
  <c r="K598" s="1"/>
  <c r="M598" s="1"/>
  <c r="O598" s="1"/>
  <c r="Q598" s="1"/>
  <c r="S598" s="1"/>
  <c r="U598" s="1"/>
  <c r="I594"/>
  <c r="K594" s="1"/>
  <c r="M594" s="1"/>
  <c r="O594" s="1"/>
  <c r="Q594" s="1"/>
  <c r="S594" s="1"/>
  <c r="U594" s="1"/>
  <c r="I592"/>
  <c r="K592" s="1"/>
  <c r="M592" s="1"/>
  <c r="O592" s="1"/>
  <c r="Q592" s="1"/>
  <c r="S592" s="1"/>
  <c r="U592" s="1"/>
  <c r="I571"/>
  <c r="K571" s="1"/>
  <c r="M571" s="1"/>
  <c r="O571" s="1"/>
  <c r="Q571" s="1"/>
  <c r="S571" s="1"/>
  <c r="U571" s="1"/>
  <c r="I567"/>
  <c r="K567" s="1"/>
  <c r="M567" s="1"/>
  <c r="O567" s="1"/>
  <c r="Q567" s="1"/>
  <c r="S567" s="1"/>
  <c r="U567" s="1"/>
  <c r="I564"/>
  <c r="K564" s="1"/>
  <c r="M564" s="1"/>
  <c r="O564" s="1"/>
  <c r="Q564" s="1"/>
  <c r="S564" s="1"/>
  <c r="U564" s="1"/>
  <c r="I558"/>
  <c r="K558" s="1"/>
  <c r="M558" s="1"/>
  <c r="O558" s="1"/>
  <c r="Q558" s="1"/>
  <c r="S558" s="1"/>
  <c r="U558" s="1"/>
  <c r="I554"/>
  <c r="K554" s="1"/>
  <c r="M554" s="1"/>
  <c r="O554" s="1"/>
  <c r="Q554" s="1"/>
  <c r="S554" s="1"/>
  <c r="U554" s="1"/>
  <c r="I546"/>
  <c r="K546" s="1"/>
  <c r="M546" s="1"/>
  <c r="O546" s="1"/>
  <c r="Q546" s="1"/>
  <c r="S546" s="1"/>
  <c r="U546" s="1"/>
  <c r="I539"/>
  <c r="K539" s="1"/>
  <c r="M539" s="1"/>
  <c r="O539" s="1"/>
  <c r="Q539" s="1"/>
  <c r="S539" s="1"/>
  <c r="U539" s="1"/>
  <c r="I531"/>
  <c r="K531" s="1"/>
  <c r="M531" s="1"/>
  <c r="O531" s="1"/>
  <c r="Q531" s="1"/>
  <c r="S531" s="1"/>
  <c r="U531" s="1"/>
  <c r="I525"/>
  <c r="K525" s="1"/>
  <c r="M525" s="1"/>
  <c r="O525" s="1"/>
  <c r="Q525" s="1"/>
  <c r="S525" s="1"/>
  <c r="U525" s="1"/>
  <c r="I522"/>
  <c r="K522" s="1"/>
  <c r="M522" s="1"/>
  <c r="O522" s="1"/>
  <c r="Q522" s="1"/>
  <c r="S522" s="1"/>
  <c r="U522" s="1"/>
  <c r="I519"/>
  <c r="K519" s="1"/>
  <c r="M519" s="1"/>
  <c r="O519" s="1"/>
  <c r="Q519" s="1"/>
  <c r="S519" s="1"/>
  <c r="U519" s="1"/>
  <c r="I512"/>
  <c r="K512" s="1"/>
  <c r="M512" s="1"/>
  <c r="O512" s="1"/>
  <c r="Q512" s="1"/>
  <c r="S512" s="1"/>
  <c r="U512" s="1"/>
  <c r="I507"/>
  <c r="K507" s="1"/>
  <c r="M507" s="1"/>
  <c r="O507" s="1"/>
  <c r="Q507" s="1"/>
  <c r="S507" s="1"/>
  <c r="U507" s="1"/>
  <c r="I505"/>
  <c r="K505" s="1"/>
  <c r="M505" s="1"/>
  <c r="O505" s="1"/>
  <c r="Q505" s="1"/>
  <c r="S505" s="1"/>
  <c r="U505" s="1"/>
  <c r="I494"/>
  <c r="K494" s="1"/>
  <c r="M494" s="1"/>
  <c r="O494" s="1"/>
  <c r="Q494" s="1"/>
  <c r="S494" s="1"/>
  <c r="U494" s="1"/>
  <c r="I490"/>
  <c r="K490" s="1"/>
  <c r="M490" s="1"/>
  <c r="O490" s="1"/>
  <c r="Q490" s="1"/>
  <c r="S490" s="1"/>
  <c r="U490" s="1"/>
  <c r="I484"/>
  <c r="K484" s="1"/>
  <c r="M484" s="1"/>
  <c r="O484" s="1"/>
  <c r="Q484" s="1"/>
  <c r="S484" s="1"/>
  <c r="U484" s="1"/>
  <c r="I476"/>
  <c r="K476" s="1"/>
  <c r="M476" s="1"/>
  <c r="O476" s="1"/>
  <c r="Q476" s="1"/>
  <c r="S476" s="1"/>
  <c r="U476" s="1"/>
  <c r="I470"/>
  <c r="K470" s="1"/>
  <c r="M470" s="1"/>
  <c r="O470" s="1"/>
  <c r="Q470" s="1"/>
  <c r="S470" s="1"/>
  <c r="U470" s="1"/>
  <c r="I466"/>
  <c r="K466" s="1"/>
  <c r="M466" s="1"/>
  <c r="O466" s="1"/>
  <c r="Q466" s="1"/>
  <c r="S466" s="1"/>
  <c r="U466" s="1"/>
  <c r="I460"/>
  <c r="K460" s="1"/>
  <c r="M460" s="1"/>
  <c r="O460" s="1"/>
  <c r="Q460" s="1"/>
  <c r="S460" s="1"/>
  <c r="U460" s="1"/>
  <c r="I455"/>
  <c r="K455" s="1"/>
  <c r="M455" s="1"/>
  <c r="O455" s="1"/>
  <c r="Q455" s="1"/>
  <c r="S455" s="1"/>
  <c r="U455" s="1"/>
  <c r="I451"/>
  <c r="K451" s="1"/>
  <c r="M451" s="1"/>
  <c r="O451" s="1"/>
  <c r="Q451" s="1"/>
  <c r="S451" s="1"/>
  <c r="U451" s="1"/>
  <c r="I447"/>
  <c r="K447" s="1"/>
  <c r="M447" s="1"/>
  <c r="O447" s="1"/>
  <c r="Q447" s="1"/>
  <c r="S447" s="1"/>
  <c r="U447" s="1"/>
  <c r="I444"/>
  <c r="K444" s="1"/>
  <c r="M444" s="1"/>
  <c r="O444" s="1"/>
  <c r="Q444" s="1"/>
  <c r="S444" s="1"/>
  <c r="U444" s="1"/>
  <c r="I422"/>
  <c r="K422" s="1"/>
  <c r="M422" s="1"/>
  <c r="O422" s="1"/>
  <c r="Q422" s="1"/>
  <c r="S422" s="1"/>
  <c r="U422" s="1"/>
  <c r="I413"/>
  <c r="K413" s="1"/>
  <c r="M413" s="1"/>
  <c r="O413" s="1"/>
  <c r="Q413" s="1"/>
  <c r="S413" s="1"/>
  <c r="U413" s="1"/>
  <c r="I410"/>
  <c r="K410" s="1"/>
  <c r="M410" s="1"/>
  <c r="O410" s="1"/>
  <c r="Q410" s="1"/>
  <c r="S410" s="1"/>
  <c r="U410" s="1"/>
  <c r="I407"/>
  <c r="K407" s="1"/>
  <c r="M407" s="1"/>
  <c r="O407" s="1"/>
  <c r="Q407" s="1"/>
  <c r="S407" s="1"/>
  <c r="U407" s="1"/>
  <c r="I403"/>
  <c r="K403" s="1"/>
  <c r="M403" s="1"/>
  <c r="O403" s="1"/>
  <c r="Q403" s="1"/>
  <c r="S403" s="1"/>
  <c r="U403" s="1"/>
  <c r="I391"/>
  <c r="K391" s="1"/>
  <c r="M391" s="1"/>
  <c r="O391" s="1"/>
  <c r="Q391" s="1"/>
  <c r="S391" s="1"/>
  <c r="U391" s="1"/>
  <c r="I387"/>
  <c r="K387" s="1"/>
  <c r="M387" s="1"/>
  <c r="O387" s="1"/>
  <c r="Q387" s="1"/>
  <c r="S387" s="1"/>
  <c r="U387" s="1"/>
  <c r="I386"/>
  <c r="K386" s="1"/>
  <c r="M386" s="1"/>
  <c r="O386" s="1"/>
  <c r="Q386" s="1"/>
  <c r="S386" s="1"/>
  <c r="U386" s="1"/>
  <c r="I383"/>
  <c r="K383" s="1"/>
  <c r="M383" s="1"/>
  <c r="O383" s="1"/>
  <c r="Q383" s="1"/>
  <c r="S383" s="1"/>
  <c r="U383" s="1"/>
  <c r="I380"/>
  <c r="K380" s="1"/>
  <c r="M380" s="1"/>
  <c r="O380" s="1"/>
  <c r="Q380" s="1"/>
  <c r="S380" s="1"/>
  <c r="U380" s="1"/>
  <c r="I368"/>
  <c r="K368" s="1"/>
  <c r="M368" s="1"/>
  <c r="O368" s="1"/>
  <c r="Q368" s="1"/>
  <c r="S368" s="1"/>
  <c r="U368" s="1"/>
  <c r="I363"/>
  <c r="K363" s="1"/>
  <c r="M363" s="1"/>
  <c r="O363" s="1"/>
  <c r="Q363" s="1"/>
  <c r="S363" s="1"/>
  <c r="U363" s="1"/>
  <c r="I358"/>
  <c r="K358" s="1"/>
  <c r="M358" s="1"/>
  <c r="O358" s="1"/>
  <c r="Q358" s="1"/>
  <c r="S358" s="1"/>
  <c r="U358" s="1"/>
  <c r="I350"/>
  <c r="K350" s="1"/>
  <c r="M350" s="1"/>
  <c r="O350" s="1"/>
  <c r="Q350" s="1"/>
  <c r="S350" s="1"/>
  <c r="U350" s="1"/>
  <c r="I345"/>
  <c r="K345" s="1"/>
  <c r="M345" s="1"/>
  <c r="O345" s="1"/>
  <c r="Q345" s="1"/>
  <c r="S345" s="1"/>
  <c r="U345" s="1"/>
  <c r="I339"/>
  <c r="K339" s="1"/>
  <c r="M339" s="1"/>
  <c r="O339" s="1"/>
  <c r="Q339" s="1"/>
  <c r="S339" s="1"/>
  <c r="U339" s="1"/>
  <c r="I326"/>
  <c r="K326" s="1"/>
  <c r="M326" s="1"/>
  <c r="O326" s="1"/>
  <c r="Q326" s="1"/>
  <c r="S326" s="1"/>
  <c r="U326" s="1"/>
  <c r="I322"/>
  <c r="K322" s="1"/>
  <c r="M322" s="1"/>
  <c r="O322" s="1"/>
  <c r="Q322" s="1"/>
  <c r="S322" s="1"/>
  <c r="U322" s="1"/>
  <c r="I318"/>
  <c r="K318" s="1"/>
  <c r="M318" s="1"/>
  <c r="O318" s="1"/>
  <c r="Q318" s="1"/>
  <c r="S318" s="1"/>
  <c r="U318" s="1"/>
  <c r="I309"/>
  <c r="K309" s="1"/>
  <c r="M309" s="1"/>
  <c r="O309" s="1"/>
  <c r="Q309" s="1"/>
  <c r="S309" s="1"/>
  <c r="U309" s="1"/>
  <c r="I302"/>
  <c r="K302" s="1"/>
  <c r="M302" s="1"/>
  <c r="O302" s="1"/>
  <c r="Q302" s="1"/>
  <c r="S302" s="1"/>
  <c r="U302" s="1"/>
  <c r="I297"/>
  <c r="K297" s="1"/>
  <c r="M297" s="1"/>
  <c r="O297" s="1"/>
  <c r="Q297" s="1"/>
  <c r="S297" s="1"/>
  <c r="U297" s="1"/>
  <c r="I294"/>
  <c r="K294" s="1"/>
  <c r="M294" s="1"/>
  <c r="O294" s="1"/>
  <c r="Q294" s="1"/>
  <c r="S294" s="1"/>
  <c r="U294" s="1"/>
  <c r="I291"/>
  <c r="K291" s="1"/>
  <c r="M291" s="1"/>
  <c r="O291" s="1"/>
  <c r="Q291" s="1"/>
  <c r="S291" s="1"/>
  <c r="U291" s="1"/>
  <c r="I284"/>
  <c r="K284" s="1"/>
  <c r="M284" s="1"/>
  <c r="O284" s="1"/>
  <c r="Q284" s="1"/>
  <c r="S284" s="1"/>
  <c r="U284" s="1"/>
  <c r="I281"/>
  <c r="K281" s="1"/>
  <c r="M281" s="1"/>
  <c r="O281" s="1"/>
  <c r="Q281" s="1"/>
  <c r="S281" s="1"/>
  <c r="U281" s="1"/>
  <c r="I276"/>
  <c r="K276" s="1"/>
  <c r="M276" s="1"/>
  <c r="O276" s="1"/>
  <c r="Q276" s="1"/>
  <c r="S276" s="1"/>
  <c r="U276" s="1"/>
  <c r="I272"/>
  <c r="K272" s="1"/>
  <c r="M272" s="1"/>
  <c r="O272" s="1"/>
  <c r="Q272" s="1"/>
  <c r="S272" s="1"/>
  <c r="U272" s="1"/>
  <c r="I266"/>
  <c r="K266" s="1"/>
  <c r="M266" s="1"/>
  <c r="O266" s="1"/>
  <c r="Q266" s="1"/>
  <c r="S266" s="1"/>
  <c r="U266" s="1"/>
  <c r="I261"/>
  <c r="K261" s="1"/>
  <c r="M261" s="1"/>
  <c r="O261" s="1"/>
  <c r="Q261" s="1"/>
  <c r="S261" s="1"/>
  <c r="U261" s="1"/>
  <c r="I255"/>
  <c r="K255" s="1"/>
  <c r="M255" s="1"/>
  <c r="O255" s="1"/>
  <c r="Q255" s="1"/>
  <c r="S255" s="1"/>
  <c r="U255" s="1"/>
  <c r="I254"/>
  <c r="K254" s="1"/>
  <c r="M254" s="1"/>
  <c r="O254" s="1"/>
  <c r="Q254" s="1"/>
  <c r="S254" s="1"/>
  <c r="U254" s="1"/>
  <c r="I250"/>
  <c r="K250" s="1"/>
  <c r="M250" s="1"/>
  <c r="O250" s="1"/>
  <c r="Q250" s="1"/>
  <c r="S250" s="1"/>
  <c r="U250" s="1"/>
  <c r="I239"/>
  <c r="K239" s="1"/>
  <c r="M239" s="1"/>
  <c r="O239" s="1"/>
  <c r="Q239" s="1"/>
  <c r="S239" s="1"/>
  <c r="U239" s="1"/>
  <c r="I232"/>
  <c r="K232" s="1"/>
  <c r="M232" s="1"/>
  <c r="O232" s="1"/>
  <c r="Q232" s="1"/>
  <c r="S232" s="1"/>
  <c r="U232" s="1"/>
  <c r="I229"/>
  <c r="K229" s="1"/>
  <c r="M229" s="1"/>
  <c r="O229" s="1"/>
  <c r="Q229" s="1"/>
  <c r="S229" s="1"/>
  <c r="U229" s="1"/>
  <c r="I226"/>
  <c r="K226" s="1"/>
  <c r="M226" s="1"/>
  <c r="O226" s="1"/>
  <c r="Q226" s="1"/>
  <c r="S226" s="1"/>
  <c r="U226" s="1"/>
  <c r="I221"/>
  <c r="K221" s="1"/>
  <c r="M221" s="1"/>
  <c r="O221" s="1"/>
  <c r="Q221" s="1"/>
  <c r="S221" s="1"/>
  <c r="U221" s="1"/>
  <c r="I220"/>
  <c r="K220" s="1"/>
  <c r="M220" s="1"/>
  <c r="O220" s="1"/>
  <c r="Q220" s="1"/>
  <c r="S220" s="1"/>
  <c r="U220" s="1"/>
  <c r="I214"/>
  <c r="K214" s="1"/>
  <c r="M214" s="1"/>
  <c r="O214" s="1"/>
  <c r="Q214" s="1"/>
  <c r="S214" s="1"/>
  <c r="U214" s="1"/>
  <c r="I211"/>
  <c r="K211" s="1"/>
  <c r="M211" s="1"/>
  <c r="O211" s="1"/>
  <c r="Q211" s="1"/>
  <c r="S211" s="1"/>
  <c r="U211" s="1"/>
  <c r="I208"/>
  <c r="K208" s="1"/>
  <c r="M208" s="1"/>
  <c r="O208" s="1"/>
  <c r="Q208" s="1"/>
  <c r="S208" s="1"/>
  <c r="U208" s="1"/>
  <c r="I205"/>
  <c r="K205" s="1"/>
  <c r="M205" s="1"/>
  <c r="O205" s="1"/>
  <c r="Q205" s="1"/>
  <c r="S205" s="1"/>
  <c r="U205" s="1"/>
  <c r="I198"/>
  <c r="K198" s="1"/>
  <c r="M198" s="1"/>
  <c r="O198" s="1"/>
  <c r="Q198" s="1"/>
  <c r="S198" s="1"/>
  <c r="U198" s="1"/>
  <c r="I195"/>
  <c r="K195" s="1"/>
  <c r="M195" s="1"/>
  <c r="O195" s="1"/>
  <c r="Q195" s="1"/>
  <c r="S195" s="1"/>
  <c r="U195" s="1"/>
  <c r="I191"/>
  <c r="K191" s="1"/>
  <c r="M191" s="1"/>
  <c r="O191" s="1"/>
  <c r="Q191" s="1"/>
  <c r="S191" s="1"/>
  <c r="U191" s="1"/>
  <c r="I185"/>
  <c r="K185" s="1"/>
  <c r="M185" s="1"/>
  <c r="O185" s="1"/>
  <c r="Q185" s="1"/>
  <c r="S185" s="1"/>
  <c r="U185" s="1"/>
  <c r="I181"/>
  <c r="K181" s="1"/>
  <c r="M181" s="1"/>
  <c r="O181" s="1"/>
  <c r="Q181" s="1"/>
  <c r="S181" s="1"/>
  <c r="U181" s="1"/>
  <c r="I170"/>
  <c r="K170" s="1"/>
  <c r="M170" s="1"/>
  <c r="O170" s="1"/>
  <c r="Q170" s="1"/>
  <c r="S170" s="1"/>
  <c r="U170" s="1"/>
  <c r="I163"/>
  <c r="K163" s="1"/>
  <c r="M163" s="1"/>
  <c r="O163" s="1"/>
  <c r="Q163" s="1"/>
  <c r="S163" s="1"/>
  <c r="U163" s="1"/>
  <c r="I157"/>
  <c r="K157" s="1"/>
  <c r="M157" s="1"/>
  <c r="O157" s="1"/>
  <c r="Q157" s="1"/>
  <c r="S157" s="1"/>
  <c r="U157" s="1"/>
  <c r="I153"/>
  <c r="K153" s="1"/>
  <c r="M153" s="1"/>
  <c r="O153" s="1"/>
  <c r="Q153" s="1"/>
  <c r="S153" s="1"/>
  <c r="U153" s="1"/>
  <c r="I149"/>
  <c r="K149" s="1"/>
  <c r="M149" s="1"/>
  <c r="O149" s="1"/>
  <c r="Q149" s="1"/>
  <c r="S149" s="1"/>
  <c r="U149" s="1"/>
  <c r="I145"/>
  <c r="K145" s="1"/>
  <c r="M145" s="1"/>
  <c r="O145" s="1"/>
  <c r="Q145" s="1"/>
  <c r="S145" s="1"/>
  <c r="U145" s="1"/>
  <c r="I136"/>
  <c r="K136" s="1"/>
  <c r="M136" s="1"/>
  <c r="O136" s="1"/>
  <c r="Q136" s="1"/>
  <c r="S136" s="1"/>
  <c r="U136" s="1"/>
  <c r="I135"/>
  <c r="K135" s="1"/>
  <c r="M135" s="1"/>
  <c r="O135" s="1"/>
  <c r="Q135" s="1"/>
  <c r="S135" s="1"/>
  <c r="U135" s="1"/>
  <c r="I130"/>
  <c r="K130" s="1"/>
  <c r="M130" s="1"/>
  <c r="O130" s="1"/>
  <c r="Q130" s="1"/>
  <c r="S130" s="1"/>
  <c r="U130" s="1"/>
  <c r="I125"/>
  <c r="K125" s="1"/>
  <c r="M125" s="1"/>
  <c r="O125" s="1"/>
  <c r="Q125" s="1"/>
  <c r="S125" s="1"/>
  <c r="U125" s="1"/>
  <c r="I124"/>
  <c r="K124" s="1"/>
  <c r="M124" s="1"/>
  <c r="O124" s="1"/>
  <c r="Q124" s="1"/>
  <c r="S124" s="1"/>
  <c r="U124" s="1"/>
  <c r="I121"/>
  <c r="K121" s="1"/>
  <c r="M121" s="1"/>
  <c r="O121" s="1"/>
  <c r="Q121" s="1"/>
  <c r="S121" s="1"/>
  <c r="U121" s="1"/>
  <c r="I108"/>
  <c r="K108" s="1"/>
  <c r="M108" s="1"/>
  <c r="O108" s="1"/>
  <c r="Q108" s="1"/>
  <c r="S108" s="1"/>
  <c r="U108" s="1"/>
  <c r="I104"/>
  <c r="K104" s="1"/>
  <c r="M104" s="1"/>
  <c r="O104" s="1"/>
  <c r="Q104" s="1"/>
  <c r="S104" s="1"/>
  <c r="U104" s="1"/>
  <c r="I99"/>
  <c r="K99" s="1"/>
  <c r="M99" s="1"/>
  <c r="O99" s="1"/>
  <c r="Q99" s="1"/>
  <c r="S99" s="1"/>
  <c r="U99" s="1"/>
  <c r="I94"/>
  <c r="K94" s="1"/>
  <c r="M94" s="1"/>
  <c r="O94" s="1"/>
  <c r="Q94" s="1"/>
  <c r="S94" s="1"/>
  <c r="U94" s="1"/>
  <c r="I89"/>
  <c r="K89" s="1"/>
  <c r="M89" s="1"/>
  <c r="O89" s="1"/>
  <c r="Q89" s="1"/>
  <c r="S89" s="1"/>
  <c r="U89" s="1"/>
  <c r="I86"/>
  <c r="K86" s="1"/>
  <c r="M86" s="1"/>
  <c r="O86" s="1"/>
  <c r="Q86" s="1"/>
  <c r="S86" s="1"/>
  <c r="U86" s="1"/>
  <c r="I82"/>
  <c r="K82" s="1"/>
  <c r="M82" s="1"/>
  <c r="O82" s="1"/>
  <c r="Q82" s="1"/>
  <c r="S82" s="1"/>
  <c r="U82" s="1"/>
  <c r="I79"/>
  <c r="K79" s="1"/>
  <c r="M79" s="1"/>
  <c r="O79" s="1"/>
  <c r="Q79" s="1"/>
  <c r="S79" s="1"/>
  <c r="U79" s="1"/>
  <c r="I76"/>
  <c r="K76" s="1"/>
  <c r="M76" s="1"/>
  <c r="O76" s="1"/>
  <c r="Q76" s="1"/>
  <c r="S76" s="1"/>
  <c r="U76" s="1"/>
  <c r="I64"/>
  <c r="K64" s="1"/>
  <c r="M64" s="1"/>
  <c r="O64" s="1"/>
  <c r="Q64" s="1"/>
  <c r="S64" s="1"/>
  <c r="U64" s="1"/>
  <c r="I55"/>
  <c r="K55" s="1"/>
  <c r="M55" s="1"/>
  <c r="O55" s="1"/>
  <c r="Q55" s="1"/>
  <c r="S55" s="1"/>
  <c r="U55" s="1"/>
  <c r="I51"/>
  <c r="K51" s="1"/>
  <c r="M51" s="1"/>
  <c r="O51" s="1"/>
  <c r="Q51" s="1"/>
  <c r="S51" s="1"/>
  <c r="U51" s="1"/>
  <c r="I48"/>
  <c r="K48" s="1"/>
  <c r="M48" s="1"/>
  <c r="O48" s="1"/>
  <c r="Q48" s="1"/>
  <c r="S48" s="1"/>
  <c r="U48" s="1"/>
  <c r="I45"/>
  <c r="K45" s="1"/>
  <c r="M45" s="1"/>
  <c r="O45" s="1"/>
  <c r="Q45" s="1"/>
  <c r="S45" s="1"/>
  <c r="U45" s="1"/>
  <c r="I42"/>
  <c r="K42" s="1"/>
  <c r="M42" s="1"/>
  <c r="O42" s="1"/>
  <c r="Q42" s="1"/>
  <c r="S42" s="1"/>
  <c r="U42" s="1"/>
  <c r="I39"/>
  <c r="K39" s="1"/>
  <c r="M39" s="1"/>
  <c r="O39" s="1"/>
  <c r="Q39" s="1"/>
  <c r="S39" s="1"/>
  <c r="U39" s="1"/>
  <c r="I36"/>
  <c r="K36" s="1"/>
  <c r="M36" s="1"/>
  <c r="O36" s="1"/>
  <c r="Q36" s="1"/>
  <c r="S36" s="1"/>
  <c r="U36" s="1"/>
  <c r="I29"/>
  <c r="K29" s="1"/>
  <c r="M29" s="1"/>
  <c r="O29" s="1"/>
  <c r="Q29" s="1"/>
  <c r="S29" s="1"/>
  <c r="U29" s="1"/>
  <c r="H1051"/>
  <c r="H1050" s="1"/>
  <c r="H1049" s="1"/>
  <c r="H1048" s="1"/>
  <c r="H928"/>
  <c r="H927" s="1"/>
  <c r="H926" s="1"/>
  <c r="H921" s="1"/>
  <c r="H920" s="1"/>
  <c r="H919" s="1"/>
  <c r="H1740"/>
  <c r="H1739" s="1"/>
  <c r="H1737"/>
  <c r="H1736" s="1"/>
  <c r="H1734"/>
  <c r="H1728"/>
  <c r="H1727" s="1"/>
  <c r="H1726" s="1"/>
  <c r="H1725" s="1"/>
  <c r="H1722"/>
  <c r="H1721" s="1"/>
  <c r="H1719"/>
  <c r="H1690"/>
  <c r="H1689" s="1"/>
  <c r="H1688" s="1"/>
  <c r="H1687" s="1"/>
  <c r="H1686" s="1"/>
  <c r="H1685" s="1"/>
  <c r="H1684" s="1"/>
  <c r="H1665"/>
  <c r="H1664" s="1"/>
  <c r="H1663" s="1"/>
  <c r="H1653"/>
  <c r="H1652" s="1"/>
  <c r="H1651" s="1"/>
  <c r="H1649"/>
  <c r="H1648" s="1"/>
  <c r="H1647" s="1"/>
  <c r="H1645"/>
  <c r="H1644" s="1"/>
  <c r="H1643" s="1"/>
  <c r="H1638"/>
  <c r="H1637" s="1"/>
  <c r="H1635"/>
  <c r="H1634" s="1"/>
  <c r="H1631"/>
  <c r="H1630" s="1"/>
  <c r="H1629" s="1"/>
  <c r="H1625"/>
  <c r="H1624" s="1"/>
  <c r="H1623" s="1"/>
  <c r="H1622" s="1"/>
  <c r="H1621" s="1"/>
  <c r="H1618"/>
  <c r="H1617" s="1"/>
  <c r="H1616" s="1"/>
  <c r="H1615" s="1"/>
  <c r="H1614" s="1"/>
  <c r="H1613" s="1"/>
  <c r="H1607"/>
  <c r="H1606" s="1"/>
  <c r="H1605" s="1"/>
  <c r="H1604" s="1"/>
  <c r="H1603" s="1"/>
  <c r="H1602" s="1"/>
  <c r="E37" i="1" s="1"/>
  <c r="H1593" i="5"/>
  <c r="H1592" s="1"/>
  <c r="H1590"/>
  <c r="H1589" s="1"/>
  <c r="H1587"/>
  <c r="H1586" s="1"/>
  <c r="H1584"/>
  <c r="H1573"/>
  <c r="H1572" s="1"/>
  <c r="H1570"/>
  <c r="H1569" s="1"/>
  <c r="H1567"/>
  <c r="H1555"/>
  <c r="H1554" s="1"/>
  <c r="H1553" s="1"/>
  <c r="H1552" s="1"/>
  <c r="H1550"/>
  <c r="H1549" s="1"/>
  <c r="H1548" s="1"/>
  <c r="H1547" s="1"/>
  <c r="H1521"/>
  <c r="H1520" s="1"/>
  <c r="H1519" s="1"/>
  <c r="H1518" s="1"/>
  <c r="H1517" s="1"/>
  <c r="H1516" s="1"/>
  <c r="H1514"/>
  <c r="H1513" s="1"/>
  <c r="H1512" s="1"/>
  <c r="H1511" s="1"/>
  <c r="H1509"/>
  <c r="H1508" s="1"/>
  <c r="H1507" s="1"/>
  <c r="H1506" s="1"/>
  <c r="H1498"/>
  <c r="H1497" s="1"/>
  <c r="H1496" s="1"/>
  <c r="H1495" s="1"/>
  <c r="H1493"/>
  <c r="H1492" s="1"/>
  <c r="H1491" s="1"/>
  <c r="H1489"/>
  <c r="H1488" s="1"/>
  <c r="H1487" s="1"/>
  <c r="H1481"/>
  <c r="H1480" s="1"/>
  <c r="H1478"/>
  <c r="H1475"/>
  <c r="H1474" s="1"/>
  <c r="H1472"/>
  <c r="H1463"/>
  <c r="H1462" s="1"/>
  <c r="H1460"/>
  <c r="H1454"/>
  <c r="H1453" s="1"/>
  <c r="H1451"/>
  <c r="H1450" s="1"/>
  <c r="H1448"/>
  <c r="H1436"/>
  <c r="H1435" s="1"/>
  <c r="H1431" s="1"/>
  <c r="H1426"/>
  <c r="H1425" s="1"/>
  <c r="H1423"/>
  <c r="H1419"/>
  <c r="H1418" s="1"/>
  <c r="H1417" s="1"/>
  <c r="H1411"/>
  <c r="H1410" s="1"/>
  <c r="H1409" s="1"/>
  <c r="H1404"/>
  <c r="H1403" s="1"/>
  <c r="H1399" s="1"/>
  <c r="H1397"/>
  <c r="H1396" s="1"/>
  <c r="H1392" s="1"/>
  <c r="H1389"/>
  <c r="H1388" s="1"/>
  <c r="H1384" s="1"/>
  <c r="H1368"/>
  <c r="H1367" s="1"/>
  <c r="H1363" s="1"/>
  <c r="H1362" s="1"/>
  <c r="H1360"/>
  <c r="H1359" s="1"/>
  <c r="H1355" s="1"/>
  <c r="H1354" s="1"/>
  <c r="H1352"/>
  <c r="H1351" s="1"/>
  <c r="H1347" s="1"/>
  <c r="H1346" s="1"/>
  <c r="H1344"/>
  <c r="H1343" s="1"/>
  <c r="H1339" s="1"/>
  <c r="H1338" s="1"/>
  <c r="H1334"/>
  <c r="H1333" s="1"/>
  <c r="H1332" s="1"/>
  <c r="H1331" s="1"/>
  <c r="H1330" s="1"/>
  <c r="H1326"/>
  <c r="H1325" s="1"/>
  <c r="H1324" s="1"/>
  <c r="H1319" s="1"/>
  <c r="H1318" s="1"/>
  <c r="E55" i="1" s="1"/>
  <c r="H1315" i="5"/>
  <c r="H1314" s="1"/>
  <c r="H1313" s="1"/>
  <c r="H1311"/>
  <c r="H1310" s="1"/>
  <c r="H1309" s="1"/>
  <c r="H1305"/>
  <c r="H1304" s="1"/>
  <c r="H1303" s="1"/>
  <c r="H1301"/>
  <c r="H1300" s="1"/>
  <c r="H1299" s="1"/>
  <c r="H1286"/>
  <c r="H1285" s="1"/>
  <c r="H1283"/>
  <c r="H1277"/>
  <c r="H1276" s="1"/>
  <c r="H1275" s="1"/>
  <c r="H1274" s="1"/>
  <c r="H1266"/>
  <c r="H1265" s="1"/>
  <c r="H1264" s="1"/>
  <c r="H1263" s="1"/>
  <c r="H1262" s="1"/>
  <c r="E61" i="1" s="1"/>
  <c r="H1254" i="5"/>
  <c r="H1253" s="1"/>
  <c r="H1252" s="1"/>
  <c r="H1250"/>
  <c r="H1248"/>
  <c r="H1245"/>
  <c r="H1244" s="1"/>
  <c r="H1241"/>
  <c r="H1239"/>
  <c r="H1235"/>
  <c r="H1234" s="1"/>
  <c r="H1233" s="1"/>
  <c r="H1228"/>
  <c r="H1226"/>
  <c r="H1222"/>
  <c r="H1220"/>
  <c r="H1215"/>
  <c r="H1213"/>
  <c r="H1202"/>
  <c r="H1200"/>
  <c r="H1188"/>
  <c r="H1187" s="1"/>
  <c r="H1185"/>
  <c r="H1184" s="1"/>
  <c r="H1182"/>
  <c r="H1171"/>
  <c r="H1169"/>
  <c r="H1153"/>
  <c r="H1151"/>
  <c r="H1147"/>
  <c r="H1146" s="1"/>
  <c r="H1145" s="1"/>
  <c r="H1141"/>
  <c r="H1140" s="1"/>
  <c r="H1139" s="1"/>
  <c r="H1137"/>
  <c r="H1136" s="1"/>
  <c r="H1135" s="1"/>
  <c r="H1133"/>
  <c r="H1132" s="1"/>
  <c r="H1129"/>
  <c r="H1128" s="1"/>
  <c r="H1127" s="1"/>
  <c r="H1124"/>
  <c r="H1123" s="1"/>
  <c r="H1122" s="1"/>
  <c r="H1121" s="1"/>
  <c r="H1119"/>
  <c r="H1118" s="1"/>
  <c r="H1117" s="1"/>
  <c r="H1115"/>
  <c r="H1114" s="1"/>
  <c r="H1113" s="1"/>
  <c r="H1111"/>
  <c r="H1110" s="1"/>
  <c r="H1109" s="1"/>
  <c r="H1106"/>
  <c r="H1104"/>
  <c r="H1100"/>
  <c r="H1099" s="1"/>
  <c r="H1098" s="1"/>
  <c r="H1095"/>
  <c r="H1094" s="1"/>
  <c r="H1093" s="1"/>
  <c r="H1091"/>
  <c r="H1090" s="1"/>
  <c r="H1089" s="1"/>
  <c r="H1086"/>
  <c r="H1085" s="1"/>
  <c r="H1084" s="1"/>
  <c r="H1082"/>
  <c r="H1081" s="1"/>
  <c r="H1080" s="1"/>
  <c r="H1073"/>
  <c r="H1072" s="1"/>
  <c r="H1071" s="1"/>
  <c r="H1069"/>
  <c r="H1068" s="1"/>
  <c r="H1067" s="1"/>
  <c r="H1064"/>
  <c r="H1063" s="1"/>
  <c r="H1062" s="1"/>
  <c r="H1061" s="1"/>
  <c r="H1046"/>
  <c r="H1045" s="1"/>
  <c r="H1044" s="1"/>
  <c r="H1043" s="1"/>
  <c r="H1037"/>
  <c r="H1035"/>
  <c r="H1026"/>
  <c r="H1025" s="1"/>
  <c r="H1024" s="1"/>
  <c r="H1022"/>
  <c r="H1021" s="1"/>
  <c r="H1020" s="1"/>
  <c r="H1013"/>
  <c r="H1012" s="1"/>
  <c r="H1011" s="1"/>
  <c r="H1009"/>
  <c r="H1008" s="1"/>
  <c r="H1007" s="1"/>
  <c r="H1005"/>
  <c r="H1004" s="1"/>
  <c r="H1003" s="1"/>
  <c r="H1001"/>
  <c r="H1000" s="1"/>
  <c r="H999" s="1"/>
  <c r="H992"/>
  <c r="H991" s="1"/>
  <c r="H990" s="1"/>
  <c r="H988"/>
  <c r="H987" s="1"/>
  <c r="H986" s="1"/>
  <c r="H984"/>
  <c r="H983" s="1"/>
  <c r="H982" s="1"/>
  <c r="H975"/>
  <c r="H974" s="1"/>
  <c r="H970" s="1"/>
  <c r="H969" s="1"/>
  <c r="H964"/>
  <c r="H963" s="1"/>
  <c r="H962" s="1"/>
  <c r="H960"/>
  <c r="H959" s="1"/>
  <c r="H958" s="1"/>
  <c r="H945"/>
  <c r="H944" s="1"/>
  <c r="H943" s="1"/>
  <c r="H942" s="1"/>
  <c r="H941" s="1"/>
  <c r="H916"/>
  <c r="H915" s="1"/>
  <c r="H913"/>
  <c r="H906"/>
  <c r="H905" s="1"/>
  <c r="H904" s="1"/>
  <c r="H903" s="1"/>
  <c r="H902" s="1"/>
  <c r="H901" s="1"/>
  <c r="H900" s="1"/>
  <c r="H898"/>
  <c r="H890"/>
  <c r="H889" s="1"/>
  <c r="H888" s="1"/>
  <c r="H887" s="1"/>
  <c r="H886" s="1"/>
  <c r="H885" s="1"/>
  <c r="H884" s="1"/>
  <c r="H875"/>
  <c r="H874" s="1"/>
  <c r="H872"/>
  <c r="H871" s="1"/>
  <c r="H869"/>
  <c r="H868" s="1"/>
  <c r="H866"/>
  <c r="H857"/>
  <c r="H856" s="1"/>
  <c r="H852" s="1"/>
  <c r="H851" s="1"/>
  <c r="H849"/>
  <c r="H848" s="1"/>
  <c r="H847" s="1"/>
  <c r="H846" s="1"/>
  <c r="H845" s="1"/>
  <c r="H843"/>
  <c r="H842" s="1"/>
  <c r="H841" s="1"/>
  <c r="H840" s="1"/>
  <c r="H835"/>
  <c r="H834" s="1"/>
  <c r="H833" s="1"/>
  <c r="H832" s="1"/>
  <c r="H830"/>
  <c r="H829" s="1"/>
  <c r="H828" s="1"/>
  <c r="H827" s="1"/>
  <c r="H826" s="1"/>
  <c r="H824"/>
  <c r="H823" s="1"/>
  <c r="H822" s="1"/>
  <c r="H821" s="1"/>
  <c r="H816"/>
  <c r="H815" s="1"/>
  <c r="H813"/>
  <c r="H806"/>
  <c r="H803"/>
  <c r="H802" s="1"/>
  <c r="H801" s="1"/>
  <c r="H797"/>
  <c r="H796" s="1"/>
  <c r="H795" s="1"/>
  <c r="H794" s="1"/>
  <c r="H793" s="1"/>
  <c r="H791"/>
  <c r="H790" s="1"/>
  <c r="H787"/>
  <c r="H786" s="1"/>
  <c r="H784"/>
  <c r="H783" s="1"/>
  <c r="H774"/>
  <c r="H772"/>
  <c r="H769"/>
  <c r="H768" s="1"/>
  <c r="H764"/>
  <c r="H763" s="1"/>
  <c r="H762" s="1"/>
  <c r="H760"/>
  <c r="H759" s="1"/>
  <c r="H758" s="1"/>
  <c r="H755"/>
  <c r="H753"/>
  <c r="H750"/>
  <c r="H749" s="1"/>
  <c r="H748" s="1"/>
  <c r="H746"/>
  <c r="H744"/>
  <c r="G191" i="6" s="1"/>
  <c r="H740" i="5"/>
  <c r="H739" s="1"/>
  <c r="H726"/>
  <c r="H725" s="1"/>
  <c r="H724" s="1"/>
  <c r="H722"/>
  <c r="H721" s="1"/>
  <c r="H720" s="1"/>
  <c r="H715"/>
  <c r="H714" s="1"/>
  <c r="H713" s="1"/>
  <c r="H711"/>
  <c r="H710" s="1"/>
  <c r="H709" s="1"/>
  <c r="H700"/>
  <c r="H699" s="1"/>
  <c r="H698" s="1"/>
  <c r="H697" s="1"/>
  <c r="H692" s="1"/>
  <c r="H691" s="1"/>
  <c r="H683"/>
  <c r="H682" s="1"/>
  <c r="H680"/>
  <c r="H679" s="1"/>
  <c r="H675"/>
  <c r="H674" s="1"/>
  <c r="H673" s="1"/>
  <c r="H672" s="1"/>
  <c r="H670"/>
  <c r="H669" s="1"/>
  <c r="H668" s="1"/>
  <c r="H667" s="1"/>
  <c r="H664"/>
  <c r="H663" s="1"/>
  <c r="H662" s="1"/>
  <c r="H660"/>
  <c r="H659" s="1"/>
  <c r="H658" s="1"/>
  <c r="H652"/>
  <c r="H651" s="1"/>
  <c r="H648"/>
  <c r="H645"/>
  <c r="H640"/>
  <c r="H639" s="1"/>
  <c r="H637"/>
  <c r="H636" s="1"/>
  <c r="H635" s="1"/>
  <c r="H633"/>
  <c r="H631"/>
  <c r="H616"/>
  <c r="H615" s="1"/>
  <c r="H614" s="1"/>
  <c r="H613" s="1"/>
  <c r="H611"/>
  <c r="H610" s="1"/>
  <c r="H609" s="1"/>
  <c r="H608" s="1"/>
  <c r="H599"/>
  <c r="H597"/>
  <c r="H593"/>
  <c r="H591"/>
  <c r="H569"/>
  <c r="H568" s="1"/>
  <c r="H566"/>
  <c r="H565" s="1"/>
  <c r="H563"/>
  <c r="H557"/>
  <c r="H556" s="1"/>
  <c r="H555" s="1"/>
  <c r="H553"/>
  <c r="H552" s="1"/>
  <c r="H551" s="1"/>
  <c r="H545"/>
  <c r="H544" s="1"/>
  <c r="H543" s="1"/>
  <c r="H542" s="1"/>
  <c r="H541" s="1"/>
  <c r="H540" s="1"/>
  <c r="H538"/>
  <c r="H537" s="1"/>
  <c r="H536" s="1"/>
  <c r="H535" s="1"/>
  <c r="H534" s="1"/>
  <c r="H533" s="1"/>
  <c r="H530"/>
  <c r="H529" s="1"/>
  <c r="H528" s="1"/>
  <c r="H527" s="1"/>
  <c r="H524"/>
  <c r="H523" s="1"/>
  <c r="H521"/>
  <c r="H520" s="1"/>
  <c r="H518"/>
  <c r="H511"/>
  <c r="H510" s="1"/>
  <c r="H509" s="1"/>
  <c r="H508" s="1"/>
  <c r="H506"/>
  <c r="H504"/>
  <c r="H503" s="1"/>
  <c r="H493"/>
  <c r="H492" s="1"/>
  <c r="H491" s="1"/>
  <c r="H489"/>
  <c r="H488" s="1"/>
  <c r="H487" s="1"/>
  <c r="H483"/>
  <c r="H482" s="1"/>
  <c r="H481" s="1"/>
  <c r="H480" s="1"/>
  <c r="H479" s="1"/>
  <c r="H475"/>
  <c r="H474" s="1"/>
  <c r="H473" s="1"/>
  <c r="H472" s="1"/>
  <c r="H471" s="1"/>
  <c r="H468"/>
  <c r="H465"/>
  <c r="H464" s="1"/>
  <c r="H463" s="1"/>
  <c r="H462" s="1"/>
  <c r="H459"/>
  <c r="H458" s="1"/>
  <c r="H457" s="1"/>
  <c r="H456" s="1"/>
  <c r="H454"/>
  <c r="H453" s="1"/>
  <c r="H452" s="1"/>
  <c r="H450"/>
  <c r="H449" s="1"/>
  <c r="H446"/>
  <c r="H443"/>
  <c r="H421"/>
  <c r="H420" s="1"/>
  <c r="H419" s="1"/>
  <c r="H418" s="1"/>
  <c r="H417" s="1"/>
  <c r="H416" s="1"/>
  <c r="H415" s="1"/>
  <c r="H412"/>
  <c r="H411" s="1"/>
  <c r="H409"/>
  <c r="H408" s="1"/>
  <c r="H405"/>
  <c r="H404" s="1"/>
  <c r="H401"/>
  <c r="H399"/>
  <c r="H390"/>
  <c r="H389" s="1"/>
  <c r="H388" s="1"/>
  <c r="H385"/>
  <c r="H384" s="1"/>
  <c r="H381"/>
  <c r="H379"/>
  <c r="H367"/>
  <c r="H366" s="1"/>
  <c r="H365" s="1"/>
  <c r="H364" s="1"/>
  <c r="H362"/>
  <c r="H361" s="1"/>
  <c r="H360" s="1"/>
  <c r="H359" s="1"/>
  <c r="H349"/>
  <c r="H348" s="1"/>
  <c r="H347" s="1"/>
  <c r="H346" s="1"/>
  <c r="H344"/>
  <c r="H343" s="1"/>
  <c r="H342" s="1"/>
  <c r="H338"/>
  <c r="H337" s="1"/>
  <c r="H336" s="1"/>
  <c r="H335" s="1"/>
  <c r="H334" s="1"/>
  <c r="E54" i="1" s="1"/>
  <c r="H321" i="5"/>
  <c r="H320" s="1"/>
  <c r="H319" s="1"/>
  <c r="H317"/>
  <c r="H316" s="1"/>
  <c r="H315" s="1"/>
  <c r="H49"/>
  <c r="F148" i="6"/>
  <c r="G883" i="5"/>
  <c r="G664"/>
  <c r="G663" s="1"/>
  <c r="F1811" i="6"/>
  <c r="G459" i="5"/>
  <c r="F523" i="6"/>
  <c r="F522" s="1"/>
  <c r="F526"/>
  <c r="F529"/>
  <c r="F528" s="1"/>
  <c r="F527" s="1"/>
  <c r="F535"/>
  <c r="F534" s="1"/>
  <c r="F538"/>
  <c r="F537" s="1"/>
  <c r="F536" s="1"/>
  <c r="G308" i="5"/>
  <c r="G307" s="1"/>
  <c r="G306" s="1"/>
  <c r="G313"/>
  <c r="G312" s="1"/>
  <c r="G311" s="1"/>
  <c r="G310" s="1"/>
  <c r="F1491" i="6"/>
  <c r="G367" i="5"/>
  <c r="G1464"/>
  <c r="F1725" i="6" s="1"/>
  <c r="G1461" i="5"/>
  <c r="I1461" s="1"/>
  <c r="K1461" s="1"/>
  <c r="M1461" s="1"/>
  <c r="O1461" s="1"/>
  <c r="Q1461" s="1"/>
  <c r="S1461" s="1"/>
  <c r="U1461" s="1"/>
  <c r="G1424"/>
  <c r="G1423" s="1"/>
  <c r="G118"/>
  <c r="G117" s="1"/>
  <c r="G400"/>
  <c r="I400" s="1"/>
  <c r="K400" s="1"/>
  <c r="M400" s="1"/>
  <c r="O400" s="1"/>
  <c r="Q400" s="1"/>
  <c r="S400" s="1"/>
  <c r="U400" s="1"/>
  <c r="F637" i="6"/>
  <c r="F636" s="1"/>
  <c r="F633" s="1"/>
  <c r="H633" s="1"/>
  <c r="J633" s="1"/>
  <c r="L633" s="1"/>
  <c r="N633" s="1"/>
  <c r="P633" s="1"/>
  <c r="R633" s="1"/>
  <c r="T633" s="1"/>
  <c r="G103" i="5"/>
  <c r="F694" i="6"/>
  <c r="F693" s="1"/>
  <c r="F692" s="1"/>
  <c r="F642"/>
  <c r="F641" s="1"/>
  <c r="F640" s="1"/>
  <c r="G325" i="5"/>
  <c r="G317"/>
  <c r="F855" i="6"/>
  <c r="G1389" i="5"/>
  <c r="G489"/>
  <c r="G836"/>
  <c r="I836" s="1"/>
  <c r="K836" s="1"/>
  <c r="M836" s="1"/>
  <c r="O836" s="1"/>
  <c r="Q836" s="1"/>
  <c r="S836" s="1"/>
  <c r="U836" s="1"/>
  <c r="G681"/>
  <c r="I681" s="1"/>
  <c r="K681" s="1"/>
  <c r="M681" s="1"/>
  <c r="O681" s="1"/>
  <c r="Q681" s="1"/>
  <c r="S681" s="1"/>
  <c r="U681" s="1"/>
  <c r="F74" i="6"/>
  <c r="G843" i="5"/>
  <c r="G1405"/>
  <c r="F926" i="6" s="1"/>
  <c r="G448" i="5"/>
  <c r="I448" s="1"/>
  <c r="K448" s="1"/>
  <c r="M448" s="1"/>
  <c r="O448" s="1"/>
  <c r="Q448" s="1"/>
  <c r="S448" s="1"/>
  <c r="U448" s="1"/>
  <c r="F953" i="6"/>
  <c r="G344" i="5"/>
  <c r="G1316"/>
  <c r="F911" i="6" s="1"/>
  <c r="F104"/>
  <c r="F103" s="1"/>
  <c r="G648" i="5"/>
  <c r="G646"/>
  <c r="I646" s="1"/>
  <c r="K646" s="1"/>
  <c r="M646" s="1"/>
  <c r="O646" s="1"/>
  <c r="Q646" s="1"/>
  <c r="S646" s="1"/>
  <c r="U646" s="1"/>
  <c r="F123" i="6"/>
  <c r="F122" s="1"/>
  <c r="F121" s="1"/>
  <c r="F120" s="1"/>
  <c r="G653" i="5"/>
  <c r="F111" i="6"/>
  <c r="G824" i="5"/>
  <c r="G823" s="1"/>
  <c r="G857"/>
  <c r="F225" i="6"/>
  <c r="F219"/>
  <c r="F218" s="1"/>
  <c r="F217" s="1"/>
  <c r="F216" s="1"/>
  <c r="G700" i="5"/>
  <c r="F215" i="6"/>
  <c r="F214" s="1"/>
  <c r="F213" s="1"/>
  <c r="G683" i="5"/>
  <c r="G682" s="1"/>
  <c r="F1051" i="6"/>
  <c r="G454" i="5"/>
  <c r="F68" i="6"/>
  <c r="F67" s="1"/>
  <c r="F66"/>
  <c r="F65" s="1"/>
  <c r="G599" i="5"/>
  <c r="G597"/>
  <c r="F49" i="6"/>
  <c r="F48" s="1"/>
  <c r="F47" s="1"/>
  <c r="F46" s="1"/>
  <c r="F45" s="1"/>
  <c r="F44" s="1"/>
  <c r="G726" i="5"/>
  <c r="G725" s="1"/>
  <c r="G1406"/>
  <c r="I1406" s="1"/>
  <c r="K1406" s="1"/>
  <c r="M1406" s="1"/>
  <c r="O1406" s="1"/>
  <c r="Q1406" s="1"/>
  <c r="S1406" s="1"/>
  <c r="U1406" s="1"/>
  <c r="F921" i="6"/>
  <c r="G1328" i="5"/>
  <c r="I1328" s="1"/>
  <c r="K1328" s="1"/>
  <c r="M1328" s="1"/>
  <c r="O1328" s="1"/>
  <c r="Q1328" s="1"/>
  <c r="S1328" s="1"/>
  <c r="U1328" s="1"/>
  <c r="F886" i="6"/>
  <c r="F885" s="1"/>
  <c r="F884" s="1"/>
  <c r="F883" s="1"/>
  <c r="G1311" i="5"/>
  <c r="F1795" i="6"/>
  <c r="G1593" i="5"/>
  <c r="F972" i="6"/>
  <c r="G357" i="5"/>
  <c r="F1057" i="6"/>
  <c r="G538" i="5"/>
  <c r="G1334"/>
  <c r="F895" i="6"/>
  <c r="F894" s="1"/>
  <c r="G1397" i="5"/>
  <c r="F905" i="6"/>
  <c r="F904" s="1"/>
  <c r="F903" s="1"/>
  <c r="F901"/>
  <c r="F900" s="1"/>
  <c r="F899" s="1"/>
  <c r="G1638" i="5"/>
  <c r="G1635"/>
  <c r="F1780" i="6"/>
  <c r="F1777"/>
  <c r="G1722" i="5"/>
  <c r="G1719"/>
  <c r="F945" i="6"/>
  <c r="F944" s="1"/>
  <c r="F943" s="1"/>
  <c r="F939" s="1"/>
  <c r="F933"/>
  <c r="F932" s="1"/>
  <c r="G1426" i="5"/>
  <c r="G1436"/>
  <c r="F1772" i="6"/>
  <c r="F1769"/>
  <c r="G1481" i="5"/>
  <c r="G1478"/>
  <c r="F1668" i="6"/>
  <c r="G1454" i="5"/>
  <c r="F1722" i="6"/>
  <c r="F1739"/>
  <c r="F1736"/>
  <c r="G1475" i="5"/>
  <c r="G1472"/>
  <c r="F1790" i="6"/>
  <c r="G875" i="5"/>
  <c r="F1717" i="6"/>
  <c r="F1714"/>
  <c r="G816" i="5"/>
  <c r="G813"/>
  <c r="F1497" i="6"/>
  <c r="F1496" s="1"/>
  <c r="F1495" s="1"/>
  <c r="F1494" s="1"/>
  <c r="F1493" s="1"/>
  <c r="F1492" s="1"/>
  <c r="F1471"/>
  <c r="F1470" s="1"/>
  <c r="F1469" s="1"/>
  <c r="F1468" s="1"/>
  <c r="F1467" s="1"/>
  <c r="F1466" s="1"/>
  <c r="G275" i="5"/>
  <c r="G271"/>
  <c r="G88"/>
  <c r="G85"/>
  <c r="F1658" i="6"/>
  <c r="F1785"/>
  <c r="F1757"/>
  <c r="G63" i="5"/>
  <c r="G54"/>
  <c r="F1752" i="6"/>
  <c r="F1747"/>
  <c r="F1744"/>
  <c r="F1743" s="1"/>
  <c r="G47" i="5"/>
  <c r="G44"/>
  <c r="G50"/>
  <c r="G890"/>
  <c r="G169"/>
  <c r="G168" s="1"/>
  <c r="G167" s="1"/>
  <c r="G166" s="1"/>
  <c r="G165" s="1"/>
  <c r="G164" s="1"/>
  <c r="F721" i="6"/>
  <c r="F720" s="1"/>
  <c r="F719" s="1"/>
  <c r="F718" s="1"/>
  <c r="F710"/>
  <c r="F709" s="1"/>
  <c r="G1411" i="5"/>
  <c r="G1141"/>
  <c r="F699" i="6"/>
  <c r="F698" s="1"/>
  <c r="F697" s="1"/>
  <c r="F696" s="1"/>
  <c r="G1137" i="5"/>
  <c r="F688" i="6"/>
  <c r="G1133" i="5"/>
  <c r="F683" i="6"/>
  <c r="F682" s="1"/>
  <c r="F681" s="1"/>
  <c r="F680" s="1"/>
  <c r="F653"/>
  <c r="F652" s="1"/>
  <c r="F651" s="1"/>
  <c r="G778" i="5"/>
  <c r="I778" s="1"/>
  <c r="K778" s="1"/>
  <c r="M778" s="1"/>
  <c r="O778" s="1"/>
  <c r="Q778" s="1"/>
  <c r="S778" s="1"/>
  <c r="U778" s="1"/>
  <c r="G769"/>
  <c r="F674" i="6"/>
  <c r="F673" s="1"/>
  <c r="F672" s="1"/>
  <c r="F671" s="1"/>
  <c r="F670" s="1"/>
  <c r="G107" i="5"/>
  <c r="F771" i="6"/>
  <c r="F770" s="1"/>
  <c r="F769" s="1"/>
  <c r="G1631" i="5"/>
  <c r="F749" i="6"/>
  <c r="G1550" i="5"/>
  <c r="F1402" i="6"/>
  <c r="F1401" s="1"/>
  <c r="F1400" s="1"/>
  <c r="F1399" s="1"/>
  <c r="F1398" s="1"/>
  <c r="F1397" s="1"/>
  <c r="F1371"/>
  <c r="F1370" s="1"/>
  <c r="F1369" s="1"/>
  <c r="F1368" s="1"/>
  <c r="F1367" s="1"/>
  <c r="F1366" s="1"/>
  <c r="F1570"/>
  <c r="F1567"/>
  <c r="F1564"/>
  <c r="F1136"/>
  <c r="F1221"/>
  <c r="F1217"/>
  <c r="F1202"/>
  <c r="F1148"/>
  <c r="F1142"/>
  <c r="F1126"/>
  <c r="F1121"/>
  <c r="F1154"/>
  <c r="F1560"/>
  <c r="F1556"/>
  <c r="F1553"/>
  <c r="F1238"/>
  <c r="F1237"/>
  <c r="F1234"/>
  <c r="F1231"/>
  <c r="F1604"/>
  <c r="F1601"/>
  <c r="F1100"/>
  <c r="F1108"/>
  <c r="F1088"/>
  <c r="F994"/>
  <c r="F1094"/>
  <c r="F1083"/>
  <c r="F854"/>
  <c r="F821"/>
  <c r="F820" s="1"/>
  <c r="F819" s="1"/>
  <c r="F807"/>
  <c r="F806" s="1"/>
  <c r="F805" s="1"/>
  <c r="F801" s="1"/>
  <c r="F797"/>
  <c r="F787"/>
  <c r="F786" s="1"/>
  <c r="F867"/>
  <c r="F866" s="1"/>
  <c r="F765"/>
  <c r="F1580"/>
  <c r="F1577"/>
  <c r="F1574"/>
  <c r="F545"/>
  <c r="F544" s="1"/>
  <c r="F543" s="1"/>
  <c r="F542" s="1"/>
  <c r="F1611"/>
  <c r="F1608"/>
  <c r="F488"/>
  <c r="F487" s="1"/>
  <c r="F486" s="1"/>
  <c r="F517"/>
  <c r="F516" s="1"/>
  <c r="F515" s="1"/>
  <c r="F514" s="1"/>
  <c r="F513"/>
  <c r="F512"/>
  <c r="F511" s="1"/>
  <c r="F499"/>
  <c r="F498" s="1"/>
  <c r="F497"/>
  <c r="F496" s="1"/>
  <c r="F494"/>
  <c r="F474"/>
  <c r="F472"/>
  <c r="F471" s="1"/>
  <c r="F466"/>
  <c r="F1292"/>
  <c r="F1290"/>
  <c r="F1274"/>
  <c r="F1272"/>
  <c r="F507"/>
  <c r="F506" s="1"/>
  <c r="F505"/>
  <c r="F504" s="1"/>
  <c r="F482"/>
  <c r="F480"/>
  <c r="F479" s="1"/>
  <c r="F1597"/>
  <c r="F1594"/>
  <c r="F1591"/>
  <c r="F1325"/>
  <c r="F1323"/>
  <c r="F1299"/>
  <c r="F1297"/>
  <c r="F1279"/>
  <c r="F663"/>
  <c r="F662" s="1"/>
  <c r="F556"/>
  <c r="F555" s="1"/>
  <c r="F554" s="1"/>
  <c r="F361"/>
  <c r="F360" s="1"/>
  <c r="F359" s="1"/>
  <c r="F358" s="1"/>
  <c r="F89"/>
  <c r="F88" s="1"/>
  <c r="G637" i="5"/>
  <c r="F459" i="6"/>
  <c r="F458" s="1"/>
  <c r="F421"/>
  <c r="F420" s="1"/>
  <c r="F415"/>
  <c r="F414" s="1"/>
  <c r="F394"/>
  <c r="F393" s="1"/>
  <c r="F392"/>
  <c r="F386"/>
  <c r="F385" s="1"/>
  <c r="F384" s="1"/>
  <c r="F356"/>
  <c r="F355" s="1"/>
  <c r="F354" s="1"/>
  <c r="F350"/>
  <c r="F313"/>
  <c r="F312" s="1"/>
  <c r="F60"/>
  <c r="F59" s="1"/>
  <c r="F58"/>
  <c r="F57" s="1"/>
  <c r="F307"/>
  <c r="F306" s="1"/>
  <c r="F305" s="1"/>
  <c r="F304" s="1"/>
  <c r="F270"/>
  <c r="F269" s="1"/>
  <c r="F268" s="1"/>
  <c r="F264"/>
  <c r="F251"/>
  <c r="F250" s="1"/>
  <c r="F434"/>
  <c r="F427"/>
  <c r="F426" s="1"/>
  <c r="F402"/>
  <c r="F401" s="1"/>
  <c r="F400"/>
  <c r="F373"/>
  <c r="F372" s="1"/>
  <c r="F371" s="1"/>
  <c r="F370" s="1"/>
  <c r="F367"/>
  <c r="F366" s="1"/>
  <c r="F337"/>
  <c r="F336" s="1"/>
  <c r="F331"/>
  <c r="F330" s="1"/>
  <c r="F329" s="1"/>
  <c r="F328" s="1"/>
  <c r="F325"/>
  <c r="F324" s="1"/>
  <c r="F319"/>
  <c r="F318" s="1"/>
  <c r="F317" s="1"/>
  <c r="F316" s="1"/>
  <c r="F288"/>
  <c r="F282"/>
  <c r="F281" s="1"/>
  <c r="F280" s="1"/>
  <c r="F276"/>
  <c r="F245"/>
  <c r="F244" s="1"/>
  <c r="F243" s="1"/>
  <c r="F239" s="1"/>
  <c r="F447"/>
  <c r="F446" s="1"/>
  <c r="F445" s="1"/>
  <c r="F444" s="1"/>
  <c r="F752"/>
  <c r="F751" s="1"/>
  <c r="F750" s="1"/>
  <c r="F746"/>
  <c r="F745" s="1"/>
  <c r="F1646"/>
  <c r="F1677"/>
  <c r="F1676" s="1"/>
  <c r="F1675" s="1"/>
  <c r="F1674" s="1"/>
  <c r="F1673" s="1"/>
  <c r="F1672" s="1"/>
  <c r="F1628"/>
  <c r="F1627" s="1"/>
  <c r="F1626" s="1"/>
  <c r="F1625" s="1"/>
  <c r="F1624" s="1"/>
  <c r="F1623" s="1"/>
  <c r="F1622" s="1"/>
  <c r="F1546"/>
  <c r="F1549"/>
  <c r="F1543"/>
  <c r="F179"/>
  <c r="F178" s="1"/>
  <c r="F177" s="1"/>
  <c r="F176" s="1"/>
  <c r="F173"/>
  <c r="F1587"/>
  <c r="F1584"/>
  <c r="F1504"/>
  <c r="F1269"/>
  <c r="F562"/>
  <c r="F551"/>
  <c r="F550" s="1"/>
  <c r="F205"/>
  <c r="F204" s="1"/>
  <c r="F203"/>
  <c r="F202" s="1"/>
  <c r="F200"/>
  <c r="F194"/>
  <c r="F193" s="1"/>
  <c r="F192"/>
  <c r="F142"/>
  <c r="F141" s="1"/>
  <c r="F140" s="1"/>
  <c r="F43"/>
  <c r="F42" s="1"/>
  <c r="F41" s="1"/>
  <c r="F40" s="1"/>
  <c r="F39" s="1"/>
  <c r="F38" s="1"/>
  <c r="F34"/>
  <c r="F33" s="1"/>
  <c r="F32" s="1"/>
  <c r="F31" s="1"/>
  <c r="F26" s="1"/>
  <c r="F24"/>
  <c r="F23" s="1"/>
  <c r="F22" s="1"/>
  <c r="F21" s="1"/>
  <c r="F20" s="1"/>
  <c r="F19" s="1"/>
  <c r="F186"/>
  <c r="F185" s="1"/>
  <c r="F184" s="1"/>
  <c r="F160"/>
  <c r="F136"/>
  <c r="F95"/>
  <c r="F94"/>
  <c r="F83"/>
  <c r="F82" s="1"/>
  <c r="F81"/>
  <c r="F80" s="1"/>
  <c r="F167"/>
  <c r="F166" s="1"/>
  <c r="F165" s="1"/>
  <c r="F164" s="1"/>
  <c r="F156"/>
  <c r="F1534"/>
  <c r="F1012"/>
  <c r="F1006"/>
  <c r="F861"/>
  <c r="F860" s="1"/>
  <c r="F859" s="1"/>
  <c r="F858" s="1"/>
  <c r="F567"/>
  <c r="F566" s="1"/>
  <c r="F1433"/>
  <c r="F1022"/>
  <c r="F1020"/>
  <c r="F1070"/>
  <c r="F1064"/>
  <c r="F987"/>
  <c r="F1045"/>
  <c r="F758"/>
  <c r="F757" s="1"/>
  <c r="F1034"/>
  <c r="F1030"/>
  <c r="F1027"/>
  <c r="F1040"/>
  <c r="F1621"/>
  <c r="F1616"/>
  <c r="F1531"/>
  <c r="F1527"/>
  <c r="F1463"/>
  <c r="F1450"/>
  <c r="F1457"/>
  <c r="F1456"/>
  <c r="F1453"/>
  <c r="F979"/>
  <c r="F960"/>
  <c r="F1395"/>
  <c r="F679"/>
  <c r="F678" s="1"/>
  <c r="F677" s="1"/>
  <c r="F676" s="1"/>
  <c r="F619"/>
  <c r="F618" s="1"/>
  <c r="F617" s="1"/>
  <c r="F616" s="1"/>
  <c r="F615" s="1"/>
  <c r="F614" s="1"/>
  <c r="F606"/>
  <c r="F605" s="1"/>
  <c r="F604" s="1"/>
  <c r="F603" s="1"/>
  <c r="F602" s="1"/>
  <c r="F601"/>
  <c r="F600" s="1"/>
  <c r="F599" s="1"/>
  <c r="F598" s="1"/>
  <c r="F597" s="1"/>
  <c r="F596"/>
  <c r="F595" s="1"/>
  <c r="F594" s="1"/>
  <c r="F593" s="1"/>
  <c r="F592" s="1"/>
  <c r="F585"/>
  <c r="F584" s="1"/>
  <c r="F583" s="1"/>
  <c r="F582" s="1"/>
  <c r="F581" s="1"/>
  <c r="F580"/>
  <c r="F579" s="1"/>
  <c r="F578" s="1"/>
  <c r="F577" s="1"/>
  <c r="F576" s="1"/>
  <c r="G1235" i="5"/>
  <c r="G1234" s="1"/>
  <c r="G1233" s="1"/>
  <c r="F740" i="6"/>
  <c r="F739"/>
  <c r="F733"/>
  <c r="F732" s="1"/>
  <c r="F731" s="1"/>
  <c r="F730" s="1"/>
  <c r="F729" s="1"/>
  <c r="F728" s="1"/>
  <c r="F613"/>
  <c r="F612" s="1"/>
  <c r="F611" s="1"/>
  <c r="F610" s="1"/>
  <c r="F609" s="1"/>
  <c r="F608" s="1"/>
  <c r="F1487"/>
  <c r="F1486" s="1"/>
  <c r="F1485" s="1"/>
  <c r="F1484"/>
  <c r="F1483" s="1"/>
  <c r="F1482" s="1"/>
  <c r="F1481"/>
  <c r="F1480" s="1"/>
  <c r="F1353"/>
  <c r="F1352" s="1"/>
  <c r="F1363"/>
  <c r="F1362"/>
  <c r="F1356"/>
  <c r="F1355" s="1"/>
  <c r="F1354" s="1"/>
  <c r="F1348"/>
  <c r="F1347" s="1"/>
  <c r="F1346" s="1"/>
  <c r="F1345" s="1"/>
  <c r="F1344" s="1"/>
  <c r="F1343"/>
  <c r="F1342" s="1"/>
  <c r="F1341" s="1"/>
  <c r="F1340" s="1"/>
  <c r="F1339" s="1"/>
  <c r="F1338" s="1"/>
  <c r="F1334"/>
  <c r="F1333" s="1"/>
  <c r="F1332" s="1"/>
  <c r="F1331"/>
  <c r="F1330" s="1"/>
  <c r="F1264"/>
  <c r="F1263" s="1"/>
  <c r="F1262" s="1"/>
  <c r="F1261" s="1"/>
  <c r="F1260" s="1"/>
  <c r="F1477"/>
  <c r="F1476" s="1"/>
  <c r="F1475" s="1"/>
  <c r="F1474" s="1"/>
  <c r="F1473" s="1"/>
  <c r="F1445"/>
  <c r="F1444" s="1"/>
  <c r="F1443" s="1"/>
  <c r="F1442" s="1"/>
  <c r="F1441" s="1"/>
  <c r="F1440" s="1"/>
  <c r="F1439"/>
  <c r="F1438" s="1"/>
  <c r="F1437" s="1"/>
  <c r="F1436" s="1"/>
  <c r="F1435" s="1"/>
  <c r="F1434" s="1"/>
  <c r="F1428"/>
  <c r="F1427" s="1"/>
  <c r="F1426" s="1"/>
  <c r="F1425" s="1"/>
  <c r="F1424" s="1"/>
  <c r="F1422"/>
  <c r="F1421" s="1"/>
  <c r="F1420" s="1"/>
  <c r="F1419" s="1"/>
  <c r="F1418" s="1"/>
  <c r="F1417" s="1"/>
  <c r="F1409"/>
  <c r="F1408"/>
  <c r="F1390"/>
  <c r="F1389" s="1"/>
  <c r="F1388" s="1"/>
  <c r="F1387" s="1"/>
  <c r="F1386" s="1"/>
  <c r="F1385" s="1"/>
  <c r="F1383"/>
  <c r="F1382"/>
  <c r="F1379"/>
  <c r="F1378" s="1"/>
  <c r="F1377" s="1"/>
  <c r="G28" i="5"/>
  <c r="G27" s="1"/>
  <c r="G26" s="1"/>
  <c r="G25" s="1"/>
  <c r="G24" s="1"/>
  <c r="G23" s="1"/>
  <c r="D20" i="1" s="1"/>
  <c r="G35" i="5"/>
  <c r="G38"/>
  <c r="G41"/>
  <c r="G75"/>
  <c r="G78"/>
  <c r="I78" s="1"/>
  <c r="G81"/>
  <c r="G93"/>
  <c r="G98"/>
  <c r="G120"/>
  <c r="G123"/>
  <c r="G122" s="1"/>
  <c r="G129"/>
  <c r="G128" s="1"/>
  <c r="G127" s="1"/>
  <c r="G126" s="1"/>
  <c r="G134"/>
  <c r="G133" s="1"/>
  <c r="G132" s="1"/>
  <c r="G131" s="1"/>
  <c r="G144"/>
  <c r="G148"/>
  <c r="G152"/>
  <c r="G156"/>
  <c r="G162"/>
  <c r="G180"/>
  <c r="G184"/>
  <c r="G190"/>
  <c r="G194"/>
  <c r="G197"/>
  <c r="G204"/>
  <c r="G207"/>
  <c r="G210"/>
  <c r="G213"/>
  <c r="G212" s="1"/>
  <c r="G219"/>
  <c r="I219" s="1"/>
  <c r="K219" s="1"/>
  <c r="M219" s="1"/>
  <c r="O219" s="1"/>
  <c r="Q219" s="1"/>
  <c r="S219" s="1"/>
  <c r="U219" s="1"/>
  <c r="G225"/>
  <c r="G228"/>
  <c r="G227" s="1"/>
  <c r="G231"/>
  <c r="G238"/>
  <c r="G249"/>
  <c r="G253"/>
  <c r="G252" s="1"/>
  <c r="G251" s="1"/>
  <c r="G260"/>
  <c r="G265"/>
  <c r="G280"/>
  <c r="G283"/>
  <c r="G290"/>
  <c r="G293"/>
  <c r="G292" s="1"/>
  <c r="G296"/>
  <c r="G301"/>
  <c r="G321"/>
  <c r="G338"/>
  <c r="G349"/>
  <c r="G362"/>
  <c r="G379"/>
  <c r="G382"/>
  <c r="I382" s="1"/>
  <c r="K382" s="1"/>
  <c r="M382" s="1"/>
  <c r="O382" s="1"/>
  <c r="Q382" s="1"/>
  <c r="S382" s="1"/>
  <c r="U382" s="1"/>
  <c r="G385"/>
  <c r="G384" s="1"/>
  <c r="G390"/>
  <c r="G402"/>
  <c r="I402" s="1"/>
  <c r="K402" s="1"/>
  <c r="M402" s="1"/>
  <c r="O402" s="1"/>
  <c r="Q402" s="1"/>
  <c r="S402" s="1"/>
  <c r="U402" s="1"/>
  <c r="G405"/>
  <c r="G404" s="1"/>
  <c r="G409"/>
  <c r="G412"/>
  <c r="G411" s="1"/>
  <c r="G421"/>
  <c r="G443"/>
  <c r="G450"/>
  <c r="G465"/>
  <c r="G469"/>
  <c r="G475"/>
  <c r="G483"/>
  <c r="G493"/>
  <c r="G492" s="1"/>
  <c r="G504"/>
  <c r="G506"/>
  <c r="G511"/>
  <c r="G518"/>
  <c r="G521"/>
  <c r="G524"/>
  <c r="G530"/>
  <c r="G545"/>
  <c r="G553"/>
  <c r="G557"/>
  <c r="G563"/>
  <c r="G566"/>
  <c r="G569"/>
  <c r="G591"/>
  <c r="G593"/>
  <c r="G611"/>
  <c r="G616"/>
  <c r="G631"/>
  <c r="G633"/>
  <c r="G640"/>
  <c r="G660"/>
  <c r="G670"/>
  <c r="G675"/>
  <c r="G711"/>
  <c r="G715"/>
  <c r="G722"/>
  <c r="G721" s="1"/>
  <c r="G740"/>
  <c r="G744"/>
  <c r="G746"/>
  <c r="G750"/>
  <c r="G753"/>
  <c r="G755"/>
  <c r="G760"/>
  <c r="G764"/>
  <c r="G772"/>
  <c r="G774"/>
  <c r="G784"/>
  <c r="G787"/>
  <c r="G791"/>
  <c r="G797"/>
  <c r="G803"/>
  <c r="G806"/>
  <c r="G830"/>
  <c r="G849"/>
  <c r="G866"/>
  <c r="G869"/>
  <c r="G872"/>
  <c r="G898"/>
  <c r="G897" s="1"/>
  <c r="G896" s="1"/>
  <c r="G895" s="1"/>
  <c r="G894" s="1"/>
  <c r="G893" s="1"/>
  <c r="G892" s="1"/>
  <c r="G906"/>
  <c r="G913"/>
  <c r="G916"/>
  <c r="G928"/>
  <c r="G945"/>
  <c r="G960"/>
  <c r="G964"/>
  <c r="G975"/>
  <c r="G984"/>
  <c r="G988"/>
  <c r="G992"/>
  <c r="G1001"/>
  <c r="G1005"/>
  <c r="G1009"/>
  <c r="G1013"/>
  <c r="G1022"/>
  <c r="G1026"/>
  <c r="G1035"/>
  <c r="G1037"/>
  <c r="G1046"/>
  <c r="G1051"/>
  <c r="G1064"/>
  <c r="G1069"/>
  <c r="G1073"/>
  <c r="G1082"/>
  <c r="G1086"/>
  <c r="G1091"/>
  <c r="G1095"/>
  <c r="G1100"/>
  <c r="G1104"/>
  <c r="G1106"/>
  <c r="G1111"/>
  <c r="G1115"/>
  <c r="G1119"/>
  <c r="G1124"/>
  <c r="G1129"/>
  <c r="G1147"/>
  <c r="G1151"/>
  <c r="G1153"/>
  <c r="G1169"/>
  <c r="G1171"/>
  <c r="G1182"/>
  <c r="G1185"/>
  <c r="G1188"/>
  <c r="G1200"/>
  <c r="G1202"/>
  <c r="G1213"/>
  <c r="G1215"/>
  <c r="G1220"/>
  <c r="G1222"/>
  <c r="G1226"/>
  <c r="G1228"/>
  <c r="G1239"/>
  <c r="G1241"/>
  <c r="G1245"/>
  <c r="G1248"/>
  <c r="G1250"/>
  <c r="G1254"/>
  <c r="G1266"/>
  <c r="G1277"/>
  <c r="G1283"/>
  <c r="G1286"/>
  <c r="G1301"/>
  <c r="G1305"/>
  <c r="G1344"/>
  <c r="G1352"/>
  <c r="G1360"/>
  <c r="G1368"/>
  <c r="G1419"/>
  <c r="G1448"/>
  <c r="G1451"/>
  <c r="G1489"/>
  <c r="G1493"/>
  <c r="G1498"/>
  <c r="G1509"/>
  <c r="G1514"/>
  <c r="G1521"/>
  <c r="G1555"/>
  <c r="G1567"/>
  <c r="G1570"/>
  <c r="G1573"/>
  <c r="G1584"/>
  <c r="G1587"/>
  <c r="G1590"/>
  <c r="G1607"/>
  <c r="G1618"/>
  <c r="G1625"/>
  <c r="G1645"/>
  <c r="G1649"/>
  <c r="G1653"/>
  <c r="G1665"/>
  <c r="G1690"/>
  <c r="G1728"/>
  <c r="G1734"/>
  <c r="G1737"/>
  <c r="G1740"/>
  <c r="F1540" i="6"/>
  <c r="F1537"/>
  <c r="F726"/>
  <c r="F668"/>
  <c r="F667" s="1"/>
  <c r="F666" s="1"/>
  <c r="F658"/>
  <c r="F656"/>
  <c r="F655" s="1"/>
  <c r="F705"/>
  <c r="F704" s="1"/>
  <c r="F648"/>
  <c r="F647" s="1"/>
  <c r="F646" s="1"/>
  <c r="F645" s="1"/>
  <c r="F644" s="1"/>
  <c r="F632"/>
  <c r="F631" s="1"/>
  <c r="F630" s="1"/>
  <c r="F629" s="1"/>
  <c r="F574"/>
  <c r="F573" s="1"/>
  <c r="F572" s="1"/>
  <c r="F571" s="1"/>
  <c r="F570" s="1"/>
  <c r="F569" s="1"/>
  <c r="F568" s="1"/>
  <c r="F1519"/>
  <c r="I1448" i="5" l="1"/>
  <c r="K1448" s="1"/>
  <c r="M1448" s="1"/>
  <c r="O1448" s="1"/>
  <c r="Q1448" s="1"/>
  <c r="S1448" s="1"/>
  <c r="U1448" s="1"/>
  <c r="I1222"/>
  <c r="K1222" s="1"/>
  <c r="M1222" s="1"/>
  <c r="O1222" s="1"/>
  <c r="Q1222" s="1"/>
  <c r="S1222" s="1"/>
  <c r="U1222" s="1"/>
  <c r="I1182"/>
  <c r="K1182" s="1"/>
  <c r="M1182" s="1"/>
  <c r="O1182" s="1"/>
  <c r="Q1182" s="1"/>
  <c r="S1182" s="1"/>
  <c r="U1182" s="1"/>
  <c r="I210"/>
  <c r="K210" s="1"/>
  <c r="M210" s="1"/>
  <c r="O210" s="1"/>
  <c r="Q210" s="1"/>
  <c r="S210" s="1"/>
  <c r="U210" s="1"/>
  <c r="I194"/>
  <c r="K194" s="1"/>
  <c r="M194" s="1"/>
  <c r="O194" s="1"/>
  <c r="Q194" s="1"/>
  <c r="S194" s="1"/>
  <c r="U194" s="1"/>
  <c r="I511"/>
  <c r="K511" s="1"/>
  <c r="M511" s="1"/>
  <c r="O511" s="1"/>
  <c r="Q511" s="1"/>
  <c r="S511" s="1"/>
  <c r="U511" s="1"/>
  <c r="I524"/>
  <c r="K524" s="1"/>
  <c r="M524" s="1"/>
  <c r="O524" s="1"/>
  <c r="Q524" s="1"/>
  <c r="S524" s="1"/>
  <c r="U524" s="1"/>
  <c r="I506"/>
  <c r="K506" s="1"/>
  <c r="M506" s="1"/>
  <c r="O506" s="1"/>
  <c r="Q506" s="1"/>
  <c r="S506" s="1"/>
  <c r="U506" s="1"/>
  <c r="I265"/>
  <c r="K265" s="1"/>
  <c r="M265" s="1"/>
  <c r="O265" s="1"/>
  <c r="Q265" s="1"/>
  <c r="S265" s="1"/>
  <c r="U265" s="1"/>
  <c r="I204"/>
  <c r="K204" s="1"/>
  <c r="M204" s="1"/>
  <c r="O204" s="1"/>
  <c r="Q204" s="1"/>
  <c r="S204" s="1"/>
  <c r="U204" s="1"/>
  <c r="I184"/>
  <c r="K184" s="1"/>
  <c r="M184" s="1"/>
  <c r="O184" s="1"/>
  <c r="Q184" s="1"/>
  <c r="S184" s="1"/>
  <c r="U184" s="1"/>
  <c r="H26" i="6"/>
  <c r="J26" s="1"/>
  <c r="F25"/>
  <c r="H25" s="1"/>
  <c r="J25" s="1"/>
  <c r="L25" s="1"/>
  <c r="N25" s="1"/>
  <c r="P25" s="1"/>
  <c r="R25" s="1"/>
  <c r="T25" s="1"/>
  <c r="H745"/>
  <c r="J745" s="1"/>
  <c r="L745" s="1"/>
  <c r="N745" s="1"/>
  <c r="P745" s="1"/>
  <c r="R745" s="1"/>
  <c r="T745" s="1"/>
  <c r="I280" i="5"/>
  <c r="K280" s="1"/>
  <c r="M280" s="1"/>
  <c r="O280" s="1"/>
  <c r="Q280" s="1"/>
  <c r="S280" s="1"/>
  <c r="U280" s="1"/>
  <c r="I1185"/>
  <c r="K1185" s="1"/>
  <c r="M1185" s="1"/>
  <c r="O1185" s="1"/>
  <c r="Q1185" s="1"/>
  <c r="S1185" s="1"/>
  <c r="U1185" s="1"/>
  <c r="I1153"/>
  <c r="K1153" s="1"/>
  <c r="M1153" s="1"/>
  <c r="O1153" s="1"/>
  <c r="Q1153" s="1"/>
  <c r="S1153" s="1"/>
  <c r="U1153" s="1"/>
  <c r="Q1246"/>
  <c r="S1246" s="1"/>
  <c r="U1246" s="1"/>
  <c r="I283"/>
  <c r="K283" s="1"/>
  <c r="M283" s="1"/>
  <c r="O283" s="1"/>
  <c r="Q283" s="1"/>
  <c r="S283" s="1"/>
  <c r="U283" s="1"/>
  <c r="I1419"/>
  <c r="K1419" s="1"/>
  <c r="M1419" s="1"/>
  <c r="O1419" s="1"/>
  <c r="Q1419" s="1"/>
  <c r="S1419" s="1"/>
  <c r="U1419" s="1"/>
  <c r="I1283"/>
  <c r="K1283" s="1"/>
  <c r="M1283" s="1"/>
  <c r="O1283" s="1"/>
  <c r="Q1283" s="1"/>
  <c r="S1283" s="1"/>
  <c r="U1283" s="1"/>
  <c r="I1254"/>
  <c r="K1254" s="1"/>
  <c r="M1254" s="1"/>
  <c r="O1254" s="1"/>
  <c r="Q1254" s="1"/>
  <c r="S1254" s="1"/>
  <c r="U1254" s="1"/>
  <c r="I1241"/>
  <c r="K1241" s="1"/>
  <c r="M1241" s="1"/>
  <c r="O1241" s="1"/>
  <c r="Q1241" s="1"/>
  <c r="S1241" s="1"/>
  <c r="U1241" s="1"/>
  <c r="I1104"/>
  <c r="K1104" s="1"/>
  <c r="M1104" s="1"/>
  <c r="O1104" s="1"/>
  <c r="Q1104" s="1"/>
  <c r="S1104" s="1"/>
  <c r="U1104" s="1"/>
  <c r="I1086"/>
  <c r="K1086" s="1"/>
  <c r="M1086" s="1"/>
  <c r="O1086" s="1"/>
  <c r="Q1086" s="1"/>
  <c r="S1086" s="1"/>
  <c r="U1086" s="1"/>
  <c r="I866"/>
  <c r="K866" s="1"/>
  <c r="M866" s="1"/>
  <c r="O866" s="1"/>
  <c r="Q866" s="1"/>
  <c r="S866" s="1"/>
  <c r="U866" s="1"/>
  <c r="I772"/>
  <c r="K772" s="1"/>
  <c r="M772" s="1"/>
  <c r="O772" s="1"/>
  <c r="Q772" s="1"/>
  <c r="S772" s="1"/>
  <c r="U772" s="1"/>
  <c r="I593"/>
  <c r="K593" s="1"/>
  <c r="M593" s="1"/>
  <c r="O593" s="1"/>
  <c r="Q593" s="1"/>
  <c r="S593" s="1"/>
  <c r="U593" s="1"/>
  <c r="I563"/>
  <c r="K563" s="1"/>
  <c r="M563" s="1"/>
  <c r="O563" s="1"/>
  <c r="Q563" s="1"/>
  <c r="S563" s="1"/>
  <c r="U563" s="1"/>
  <c r="I450"/>
  <c r="K450" s="1"/>
  <c r="M450" s="1"/>
  <c r="O450" s="1"/>
  <c r="Q450" s="1"/>
  <c r="S450" s="1"/>
  <c r="U450" s="1"/>
  <c r="I384"/>
  <c r="K384" s="1"/>
  <c r="M384" s="1"/>
  <c r="O384" s="1"/>
  <c r="Q384" s="1"/>
  <c r="S384" s="1"/>
  <c r="U384" s="1"/>
  <c r="I379"/>
  <c r="K379" s="1"/>
  <c r="M379" s="1"/>
  <c r="O379" s="1"/>
  <c r="Q379" s="1"/>
  <c r="S379" s="1"/>
  <c r="U379" s="1"/>
  <c r="I156"/>
  <c r="K156" s="1"/>
  <c r="M156" s="1"/>
  <c r="O156" s="1"/>
  <c r="Q156" s="1"/>
  <c r="S156" s="1"/>
  <c r="U156" s="1"/>
  <c r="I98"/>
  <c r="K98" s="1"/>
  <c r="M98" s="1"/>
  <c r="O98" s="1"/>
  <c r="Q98" s="1"/>
  <c r="S98" s="1"/>
  <c r="U98" s="1"/>
  <c r="I81"/>
  <c r="K81" s="1"/>
  <c r="M81" s="1"/>
  <c r="O81" s="1"/>
  <c r="Q81" s="1"/>
  <c r="S81" s="1"/>
  <c r="U81" s="1"/>
  <c r="I47"/>
  <c r="K47" s="1"/>
  <c r="M47" s="1"/>
  <c r="O47" s="1"/>
  <c r="Q47" s="1"/>
  <c r="S47" s="1"/>
  <c r="U47" s="1"/>
  <c r="I54"/>
  <c r="K54" s="1"/>
  <c r="M54" s="1"/>
  <c r="O54" s="1"/>
  <c r="Q54" s="1"/>
  <c r="S54" s="1"/>
  <c r="U54" s="1"/>
  <c r="I275"/>
  <c r="K275" s="1"/>
  <c r="M275" s="1"/>
  <c r="O275" s="1"/>
  <c r="Q275" s="1"/>
  <c r="S275" s="1"/>
  <c r="U275" s="1"/>
  <c r="G59" i="1"/>
  <c r="G835" i="5"/>
  <c r="I835" s="1"/>
  <c r="K835" s="1"/>
  <c r="M835" s="1"/>
  <c r="O835" s="1"/>
  <c r="Q835" s="1"/>
  <c r="S835" s="1"/>
  <c r="U835" s="1"/>
  <c r="I1521"/>
  <c r="K1521" s="1"/>
  <c r="M1521" s="1"/>
  <c r="O1521" s="1"/>
  <c r="Q1521" s="1"/>
  <c r="S1521" s="1"/>
  <c r="U1521" s="1"/>
  <c r="I1493"/>
  <c r="K1493" s="1"/>
  <c r="M1493" s="1"/>
  <c r="O1493" s="1"/>
  <c r="Q1493" s="1"/>
  <c r="S1493" s="1"/>
  <c r="U1493" s="1"/>
  <c r="I913"/>
  <c r="K913" s="1"/>
  <c r="M913" s="1"/>
  <c r="O913" s="1"/>
  <c r="Q913" s="1"/>
  <c r="S913" s="1"/>
  <c r="U913" s="1"/>
  <c r="I1248"/>
  <c r="K1248" s="1"/>
  <c r="M1248" s="1"/>
  <c r="O1248" s="1"/>
  <c r="Q1248" s="1"/>
  <c r="S1248" s="1"/>
  <c r="U1248" s="1"/>
  <c r="I1111"/>
  <c r="K1111" s="1"/>
  <c r="M1111" s="1"/>
  <c r="O1111" s="1"/>
  <c r="Q1111" s="1"/>
  <c r="S1111" s="1"/>
  <c r="U1111" s="1"/>
  <c r="I1073"/>
  <c r="K1073" s="1"/>
  <c r="M1073" s="1"/>
  <c r="O1073" s="1"/>
  <c r="Q1073" s="1"/>
  <c r="S1073" s="1"/>
  <c r="U1073" s="1"/>
  <c r="I883"/>
  <c r="K883" s="1"/>
  <c r="M883" s="1"/>
  <c r="O883" s="1"/>
  <c r="Q883" s="1"/>
  <c r="S883" s="1"/>
  <c r="U883" s="1"/>
  <c r="J477"/>
  <c r="J414" s="1"/>
  <c r="I1266"/>
  <c r="K1266" s="1"/>
  <c r="M1266" s="1"/>
  <c r="O1266" s="1"/>
  <c r="Q1266" s="1"/>
  <c r="S1266" s="1"/>
  <c r="U1266" s="1"/>
  <c r="F224" i="6"/>
  <c r="F223" s="1"/>
  <c r="I1690" i="5"/>
  <c r="K1690" s="1"/>
  <c r="M1690" s="1"/>
  <c r="O1690" s="1"/>
  <c r="Q1690" s="1"/>
  <c r="S1690" s="1"/>
  <c r="U1690" s="1"/>
  <c r="I1645"/>
  <c r="K1645" s="1"/>
  <c r="M1645" s="1"/>
  <c r="O1645" s="1"/>
  <c r="Q1645" s="1"/>
  <c r="S1645" s="1"/>
  <c r="U1645" s="1"/>
  <c r="I1590"/>
  <c r="K1590" s="1"/>
  <c r="M1590" s="1"/>
  <c r="O1590" s="1"/>
  <c r="Q1590" s="1"/>
  <c r="S1590" s="1"/>
  <c r="U1590" s="1"/>
  <c r="I260"/>
  <c r="K260" s="1"/>
  <c r="M260" s="1"/>
  <c r="O260" s="1"/>
  <c r="Q260" s="1"/>
  <c r="S260" s="1"/>
  <c r="U260" s="1"/>
  <c r="H1456" i="6"/>
  <c r="J1456" s="1"/>
  <c r="L1456" s="1"/>
  <c r="N1456" s="1"/>
  <c r="P1456" s="1"/>
  <c r="R1456" s="1"/>
  <c r="T1456" s="1"/>
  <c r="I721" i="5"/>
  <c r="K721" s="1"/>
  <c r="M721" s="1"/>
  <c r="O721" s="1"/>
  <c r="Q721" s="1"/>
  <c r="S721" s="1"/>
  <c r="U721" s="1"/>
  <c r="I631"/>
  <c r="K631" s="1"/>
  <c r="M631" s="1"/>
  <c r="O631" s="1"/>
  <c r="Q631" s="1"/>
  <c r="S631" s="1"/>
  <c r="U631" s="1"/>
  <c r="G399"/>
  <c r="I399" s="1"/>
  <c r="K399" s="1"/>
  <c r="M399" s="1"/>
  <c r="O399" s="1"/>
  <c r="Q399" s="1"/>
  <c r="S399" s="1"/>
  <c r="U399" s="1"/>
  <c r="G28" i="1"/>
  <c r="G27" s="1"/>
  <c r="H1504" i="6"/>
  <c r="J1504" s="1"/>
  <c r="L1504" s="1"/>
  <c r="N1504" s="1"/>
  <c r="P1504" s="1"/>
  <c r="R1504" s="1"/>
  <c r="T1504" s="1"/>
  <c r="H1646"/>
  <c r="J1646" s="1"/>
  <c r="L1646" s="1"/>
  <c r="N1646" s="1"/>
  <c r="P1646" s="1"/>
  <c r="R1646" s="1"/>
  <c r="T1646" s="1"/>
  <c r="H854"/>
  <c r="J854" s="1"/>
  <c r="L854" s="1"/>
  <c r="N854" s="1"/>
  <c r="P854" s="1"/>
  <c r="R854" s="1"/>
  <c r="T854" s="1"/>
  <c r="H1736"/>
  <c r="J1736" s="1"/>
  <c r="L1736" s="1"/>
  <c r="N1736" s="1"/>
  <c r="P1736" s="1"/>
  <c r="R1736" s="1"/>
  <c r="T1736" s="1"/>
  <c r="H1237"/>
  <c r="J1237" s="1"/>
  <c r="L1237" s="1"/>
  <c r="N1237" s="1"/>
  <c r="P1237" s="1"/>
  <c r="R1237" s="1"/>
  <c r="T1237" s="1"/>
  <c r="I1257"/>
  <c r="I784" i="5"/>
  <c r="K784" s="1"/>
  <c r="M784" s="1"/>
  <c r="O784" s="1"/>
  <c r="Q784" s="1"/>
  <c r="S784" s="1"/>
  <c r="U784" s="1"/>
  <c r="I569"/>
  <c r="K569" s="1"/>
  <c r="M569" s="1"/>
  <c r="O569" s="1"/>
  <c r="Q569" s="1"/>
  <c r="S569" s="1"/>
  <c r="U569" s="1"/>
  <c r="I1618"/>
  <c r="K1618" s="1"/>
  <c r="M1618" s="1"/>
  <c r="O1618" s="1"/>
  <c r="Q1618" s="1"/>
  <c r="S1618" s="1"/>
  <c r="U1618" s="1"/>
  <c r="I1106"/>
  <c r="K1106" s="1"/>
  <c r="M1106" s="1"/>
  <c r="O1106" s="1"/>
  <c r="Q1106" s="1"/>
  <c r="S1106" s="1"/>
  <c r="U1106" s="1"/>
  <c r="I1069"/>
  <c r="K1069" s="1"/>
  <c r="M1069" s="1"/>
  <c r="O1069" s="1"/>
  <c r="Q1069" s="1"/>
  <c r="S1069" s="1"/>
  <c r="U1069" s="1"/>
  <c r="I633"/>
  <c r="K633" s="1"/>
  <c r="M633" s="1"/>
  <c r="O633" s="1"/>
  <c r="Q633" s="1"/>
  <c r="S633" s="1"/>
  <c r="U633" s="1"/>
  <c r="J1059"/>
  <c r="G50" i="1" s="1"/>
  <c r="H1030" i="6"/>
  <c r="J1030" s="1"/>
  <c r="L1030" s="1"/>
  <c r="N1030" s="1"/>
  <c r="P1030" s="1"/>
  <c r="R1030" s="1"/>
  <c r="T1030" s="1"/>
  <c r="J967" i="5"/>
  <c r="G49" i="1" s="1"/>
  <c r="G35"/>
  <c r="J22" i="5"/>
  <c r="I813"/>
  <c r="K813" s="1"/>
  <c r="M813" s="1"/>
  <c r="O813" s="1"/>
  <c r="Q813" s="1"/>
  <c r="S813" s="1"/>
  <c r="U813" s="1"/>
  <c r="I1472"/>
  <c r="K1472" s="1"/>
  <c r="M1472" s="1"/>
  <c r="O1472" s="1"/>
  <c r="Q1472" s="1"/>
  <c r="S1472" s="1"/>
  <c r="U1472" s="1"/>
  <c r="I1638"/>
  <c r="K1638" s="1"/>
  <c r="M1638" s="1"/>
  <c r="O1638" s="1"/>
  <c r="Q1638" s="1"/>
  <c r="S1638" s="1"/>
  <c r="U1638" s="1"/>
  <c r="J1230"/>
  <c r="J1194" s="1"/>
  <c r="I1734"/>
  <c r="K1734" s="1"/>
  <c r="M1734" s="1"/>
  <c r="O1734" s="1"/>
  <c r="Q1734" s="1"/>
  <c r="S1734" s="1"/>
  <c r="U1734" s="1"/>
  <c r="F922" i="6"/>
  <c r="F920" s="1"/>
  <c r="F919" s="1"/>
  <c r="I1737" i="5"/>
  <c r="K1737" s="1"/>
  <c r="M1737" s="1"/>
  <c r="O1737" s="1"/>
  <c r="Q1737" s="1"/>
  <c r="S1737" s="1"/>
  <c r="U1737" s="1"/>
  <c r="I975"/>
  <c r="K975" s="1"/>
  <c r="M975" s="1"/>
  <c r="O975" s="1"/>
  <c r="Q975" s="1"/>
  <c r="S975" s="1"/>
  <c r="U975" s="1"/>
  <c r="I231"/>
  <c r="K231" s="1"/>
  <c r="M231" s="1"/>
  <c r="O231" s="1"/>
  <c r="Q231" s="1"/>
  <c r="S231" s="1"/>
  <c r="U231" s="1"/>
  <c r="I197"/>
  <c r="K197" s="1"/>
  <c r="M197" s="1"/>
  <c r="O197" s="1"/>
  <c r="Q197" s="1"/>
  <c r="S197" s="1"/>
  <c r="U197" s="1"/>
  <c r="I180"/>
  <c r="K180" s="1"/>
  <c r="M180" s="1"/>
  <c r="O180" s="1"/>
  <c r="Q180" s="1"/>
  <c r="S180" s="1"/>
  <c r="U180" s="1"/>
  <c r="I1550"/>
  <c r="K1550" s="1"/>
  <c r="M1550" s="1"/>
  <c r="O1550" s="1"/>
  <c r="Q1550" s="1"/>
  <c r="S1550" s="1"/>
  <c r="U1550" s="1"/>
  <c r="I85"/>
  <c r="K85" s="1"/>
  <c r="M85" s="1"/>
  <c r="O85" s="1"/>
  <c r="Q85" s="1"/>
  <c r="S85" s="1"/>
  <c r="U85" s="1"/>
  <c r="I41"/>
  <c r="K41" s="1"/>
  <c r="M41" s="1"/>
  <c r="O41" s="1"/>
  <c r="Q41" s="1"/>
  <c r="S41" s="1"/>
  <c r="U41" s="1"/>
  <c r="I63"/>
  <c r="K63" s="1"/>
  <c r="M63" s="1"/>
  <c r="O63" s="1"/>
  <c r="Q63" s="1"/>
  <c r="S63" s="1"/>
  <c r="U63" s="1"/>
  <c r="H882"/>
  <c r="H881" s="1"/>
  <c r="H880" s="1"/>
  <c r="H879" s="1"/>
  <c r="H878" s="1"/>
  <c r="H877" s="1"/>
  <c r="H514" i="6"/>
  <c r="J514" s="1"/>
  <c r="L514" s="1"/>
  <c r="N514" s="1"/>
  <c r="P514" s="1"/>
  <c r="R514" s="1"/>
  <c r="T514" s="1"/>
  <c r="I746" i="5"/>
  <c r="K746" s="1"/>
  <c r="M746" s="1"/>
  <c r="O746" s="1"/>
  <c r="Q746" s="1"/>
  <c r="S746" s="1"/>
  <c r="U746" s="1"/>
  <c r="I715"/>
  <c r="K715" s="1"/>
  <c r="M715" s="1"/>
  <c r="O715" s="1"/>
  <c r="Q715" s="1"/>
  <c r="S715" s="1"/>
  <c r="U715" s="1"/>
  <c r="I616"/>
  <c r="K616" s="1"/>
  <c r="M616" s="1"/>
  <c r="O616" s="1"/>
  <c r="Q616" s="1"/>
  <c r="S616" s="1"/>
  <c r="U616" s="1"/>
  <c r="I1665"/>
  <c r="K1665" s="1"/>
  <c r="M1665" s="1"/>
  <c r="O1665" s="1"/>
  <c r="Q1665" s="1"/>
  <c r="S1665" s="1"/>
  <c r="U1665" s="1"/>
  <c r="I1451"/>
  <c r="K1451" s="1"/>
  <c r="M1451" s="1"/>
  <c r="O1451" s="1"/>
  <c r="Q1451" s="1"/>
  <c r="S1451" s="1"/>
  <c r="U1451" s="1"/>
  <c r="I1228"/>
  <c r="K1228" s="1"/>
  <c r="M1228" s="1"/>
  <c r="O1228" s="1"/>
  <c r="Q1228" s="1"/>
  <c r="S1228" s="1"/>
  <c r="U1228" s="1"/>
  <c r="I1215"/>
  <c r="K1215" s="1"/>
  <c r="M1215" s="1"/>
  <c r="O1215" s="1"/>
  <c r="Q1215" s="1"/>
  <c r="S1215" s="1"/>
  <c r="U1215" s="1"/>
  <c r="I1188"/>
  <c r="K1188" s="1"/>
  <c r="M1188" s="1"/>
  <c r="O1188" s="1"/>
  <c r="Q1188" s="1"/>
  <c r="S1188" s="1"/>
  <c r="U1188" s="1"/>
  <c r="I928"/>
  <c r="K928" s="1"/>
  <c r="M928" s="1"/>
  <c r="O928" s="1"/>
  <c r="Q928" s="1"/>
  <c r="S928" s="1"/>
  <c r="U928" s="1"/>
  <c r="I93"/>
  <c r="K93" s="1"/>
  <c r="M93" s="1"/>
  <c r="O93" s="1"/>
  <c r="Q93" s="1"/>
  <c r="S93" s="1"/>
  <c r="U93" s="1"/>
  <c r="H1790" i="6"/>
  <c r="J1790" s="1"/>
  <c r="L1790" s="1"/>
  <c r="N1790" s="1"/>
  <c r="P1790" s="1"/>
  <c r="R1790" s="1"/>
  <c r="T1790" s="1"/>
  <c r="H425" i="5"/>
  <c r="I425" s="1"/>
  <c r="K425" s="1"/>
  <c r="M425" s="1"/>
  <c r="O425" s="1"/>
  <c r="Q425" s="1"/>
  <c r="S425" s="1"/>
  <c r="U425" s="1"/>
  <c r="F927" i="6"/>
  <c r="H927" s="1"/>
  <c r="J927" s="1"/>
  <c r="L927" s="1"/>
  <c r="N927" s="1"/>
  <c r="P927" s="1"/>
  <c r="R927" s="1"/>
  <c r="T927" s="1"/>
  <c r="I1514" i="5"/>
  <c r="K1514" s="1"/>
  <c r="M1514" s="1"/>
  <c r="O1514" s="1"/>
  <c r="Q1514" s="1"/>
  <c r="S1514" s="1"/>
  <c r="U1514" s="1"/>
  <c r="H38" i="6"/>
  <c r="J38" s="1"/>
  <c r="L38" s="1"/>
  <c r="N38" s="1"/>
  <c r="P38" s="1"/>
  <c r="R38" s="1"/>
  <c r="T38" s="1"/>
  <c r="H903"/>
  <c r="J903" s="1"/>
  <c r="L903" s="1"/>
  <c r="N903" s="1"/>
  <c r="P903" s="1"/>
  <c r="R903" s="1"/>
  <c r="T903" s="1"/>
  <c r="I857" i="5"/>
  <c r="K857" s="1"/>
  <c r="M857" s="1"/>
  <c r="O857" s="1"/>
  <c r="Q857" s="1"/>
  <c r="S857" s="1"/>
  <c r="U857" s="1"/>
  <c r="J175"/>
  <c r="J303"/>
  <c r="G771"/>
  <c r="I1489"/>
  <c r="K1489" s="1"/>
  <c r="M1489" s="1"/>
  <c r="O1489" s="1"/>
  <c r="Q1489" s="1"/>
  <c r="S1489" s="1"/>
  <c r="U1489" s="1"/>
  <c r="I225"/>
  <c r="K225" s="1"/>
  <c r="M225" s="1"/>
  <c r="O225" s="1"/>
  <c r="Q225" s="1"/>
  <c r="S225" s="1"/>
  <c r="U225" s="1"/>
  <c r="G645"/>
  <c r="G644" s="1"/>
  <c r="I1009"/>
  <c r="K1009" s="1"/>
  <c r="M1009" s="1"/>
  <c r="O1009" s="1"/>
  <c r="Q1009" s="1"/>
  <c r="S1009" s="1"/>
  <c r="U1009" s="1"/>
  <c r="I988"/>
  <c r="K988" s="1"/>
  <c r="M988" s="1"/>
  <c r="O988" s="1"/>
  <c r="Q988" s="1"/>
  <c r="S988" s="1"/>
  <c r="U988" s="1"/>
  <c r="G446"/>
  <c r="G445" s="1"/>
  <c r="I409"/>
  <c r="K409" s="1"/>
  <c r="M409" s="1"/>
  <c r="O409" s="1"/>
  <c r="Q409" s="1"/>
  <c r="S409" s="1"/>
  <c r="U409" s="1"/>
  <c r="I390"/>
  <c r="K390" s="1"/>
  <c r="M390" s="1"/>
  <c r="O390" s="1"/>
  <c r="Q390" s="1"/>
  <c r="S390" s="1"/>
  <c r="U390" s="1"/>
  <c r="I162"/>
  <c r="K162" s="1"/>
  <c r="M162" s="1"/>
  <c r="O162" s="1"/>
  <c r="Q162" s="1"/>
  <c r="S162" s="1"/>
  <c r="U162" s="1"/>
  <c r="I144"/>
  <c r="K144" s="1"/>
  <c r="M144" s="1"/>
  <c r="O144" s="1"/>
  <c r="Q144" s="1"/>
  <c r="S144" s="1"/>
  <c r="U144" s="1"/>
  <c r="I120"/>
  <c r="K120" s="1"/>
  <c r="M120" s="1"/>
  <c r="O120" s="1"/>
  <c r="Q120" s="1"/>
  <c r="S120" s="1"/>
  <c r="U120" s="1"/>
  <c r="I35"/>
  <c r="K35" s="1"/>
  <c r="M35" s="1"/>
  <c r="O35" s="1"/>
  <c r="Q35" s="1"/>
  <c r="S35" s="1"/>
  <c r="U35" s="1"/>
  <c r="H513" i="6"/>
  <c r="J513" s="1"/>
  <c r="L513" s="1"/>
  <c r="N513" s="1"/>
  <c r="P513" s="1"/>
  <c r="R513" s="1"/>
  <c r="T513" s="1"/>
  <c r="I599" i="5"/>
  <c r="K599" s="1"/>
  <c r="M599" s="1"/>
  <c r="O599" s="1"/>
  <c r="Q599" s="1"/>
  <c r="S599" s="1"/>
  <c r="U599" s="1"/>
  <c r="I1389"/>
  <c r="K1389" s="1"/>
  <c r="M1389" s="1"/>
  <c r="O1389" s="1"/>
  <c r="Q1389" s="1"/>
  <c r="S1389" s="1"/>
  <c r="U1389" s="1"/>
  <c r="H19" i="6"/>
  <c r="J19" s="1"/>
  <c r="L19" s="1"/>
  <c r="N19" s="1"/>
  <c r="P19" s="1"/>
  <c r="R19" s="1"/>
  <c r="T19" s="1"/>
  <c r="I797" i="5"/>
  <c r="K797" s="1"/>
  <c r="M797" s="1"/>
  <c r="O797" s="1"/>
  <c r="Q797" s="1"/>
  <c r="S797" s="1"/>
  <c r="U797" s="1"/>
  <c r="I816"/>
  <c r="K816" s="1"/>
  <c r="M816" s="1"/>
  <c r="O816" s="1"/>
  <c r="Q816" s="1"/>
  <c r="S816" s="1"/>
  <c r="U816" s="1"/>
  <c r="I1037"/>
  <c r="K1037" s="1"/>
  <c r="M1037" s="1"/>
  <c r="O1037" s="1"/>
  <c r="Q1037" s="1"/>
  <c r="S1037" s="1"/>
  <c r="U1037" s="1"/>
  <c r="G882"/>
  <c r="G881" s="1"/>
  <c r="G880" s="1"/>
  <c r="G879" s="1"/>
  <c r="G878" s="1"/>
  <c r="G877" s="1"/>
  <c r="D25" i="1" s="1"/>
  <c r="I421" i="5"/>
  <c r="K421" s="1"/>
  <c r="M421" s="1"/>
  <c r="O421" s="1"/>
  <c r="Q421" s="1"/>
  <c r="S421" s="1"/>
  <c r="U421" s="1"/>
  <c r="I1411"/>
  <c r="K1411" s="1"/>
  <c r="M1411" s="1"/>
  <c r="O1411" s="1"/>
  <c r="Q1411" s="1"/>
  <c r="S1411" s="1"/>
  <c r="U1411" s="1"/>
  <c r="I1478"/>
  <c r="K1478" s="1"/>
  <c r="M1478" s="1"/>
  <c r="O1478" s="1"/>
  <c r="Q1478" s="1"/>
  <c r="S1478" s="1"/>
  <c r="U1478" s="1"/>
  <c r="I1719"/>
  <c r="K1719" s="1"/>
  <c r="M1719" s="1"/>
  <c r="O1719" s="1"/>
  <c r="Q1719" s="1"/>
  <c r="S1719" s="1"/>
  <c r="U1719" s="1"/>
  <c r="I1397"/>
  <c r="K1397" s="1"/>
  <c r="M1397" s="1"/>
  <c r="O1397" s="1"/>
  <c r="Q1397" s="1"/>
  <c r="S1397" s="1"/>
  <c r="U1397" s="1"/>
  <c r="I317"/>
  <c r="K317" s="1"/>
  <c r="M317" s="1"/>
  <c r="O317" s="1"/>
  <c r="Q317" s="1"/>
  <c r="S317" s="1"/>
  <c r="U317" s="1"/>
  <c r="I1423"/>
  <c r="K1423" s="1"/>
  <c r="M1423" s="1"/>
  <c r="O1423" s="1"/>
  <c r="Q1423" s="1"/>
  <c r="S1423" s="1"/>
  <c r="U1423" s="1"/>
  <c r="G183"/>
  <c r="G182" s="1"/>
  <c r="I182" s="1"/>
  <c r="K182" s="1"/>
  <c r="M182" s="1"/>
  <c r="O182" s="1"/>
  <c r="Q182" s="1"/>
  <c r="S182" s="1"/>
  <c r="U182" s="1"/>
  <c r="G155"/>
  <c r="G154" s="1"/>
  <c r="I154" s="1"/>
  <c r="K154" s="1"/>
  <c r="M154" s="1"/>
  <c r="O154" s="1"/>
  <c r="Q154" s="1"/>
  <c r="S154" s="1"/>
  <c r="U154" s="1"/>
  <c r="J586"/>
  <c r="G34" i="1"/>
  <c r="J895" i="5"/>
  <c r="H1811" i="6"/>
  <c r="J1811" s="1"/>
  <c r="L1811" s="1"/>
  <c r="N1811" s="1"/>
  <c r="P1811" s="1"/>
  <c r="R1811" s="1"/>
  <c r="T1811" s="1"/>
  <c r="H95"/>
  <c r="J95" s="1"/>
  <c r="L95" s="1"/>
  <c r="N95" s="1"/>
  <c r="P95" s="1"/>
  <c r="R95" s="1"/>
  <c r="T95" s="1"/>
  <c r="H192"/>
  <c r="J192" s="1"/>
  <c r="L192" s="1"/>
  <c r="N192" s="1"/>
  <c r="P192" s="1"/>
  <c r="R192" s="1"/>
  <c r="T192" s="1"/>
  <c r="H651"/>
  <c r="J651" s="1"/>
  <c r="L651" s="1"/>
  <c r="N651" s="1"/>
  <c r="P651" s="1"/>
  <c r="R651" s="1"/>
  <c r="T651" s="1"/>
  <c r="J1444" i="5"/>
  <c r="J1407" s="1"/>
  <c r="H504" i="6"/>
  <c r="J504" s="1"/>
  <c r="L504" s="1"/>
  <c r="N504" s="1"/>
  <c r="P504" s="1"/>
  <c r="R504" s="1"/>
  <c r="T504" s="1"/>
  <c r="H1238"/>
  <c r="J1238" s="1"/>
  <c r="L1238" s="1"/>
  <c r="N1238" s="1"/>
  <c r="P1238" s="1"/>
  <c r="R1238" s="1"/>
  <c r="T1238" s="1"/>
  <c r="H994"/>
  <c r="J994" s="1"/>
  <c r="L994" s="1"/>
  <c r="N994" s="1"/>
  <c r="P994" s="1"/>
  <c r="R994" s="1"/>
  <c r="T994" s="1"/>
  <c r="H1221"/>
  <c r="J1221" s="1"/>
  <c r="L1221" s="1"/>
  <c r="N1221" s="1"/>
  <c r="P1221" s="1"/>
  <c r="R1221" s="1"/>
  <c r="T1221" s="1"/>
  <c r="I928"/>
  <c r="G47" i="1"/>
  <c r="I120" i="6"/>
  <c r="J626" i="5"/>
  <c r="G45" i="1" s="1"/>
  <c r="H94" i="6"/>
  <c r="J94" s="1"/>
  <c r="L94" s="1"/>
  <c r="N94" s="1"/>
  <c r="P94" s="1"/>
  <c r="R94" s="1"/>
  <c r="T94" s="1"/>
  <c r="H202"/>
  <c r="J202" s="1"/>
  <c r="L202" s="1"/>
  <c r="N202" s="1"/>
  <c r="P202" s="1"/>
  <c r="R202" s="1"/>
  <c r="T202" s="1"/>
  <c r="H173"/>
  <c r="J173" s="1"/>
  <c r="L173" s="1"/>
  <c r="N173" s="1"/>
  <c r="P173" s="1"/>
  <c r="R173" s="1"/>
  <c r="T173" s="1"/>
  <c r="H393"/>
  <c r="J393" s="1"/>
  <c r="L393" s="1"/>
  <c r="N393" s="1"/>
  <c r="P393" s="1"/>
  <c r="R393" s="1"/>
  <c r="T393" s="1"/>
  <c r="H921"/>
  <c r="J921" s="1"/>
  <c r="L921" s="1"/>
  <c r="N921" s="1"/>
  <c r="P921" s="1"/>
  <c r="R921" s="1"/>
  <c r="T921" s="1"/>
  <c r="I553" i="5"/>
  <c r="K553" s="1"/>
  <c r="M553" s="1"/>
  <c r="O553" s="1"/>
  <c r="Q553" s="1"/>
  <c r="S553" s="1"/>
  <c r="U553" s="1"/>
  <c r="I404"/>
  <c r="K404" s="1"/>
  <c r="M404" s="1"/>
  <c r="O404" s="1"/>
  <c r="Q404" s="1"/>
  <c r="S404" s="1"/>
  <c r="U404" s="1"/>
  <c r="I362"/>
  <c r="K362" s="1"/>
  <c r="M362" s="1"/>
  <c r="O362" s="1"/>
  <c r="Q362" s="1"/>
  <c r="S362" s="1"/>
  <c r="U362" s="1"/>
  <c r="G282"/>
  <c r="I282" s="1"/>
  <c r="K282" s="1"/>
  <c r="M282" s="1"/>
  <c r="O282" s="1"/>
  <c r="Q282" s="1"/>
  <c r="S282" s="1"/>
  <c r="U282" s="1"/>
  <c r="I648"/>
  <c r="K648" s="1"/>
  <c r="M648" s="1"/>
  <c r="O648" s="1"/>
  <c r="Q648" s="1"/>
  <c r="S648" s="1"/>
  <c r="U648" s="1"/>
  <c r="J1483"/>
  <c r="G113" i="6"/>
  <c r="G112" s="1"/>
  <c r="F113"/>
  <c r="F112" s="1"/>
  <c r="H44"/>
  <c r="J44" s="1"/>
  <c r="L44" s="1"/>
  <c r="N44" s="1"/>
  <c r="P44" s="1"/>
  <c r="R44" s="1"/>
  <c r="T44" s="1"/>
  <c r="H67"/>
  <c r="J67" s="1"/>
  <c r="L67" s="1"/>
  <c r="N67" s="1"/>
  <c r="P67" s="1"/>
  <c r="R67" s="1"/>
  <c r="T67" s="1"/>
  <c r="H213"/>
  <c r="J213" s="1"/>
  <c r="L213" s="1"/>
  <c r="N213" s="1"/>
  <c r="P213" s="1"/>
  <c r="R213" s="1"/>
  <c r="T213" s="1"/>
  <c r="F64"/>
  <c r="F63" s="1"/>
  <c r="F62" s="1"/>
  <c r="F61" s="1"/>
  <c r="I682" i="5"/>
  <c r="K682" s="1"/>
  <c r="M682" s="1"/>
  <c r="O682" s="1"/>
  <c r="Q682" s="1"/>
  <c r="S682" s="1"/>
  <c r="U682" s="1"/>
  <c r="H1131"/>
  <c r="H1126" s="1"/>
  <c r="H738"/>
  <c r="H737" s="1"/>
  <c r="G1103"/>
  <c r="G1102" s="1"/>
  <c r="G630"/>
  <c r="G629" s="1"/>
  <c r="I1250"/>
  <c r="K1250" s="1"/>
  <c r="M1250" s="1"/>
  <c r="O1250" s="1"/>
  <c r="Q1250" s="1"/>
  <c r="S1250" s="1"/>
  <c r="U1250" s="1"/>
  <c r="I1239"/>
  <c r="K1239" s="1"/>
  <c r="M1239" s="1"/>
  <c r="O1239" s="1"/>
  <c r="Q1239" s="1"/>
  <c r="S1239" s="1"/>
  <c r="U1239" s="1"/>
  <c r="I1220"/>
  <c r="K1220" s="1"/>
  <c r="M1220" s="1"/>
  <c r="O1220" s="1"/>
  <c r="Q1220" s="1"/>
  <c r="S1220" s="1"/>
  <c r="U1220" s="1"/>
  <c r="I1171"/>
  <c r="K1171" s="1"/>
  <c r="M1171" s="1"/>
  <c r="O1171" s="1"/>
  <c r="Q1171" s="1"/>
  <c r="S1171" s="1"/>
  <c r="U1171" s="1"/>
  <c r="I1147"/>
  <c r="K1147" s="1"/>
  <c r="M1147" s="1"/>
  <c r="O1147" s="1"/>
  <c r="Q1147" s="1"/>
  <c r="S1147" s="1"/>
  <c r="U1147" s="1"/>
  <c r="I1082"/>
  <c r="K1082" s="1"/>
  <c r="M1082" s="1"/>
  <c r="O1082" s="1"/>
  <c r="Q1082" s="1"/>
  <c r="S1082" s="1"/>
  <c r="U1082" s="1"/>
  <c r="I1005"/>
  <c r="K1005" s="1"/>
  <c r="M1005" s="1"/>
  <c r="O1005" s="1"/>
  <c r="Q1005" s="1"/>
  <c r="S1005" s="1"/>
  <c r="U1005" s="1"/>
  <c r="I984"/>
  <c r="K984" s="1"/>
  <c r="M984" s="1"/>
  <c r="O984" s="1"/>
  <c r="Q984" s="1"/>
  <c r="S984" s="1"/>
  <c r="U984" s="1"/>
  <c r="I753"/>
  <c r="K753" s="1"/>
  <c r="M753" s="1"/>
  <c r="O753" s="1"/>
  <c r="Q753" s="1"/>
  <c r="S753" s="1"/>
  <c r="U753" s="1"/>
  <c r="I611"/>
  <c r="K611" s="1"/>
  <c r="M611" s="1"/>
  <c r="O611" s="1"/>
  <c r="Q611" s="1"/>
  <c r="S611" s="1"/>
  <c r="U611" s="1"/>
  <c r="I518"/>
  <c r="K518" s="1"/>
  <c r="M518" s="1"/>
  <c r="O518" s="1"/>
  <c r="Q518" s="1"/>
  <c r="S518" s="1"/>
  <c r="U518" s="1"/>
  <c r="I385"/>
  <c r="K385" s="1"/>
  <c r="M385" s="1"/>
  <c r="O385" s="1"/>
  <c r="Q385" s="1"/>
  <c r="S385" s="1"/>
  <c r="U385" s="1"/>
  <c r="F1524" i="6"/>
  <c r="H1524" s="1"/>
  <c r="J1524" s="1"/>
  <c r="L1524" s="1"/>
  <c r="N1524" s="1"/>
  <c r="P1524" s="1"/>
  <c r="R1524" s="1"/>
  <c r="T1524" s="1"/>
  <c r="F1031"/>
  <c r="F1029" s="1"/>
  <c r="G1549" i="5"/>
  <c r="G1548" s="1"/>
  <c r="G777"/>
  <c r="I777" s="1"/>
  <c r="K777" s="1"/>
  <c r="M777" s="1"/>
  <c r="O777" s="1"/>
  <c r="Q777" s="1"/>
  <c r="S777" s="1"/>
  <c r="U777" s="1"/>
  <c r="G53"/>
  <c r="I53" s="1"/>
  <c r="K53" s="1"/>
  <c r="M53" s="1"/>
  <c r="O53" s="1"/>
  <c r="Q53" s="1"/>
  <c r="S53" s="1"/>
  <c r="U53" s="1"/>
  <c r="I1334"/>
  <c r="K1334" s="1"/>
  <c r="M1334" s="1"/>
  <c r="O1334" s="1"/>
  <c r="Q1334" s="1"/>
  <c r="S1334" s="1"/>
  <c r="U1334" s="1"/>
  <c r="G1326"/>
  <c r="I1326" s="1"/>
  <c r="K1326" s="1"/>
  <c r="M1326" s="1"/>
  <c r="O1326" s="1"/>
  <c r="Q1326" s="1"/>
  <c r="S1326" s="1"/>
  <c r="U1326" s="1"/>
  <c r="F510" i="6"/>
  <c r="F509" s="1"/>
  <c r="F508" s="1"/>
  <c r="H401"/>
  <c r="J401" s="1"/>
  <c r="L401" s="1"/>
  <c r="N401" s="1"/>
  <c r="P401" s="1"/>
  <c r="R401" s="1"/>
  <c r="T401" s="1"/>
  <c r="H59"/>
  <c r="J59" s="1"/>
  <c r="L59" s="1"/>
  <c r="N59" s="1"/>
  <c r="P59" s="1"/>
  <c r="R59" s="1"/>
  <c r="T59" s="1"/>
  <c r="H471"/>
  <c r="J471" s="1"/>
  <c r="L471" s="1"/>
  <c r="N471" s="1"/>
  <c r="P471" s="1"/>
  <c r="R471" s="1"/>
  <c r="T471" s="1"/>
  <c r="H57"/>
  <c r="J57" s="1"/>
  <c r="L57" s="1"/>
  <c r="N57" s="1"/>
  <c r="P57" s="1"/>
  <c r="R57" s="1"/>
  <c r="T57" s="1"/>
  <c r="H496"/>
  <c r="J496" s="1"/>
  <c r="L496" s="1"/>
  <c r="N496" s="1"/>
  <c r="P496" s="1"/>
  <c r="R496" s="1"/>
  <c r="T496" s="1"/>
  <c r="H926"/>
  <c r="J926" s="1"/>
  <c r="L926" s="1"/>
  <c r="N926" s="1"/>
  <c r="P926" s="1"/>
  <c r="R926" s="1"/>
  <c r="T926" s="1"/>
  <c r="G19" i="1"/>
  <c r="I411" i="5"/>
  <c r="K411" s="1"/>
  <c r="M411" s="1"/>
  <c r="O411" s="1"/>
  <c r="Q411" s="1"/>
  <c r="S411" s="1"/>
  <c r="U411" s="1"/>
  <c r="G1085"/>
  <c r="I1085" s="1"/>
  <c r="K1085" s="1"/>
  <c r="M1085" s="1"/>
  <c r="O1085" s="1"/>
  <c r="Q1085" s="1"/>
  <c r="S1085" s="1"/>
  <c r="U1085" s="1"/>
  <c r="G523"/>
  <c r="I523" s="1"/>
  <c r="K523" s="1"/>
  <c r="M523" s="1"/>
  <c r="O523" s="1"/>
  <c r="Q523" s="1"/>
  <c r="S523" s="1"/>
  <c r="U523" s="1"/>
  <c r="G510"/>
  <c r="G509" s="1"/>
  <c r="G680"/>
  <c r="I680" s="1"/>
  <c r="K680" s="1"/>
  <c r="M680" s="1"/>
  <c r="O680" s="1"/>
  <c r="Q680" s="1"/>
  <c r="S680" s="1"/>
  <c r="U680" s="1"/>
  <c r="H1168"/>
  <c r="H1167" s="1"/>
  <c r="J233"/>
  <c r="G33" i="1"/>
  <c r="G264" i="5"/>
  <c r="G263" s="1"/>
  <c r="G262" s="1"/>
  <c r="H596"/>
  <c r="H595" s="1"/>
  <c r="H912"/>
  <c r="H911" s="1"/>
  <c r="H910" s="1"/>
  <c r="H909" s="1"/>
  <c r="H1103"/>
  <c r="H1102" s="1"/>
  <c r="H1097" s="1"/>
  <c r="I1665" i="6"/>
  <c r="I1664" s="1"/>
  <c r="G1589" i="5"/>
  <c r="I1589" s="1"/>
  <c r="K1589" s="1"/>
  <c r="M1589" s="1"/>
  <c r="O1589" s="1"/>
  <c r="Q1589" s="1"/>
  <c r="S1589" s="1"/>
  <c r="U1589" s="1"/>
  <c r="G1520"/>
  <c r="I1520" s="1"/>
  <c r="K1520" s="1"/>
  <c r="M1520" s="1"/>
  <c r="O1520" s="1"/>
  <c r="Q1520" s="1"/>
  <c r="S1520" s="1"/>
  <c r="U1520" s="1"/>
  <c r="G274"/>
  <c r="G273" s="1"/>
  <c r="I273" s="1"/>
  <c r="K273" s="1"/>
  <c r="M273" s="1"/>
  <c r="O273" s="1"/>
  <c r="Q273" s="1"/>
  <c r="S273" s="1"/>
  <c r="U273" s="1"/>
  <c r="H502"/>
  <c r="H501" s="1"/>
  <c r="H500" s="1"/>
  <c r="H499" s="1"/>
  <c r="E38" i="1" s="1"/>
  <c r="H1212" i="5"/>
  <c r="H1211" s="1"/>
  <c r="H1210" s="1"/>
  <c r="H1225"/>
  <c r="H1224" s="1"/>
  <c r="G743"/>
  <c r="G742" s="1"/>
  <c r="G1265"/>
  <c r="I1265" s="1"/>
  <c r="K1265" s="1"/>
  <c r="M1265" s="1"/>
  <c r="O1265" s="1"/>
  <c r="Q1265" s="1"/>
  <c r="S1265" s="1"/>
  <c r="U1265" s="1"/>
  <c r="G143"/>
  <c r="G142" s="1"/>
  <c r="G1637"/>
  <c r="I1637" s="1"/>
  <c r="K1637" s="1"/>
  <c r="M1637" s="1"/>
  <c r="O1637" s="1"/>
  <c r="Q1637" s="1"/>
  <c r="S1637" s="1"/>
  <c r="U1637" s="1"/>
  <c r="G1396"/>
  <c r="I1396" s="1"/>
  <c r="K1396" s="1"/>
  <c r="M1396" s="1"/>
  <c r="O1396" s="1"/>
  <c r="Q1396" s="1"/>
  <c r="S1396" s="1"/>
  <c r="U1396" s="1"/>
  <c r="G1333"/>
  <c r="I1333" s="1"/>
  <c r="K1333" s="1"/>
  <c r="M1333" s="1"/>
  <c r="O1333" s="1"/>
  <c r="Q1333" s="1"/>
  <c r="S1333" s="1"/>
  <c r="U1333" s="1"/>
  <c r="H1150"/>
  <c r="H1149" s="1"/>
  <c r="H1144" s="1"/>
  <c r="H1143" s="1"/>
  <c r="H1505"/>
  <c r="H111" i="6"/>
  <c r="J111" s="1"/>
  <c r="L111" s="1"/>
  <c r="N111" s="1"/>
  <c r="P111" s="1"/>
  <c r="R111" s="1"/>
  <c r="T111" s="1"/>
  <c r="H74"/>
  <c r="J74" s="1"/>
  <c r="L74" s="1"/>
  <c r="N74" s="1"/>
  <c r="P74" s="1"/>
  <c r="R74" s="1"/>
  <c r="T74" s="1"/>
  <c r="F1810"/>
  <c r="H1810" s="1"/>
  <c r="J1810" s="1"/>
  <c r="L1810" s="1"/>
  <c r="N1810" s="1"/>
  <c r="P1810" s="1"/>
  <c r="R1810" s="1"/>
  <c r="T1810" s="1"/>
  <c r="H65"/>
  <c r="J65" s="1"/>
  <c r="L65" s="1"/>
  <c r="N65" s="1"/>
  <c r="P65" s="1"/>
  <c r="R65" s="1"/>
  <c r="T65" s="1"/>
  <c r="I492" i="5"/>
  <c r="K492" s="1"/>
  <c r="M492" s="1"/>
  <c r="O492" s="1"/>
  <c r="Q492" s="1"/>
  <c r="S492" s="1"/>
  <c r="U492" s="1"/>
  <c r="G491"/>
  <c r="I491" s="1"/>
  <c r="K491" s="1"/>
  <c r="M491" s="1"/>
  <c r="O491" s="1"/>
  <c r="Q491" s="1"/>
  <c r="S491" s="1"/>
  <c r="U491" s="1"/>
  <c r="G92"/>
  <c r="G1513"/>
  <c r="I1513" s="1"/>
  <c r="K1513" s="1"/>
  <c r="M1513" s="1"/>
  <c r="O1513" s="1"/>
  <c r="Q1513" s="1"/>
  <c r="S1513" s="1"/>
  <c r="U1513" s="1"/>
  <c r="G1004"/>
  <c r="I1004" s="1"/>
  <c r="K1004" s="1"/>
  <c r="M1004" s="1"/>
  <c r="O1004" s="1"/>
  <c r="Q1004" s="1"/>
  <c r="S1004" s="1"/>
  <c r="U1004" s="1"/>
  <c r="G203"/>
  <c r="G202" s="1"/>
  <c r="F625" i="6"/>
  <c r="F624" s="1"/>
  <c r="F623" s="1"/>
  <c r="F622" s="1"/>
  <c r="F621" s="1"/>
  <c r="F620" s="1"/>
  <c r="F607" s="1"/>
  <c r="G1460" i="5"/>
  <c r="I1460" s="1"/>
  <c r="K1460" s="1"/>
  <c r="M1460" s="1"/>
  <c r="O1460" s="1"/>
  <c r="Q1460" s="1"/>
  <c r="S1460" s="1"/>
  <c r="U1460" s="1"/>
  <c r="I597"/>
  <c r="K597" s="1"/>
  <c r="M597" s="1"/>
  <c r="O597" s="1"/>
  <c r="Q597" s="1"/>
  <c r="S597" s="1"/>
  <c r="U597" s="1"/>
  <c r="I683"/>
  <c r="K683" s="1"/>
  <c r="M683" s="1"/>
  <c r="O683" s="1"/>
  <c r="Q683" s="1"/>
  <c r="S683" s="1"/>
  <c r="U683" s="1"/>
  <c r="I824"/>
  <c r="K824" s="1"/>
  <c r="M824" s="1"/>
  <c r="O824" s="1"/>
  <c r="Q824" s="1"/>
  <c r="S824" s="1"/>
  <c r="U824" s="1"/>
  <c r="I459"/>
  <c r="K459" s="1"/>
  <c r="M459" s="1"/>
  <c r="O459" s="1"/>
  <c r="Q459" s="1"/>
  <c r="S459" s="1"/>
  <c r="U459" s="1"/>
  <c r="H1219"/>
  <c r="H1218" s="1"/>
  <c r="G1295" i="6"/>
  <c r="G1294" s="1"/>
  <c r="G1293" s="1"/>
  <c r="G46" i="5"/>
  <c r="G43" s="1"/>
  <c r="G815"/>
  <c r="I815" s="1"/>
  <c r="K815" s="1"/>
  <c r="M815" s="1"/>
  <c r="O815" s="1"/>
  <c r="Q815" s="1"/>
  <c r="S815" s="1"/>
  <c r="U815" s="1"/>
  <c r="H1238"/>
  <c r="H1237" s="1"/>
  <c r="G1488"/>
  <c r="I1488" s="1"/>
  <c r="K1488" s="1"/>
  <c r="M1488" s="1"/>
  <c r="O1488" s="1"/>
  <c r="Q1488" s="1"/>
  <c r="S1488" s="1"/>
  <c r="U1488" s="1"/>
  <c r="H630"/>
  <c r="H629" s="1"/>
  <c r="H644"/>
  <c r="H643" s="1"/>
  <c r="G1624"/>
  <c r="I1625"/>
  <c r="K1625" s="1"/>
  <c r="M1625" s="1"/>
  <c r="O1625" s="1"/>
  <c r="Q1625" s="1"/>
  <c r="S1625" s="1"/>
  <c r="U1625" s="1"/>
  <c r="G1554"/>
  <c r="I1555"/>
  <c r="K1555" s="1"/>
  <c r="M1555" s="1"/>
  <c r="O1555" s="1"/>
  <c r="Q1555" s="1"/>
  <c r="S1555" s="1"/>
  <c r="U1555" s="1"/>
  <c r="G1359"/>
  <c r="I1360"/>
  <c r="K1360" s="1"/>
  <c r="M1360" s="1"/>
  <c r="O1360" s="1"/>
  <c r="Q1360" s="1"/>
  <c r="S1360" s="1"/>
  <c r="U1360" s="1"/>
  <c r="G1199"/>
  <c r="G1198" s="1"/>
  <c r="G1197" s="1"/>
  <c r="G1196" s="1"/>
  <c r="I1202"/>
  <c r="K1202" s="1"/>
  <c r="M1202" s="1"/>
  <c r="O1202" s="1"/>
  <c r="Q1202" s="1"/>
  <c r="S1202" s="1"/>
  <c r="U1202" s="1"/>
  <c r="G1045"/>
  <c r="I1046"/>
  <c r="K1046" s="1"/>
  <c r="M1046" s="1"/>
  <c r="O1046" s="1"/>
  <c r="Q1046" s="1"/>
  <c r="S1046" s="1"/>
  <c r="U1046" s="1"/>
  <c r="G991"/>
  <c r="I992"/>
  <c r="K992" s="1"/>
  <c r="M992" s="1"/>
  <c r="O992" s="1"/>
  <c r="Q992" s="1"/>
  <c r="S992" s="1"/>
  <c r="U992" s="1"/>
  <c r="G905"/>
  <c r="I906"/>
  <c r="K906" s="1"/>
  <c r="M906" s="1"/>
  <c r="O906" s="1"/>
  <c r="Q906" s="1"/>
  <c r="S906" s="1"/>
  <c r="U906" s="1"/>
  <c r="G871"/>
  <c r="I872"/>
  <c r="K872" s="1"/>
  <c r="M872" s="1"/>
  <c r="O872" s="1"/>
  <c r="Q872" s="1"/>
  <c r="S872" s="1"/>
  <c r="U872" s="1"/>
  <c r="G749"/>
  <c r="I750"/>
  <c r="K750" s="1"/>
  <c r="M750" s="1"/>
  <c r="O750" s="1"/>
  <c r="Q750" s="1"/>
  <c r="S750" s="1"/>
  <c r="U750" s="1"/>
  <c r="G659"/>
  <c r="I660"/>
  <c r="K660" s="1"/>
  <c r="M660" s="1"/>
  <c r="O660" s="1"/>
  <c r="Q660" s="1"/>
  <c r="S660" s="1"/>
  <c r="U660" s="1"/>
  <c r="G1367"/>
  <c r="I1368"/>
  <c r="K1368" s="1"/>
  <c r="M1368" s="1"/>
  <c r="O1368" s="1"/>
  <c r="Q1368" s="1"/>
  <c r="S1368" s="1"/>
  <c r="U1368" s="1"/>
  <c r="G1276"/>
  <c r="I1277"/>
  <c r="K1277" s="1"/>
  <c r="M1277" s="1"/>
  <c r="O1277" s="1"/>
  <c r="Q1277" s="1"/>
  <c r="S1277" s="1"/>
  <c r="U1277" s="1"/>
  <c r="G1212"/>
  <c r="I1213"/>
  <c r="K1213" s="1"/>
  <c r="M1213" s="1"/>
  <c r="O1213" s="1"/>
  <c r="Q1213" s="1"/>
  <c r="S1213" s="1"/>
  <c r="U1213" s="1"/>
  <c r="G1118"/>
  <c r="I1119"/>
  <c r="K1119" s="1"/>
  <c r="M1119" s="1"/>
  <c r="O1119" s="1"/>
  <c r="Q1119" s="1"/>
  <c r="S1119" s="1"/>
  <c r="U1119" s="1"/>
  <c r="G1094"/>
  <c r="I1095"/>
  <c r="K1095" s="1"/>
  <c r="M1095" s="1"/>
  <c r="O1095" s="1"/>
  <c r="Q1095" s="1"/>
  <c r="S1095" s="1"/>
  <c r="U1095" s="1"/>
  <c r="G1050"/>
  <c r="I1051"/>
  <c r="K1051" s="1"/>
  <c r="M1051" s="1"/>
  <c r="O1051" s="1"/>
  <c r="Q1051" s="1"/>
  <c r="S1051" s="1"/>
  <c r="U1051" s="1"/>
  <c r="G739"/>
  <c r="I740"/>
  <c r="K740" s="1"/>
  <c r="M740" s="1"/>
  <c r="O740" s="1"/>
  <c r="Q740" s="1"/>
  <c r="S740" s="1"/>
  <c r="U740" s="1"/>
  <c r="G482"/>
  <c r="I483"/>
  <c r="K483" s="1"/>
  <c r="M483" s="1"/>
  <c r="O483" s="1"/>
  <c r="Q483" s="1"/>
  <c r="S483" s="1"/>
  <c r="U483" s="1"/>
  <c r="G300"/>
  <c r="G299" s="1"/>
  <c r="G298" s="1"/>
  <c r="I301"/>
  <c r="K301" s="1"/>
  <c r="M301" s="1"/>
  <c r="O301" s="1"/>
  <c r="Q301" s="1"/>
  <c r="S301" s="1"/>
  <c r="U301" s="1"/>
  <c r="G289"/>
  <c r="I289" s="1"/>
  <c r="K289" s="1"/>
  <c r="M289" s="1"/>
  <c r="O289" s="1"/>
  <c r="Q289" s="1"/>
  <c r="S289" s="1"/>
  <c r="U289" s="1"/>
  <c r="I290"/>
  <c r="K290" s="1"/>
  <c r="M290" s="1"/>
  <c r="O290" s="1"/>
  <c r="Q290" s="1"/>
  <c r="S290" s="1"/>
  <c r="U290" s="1"/>
  <c r="G189"/>
  <c r="G188" s="1"/>
  <c r="G187" s="1"/>
  <c r="I190"/>
  <c r="K190" s="1"/>
  <c r="M190" s="1"/>
  <c r="O190" s="1"/>
  <c r="Q190" s="1"/>
  <c r="S190" s="1"/>
  <c r="U190" s="1"/>
  <c r="G147"/>
  <c r="G146" s="1"/>
  <c r="I148"/>
  <c r="K148" s="1"/>
  <c r="M148" s="1"/>
  <c r="O148" s="1"/>
  <c r="Q148" s="1"/>
  <c r="S148" s="1"/>
  <c r="U148" s="1"/>
  <c r="G1136"/>
  <c r="I1137"/>
  <c r="K1137" s="1"/>
  <c r="M1137" s="1"/>
  <c r="O1137" s="1"/>
  <c r="Q1137" s="1"/>
  <c r="S1137" s="1"/>
  <c r="U1137" s="1"/>
  <c r="G270"/>
  <c r="G269" s="1"/>
  <c r="I271"/>
  <c r="K271" s="1"/>
  <c r="M271" s="1"/>
  <c r="O271" s="1"/>
  <c r="Q271" s="1"/>
  <c r="S271" s="1"/>
  <c r="U271" s="1"/>
  <c r="G1739"/>
  <c r="I1740"/>
  <c r="K1740" s="1"/>
  <c r="M1740" s="1"/>
  <c r="O1740" s="1"/>
  <c r="Q1740" s="1"/>
  <c r="S1740" s="1"/>
  <c r="U1740" s="1"/>
  <c r="G1727"/>
  <c r="I1728"/>
  <c r="K1728" s="1"/>
  <c r="M1728" s="1"/>
  <c r="O1728" s="1"/>
  <c r="Q1728" s="1"/>
  <c r="S1728" s="1"/>
  <c r="U1728" s="1"/>
  <c r="G1569"/>
  <c r="I1570"/>
  <c r="K1570" s="1"/>
  <c r="M1570" s="1"/>
  <c r="O1570" s="1"/>
  <c r="Q1570" s="1"/>
  <c r="S1570" s="1"/>
  <c r="U1570" s="1"/>
  <c r="G1343"/>
  <c r="I1344"/>
  <c r="K1344" s="1"/>
  <c r="M1344" s="1"/>
  <c r="O1344" s="1"/>
  <c r="Q1344" s="1"/>
  <c r="S1344" s="1"/>
  <c r="U1344" s="1"/>
  <c r="G1244"/>
  <c r="I1245"/>
  <c r="K1245" s="1"/>
  <c r="M1245" s="1"/>
  <c r="O1245" s="1"/>
  <c r="Q1245" s="1"/>
  <c r="S1245" s="1"/>
  <c r="U1245" s="1"/>
  <c r="G1225"/>
  <c r="I1226"/>
  <c r="K1226" s="1"/>
  <c r="M1226" s="1"/>
  <c r="O1226" s="1"/>
  <c r="Q1226" s="1"/>
  <c r="S1226" s="1"/>
  <c r="U1226" s="1"/>
  <c r="G1150"/>
  <c r="I1151"/>
  <c r="K1151" s="1"/>
  <c r="M1151" s="1"/>
  <c r="O1151" s="1"/>
  <c r="Q1151" s="1"/>
  <c r="S1151" s="1"/>
  <c r="U1151" s="1"/>
  <c r="G1123"/>
  <c r="I1124"/>
  <c r="K1124" s="1"/>
  <c r="M1124" s="1"/>
  <c r="O1124" s="1"/>
  <c r="Q1124" s="1"/>
  <c r="S1124" s="1"/>
  <c r="U1124" s="1"/>
  <c r="G1099"/>
  <c r="I1100"/>
  <c r="K1100" s="1"/>
  <c r="M1100" s="1"/>
  <c r="O1100" s="1"/>
  <c r="Q1100" s="1"/>
  <c r="S1100" s="1"/>
  <c r="U1100" s="1"/>
  <c r="G1063"/>
  <c r="I1064"/>
  <c r="K1064" s="1"/>
  <c r="M1064" s="1"/>
  <c r="O1064" s="1"/>
  <c r="Q1064" s="1"/>
  <c r="S1064" s="1"/>
  <c r="U1064" s="1"/>
  <c r="G1034"/>
  <c r="I1035"/>
  <c r="K1035" s="1"/>
  <c r="M1035" s="1"/>
  <c r="O1035" s="1"/>
  <c r="Q1035" s="1"/>
  <c r="S1035" s="1"/>
  <c r="U1035" s="1"/>
  <c r="G944"/>
  <c r="I945"/>
  <c r="K945" s="1"/>
  <c r="M945" s="1"/>
  <c r="O945" s="1"/>
  <c r="Q945" s="1"/>
  <c r="S945" s="1"/>
  <c r="U945" s="1"/>
  <c r="G915"/>
  <c r="I916"/>
  <c r="K916" s="1"/>
  <c r="M916" s="1"/>
  <c r="O916" s="1"/>
  <c r="Q916" s="1"/>
  <c r="S916" s="1"/>
  <c r="U916" s="1"/>
  <c r="I803"/>
  <c r="K803" s="1"/>
  <c r="M803" s="1"/>
  <c r="O803" s="1"/>
  <c r="Q803" s="1"/>
  <c r="S803" s="1"/>
  <c r="U803" s="1"/>
  <c r="G790"/>
  <c r="I791"/>
  <c r="K791" s="1"/>
  <c r="M791" s="1"/>
  <c r="O791" s="1"/>
  <c r="Q791" s="1"/>
  <c r="S791" s="1"/>
  <c r="U791" s="1"/>
  <c r="G752"/>
  <c r="I752" s="1"/>
  <c r="K752" s="1"/>
  <c r="M752" s="1"/>
  <c r="O752" s="1"/>
  <c r="Q752" s="1"/>
  <c r="S752" s="1"/>
  <c r="U752" s="1"/>
  <c r="I755"/>
  <c r="K755" s="1"/>
  <c r="M755" s="1"/>
  <c r="O755" s="1"/>
  <c r="Q755" s="1"/>
  <c r="S755" s="1"/>
  <c r="U755" s="1"/>
  <c r="F191" i="6"/>
  <c r="H191" s="1"/>
  <c r="J191" s="1"/>
  <c r="L191" s="1"/>
  <c r="N191" s="1"/>
  <c r="P191" s="1"/>
  <c r="R191" s="1"/>
  <c r="T191" s="1"/>
  <c r="I744" i="5"/>
  <c r="K744" s="1"/>
  <c r="M744" s="1"/>
  <c r="O744" s="1"/>
  <c r="Q744" s="1"/>
  <c r="S744" s="1"/>
  <c r="U744" s="1"/>
  <c r="G674"/>
  <c r="I675"/>
  <c r="K675" s="1"/>
  <c r="M675" s="1"/>
  <c r="O675" s="1"/>
  <c r="Q675" s="1"/>
  <c r="S675" s="1"/>
  <c r="U675" s="1"/>
  <c r="G556"/>
  <c r="I557"/>
  <c r="K557" s="1"/>
  <c r="M557" s="1"/>
  <c r="O557" s="1"/>
  <c r="Q557" s="1"/>
  <c r="S557" s="1"/>
  <c r="U557" s="1"/>
  <c r="G544"/>
  <c r="I545"/>
  <c r="K545" s="1"/>
  <c r="M545" s="1"/>
  <c r="O545" s="1"/>
  <c r="Q545" s="1"/>
  <c r="S545" s="1"/>
  <c r="U545" s="1"/>
  <c r="G520"/>
  <c r="I520" s="1"/>
  <c r="K520" s="1"/>
  <c r="M520" s="1"/>
  <c r="O520" s="1"/>
  <c r="Q520" s="1"/>
  <c r="S520" s="1"/>
  <c r="U520" s="1"/>
  <c r="I521"/>
  <c r="K521" s="1"/>
  <c r="M521" s="1"/>
  <c r="O521" s="1"/>
  <c r="Q521" s="1"/>
  <c r="S521" s="1"/>
  <c r="U521" s="1"/>
  <c r="G464"/>
  <c r="I465"/>
  <c r="K465" s="1"/>
  <c r="M465" s="1"/>
  <c r="O465" s="1"/>
  <c r="Q465" s="1"/>
  <c r="S465" s="1"/>
  <c r="U465" s="1"/>
  <c r="I443"/>
  <c r="K443" s="1"/>
  <c r="M443" s="1"/>
  <c r="O443" s="1"/>
  <c r="Q443" s="1"/>
  <c r="S443" s="1"/>
  <c r="U443" s="1"/>
  <c r="G320"/>
  <c r="I321"/>
  <c r="K321" s="1"/>
  <c r="M321" s="1"/>
  <c r="O321" s="1"/>
  <c r="Q321" s="1"/>
  <c r="S321" s="1"/>
  <c r="U321" s="1"/>
  <c r="G237"/>
  <c r="G236" s="1"/>
  <c r="G235" s="1"/>
  <c r="G234" s="1"/>
  <c r="D30" i="1" s="1"/>
  <c r="I238" i="5"/>
  <c r="K238" s="1"/>
  <c r="M238" s="1"/>
  <c r="O238" s="1"/>
  <c r="Q238" s="1"/>
  <c r="S238" s="1"/>
  <c r="U238" s="1"/>
  <c r="G151"/>
  <c r="G150" s="1"/>
  <c r="I152"/>
  <c r="K152" s="1"/>
  <c r="M152" s="1"/>
  <c r="O152" s="1"/>
  <c r="Q152" s="1"/>
  <c r="S152" s="1"/>
  <c r="U152" s="1"/>
  <c r="G106"/>
  <c r="G105" s="1"/>
  <c r="I107"/>
  <c r="K107" s="1"/>
  <c r="M107" s="1"/>
  <c r="O107" s="1"/>
  <c r="Q107" s="1"/>
  <c r="S107" s="1"/>
  <c r="U107" s="1"/>
  <c r="G49"/>
  <c r="I49" s="1"/>
  <c r="K49" s="1"/>
  <c r="M49" s="1"/>
  <c r="O49" s="1"/>
  <c r="Q49" s="1"/>
  <c r="S49" s="1"/>
  <c r="U49" s="1"/>
  <c r="I50"/>
  <c r="K50" s="1"/>
  <c r="M50" s="1"/>
  <c r="O50" s="1"/>
  <c r="Q50" s="1"/>
  <c r="S50" s="1"/>
  <c r="U50" s="1"/>
  <c r="G87"/>
  <c r="G84" s="1"/>
  <c r="I88"/>
  <c r="K88" s="1"/>
  <c r="M88" s="1"/>
  <c r="O88" s="1"/>
  <c r="Q88" s="1"/>
  <c r="S88" s="1"/>
  <c r="U88" s="1"/>
  <c r="G1453"/>
  <c r="I1453" s="1"/>
  <c r="K1453" s="1"/>
  <c r="M1453" s="1"/>
  <c r="O1453" s="1"/>
  <c r="Q1453" s="1"/>
  <c r="S1453" s="1"/>
  <c r="U1453" s="1"/>
  <c r="I1454"/>
  <c r="K1454" s="1"/>
  <c r="M1454" s="1"/>
  <c r="O1454" s="1"/>
  <c r="Q1454" s="1"/>
  <c r="S1454" s="1"/>
  <c r="U1454" s="1"/>
  <c r="G1315"/>
  <c r="I1316"/>
  <c r="K1316" s="1"/>
  <c r="M1316" s="1"/>
  <c r="O1316" s="1"/>
  <c r="Q1316" s="1"/>
  <c r="S1316" s="1"/>
  <c r="U1316" s="1"/>
  <c r="G1404"/>
  <c r="I1405"/>
  <c r="K1405" s="1"/>
  <c r="M1405" s="1"/>
  <c r="O1405" s="1"/>
  <c r="Q1405" s="1"/>
  <c r="S1405" s="1"/>
  <c r="U1405" s="1"/>
  <c r="G1081"/>
  <c r="G983"/>
  <c r="G796"/>
  <c r="G720"/>
  <c r="I720" s="1"/>
  <c r="K720" s="1"/>
  <c r="M720" s="1"/>
  <c r="O720" s="1"/>
  <c r="Q720" s="1"/>
  <c r="S720" s="1"/>
  <c r="U720" s="1"/>
  <c r="G1736"/>
  <c r="I1736" s="1"/>
  <c r="K1736" s="1"/>
  <c r="M1736" s="1"/>
  <c r="O1736" s="1"/>
  <c r="Q1736" s="1"/>
  <c r="S1736" s="1"/>
  <c r="U1736" s="1"/>
  <c r="G1146"/>
  <c r="G1008"/>
  <c r="G714"/>
  <c r="G713" s="1"/>
  <c r="G420"/>
  <c r="G401"/>
  <c r="I401" s="1"/>
  <c r="K401" s="1"/>
  <c r="M401" s="1"/>
  <c r="O401" s="1"/>
  <c r="Q401" s="1"/>
  <c r="S401" s="1"/>
  <c r="U401" s="1"/>
  <c r="G230"/>
  <c r="I230" s="1"/>
  <c r="K230" s="1"/>
  <c r="M230" s="1"/>
  <c r="O230" s="1"/>
  <c r="Q230" s="1"/>
  <c r="S230" s="1"/>
  <c r="U230" s="1"/>
  <c r="G218"/>
  <c r="I218" s="1"/>
  <c r="K218" s="1"/>
  <c r="M218" s="1"/>
  <c r="O218" s="1"/>
  <c r="Q218" s="1"/>
  <c r="S218" s="1"/>
  <c r="U218" s="1"/>
  <c r="G196"/>
  <c r="G193" s="1"/>
  <c r="G179"/>
  <c r="G178" s="1"/>
  <c r="G1410"/>
  <c r="G62"/>
  <c r="I62" s="1"/>
  <c r="K62" s="1"/>
  <c r="M62" s="1"/>
  <c r="O62" s="1"/>
  <c r="Q62" s="1"/>
  <c r="S62" s="1"/>
  <c r="U62" s="1"/>
  <c r="F1236" i="6"/>
  <c r="F1235" s="1"/>
  <c r="G1247" i="5"/>
  <c r="G1664"/>
  <c r="G1617"/>
  <c r="G1492"/>
  <c r="G1388"/>
  <c r="G1253"/>
  <c r="G1252" s="1"/>
  <c r="I1252" s="1"/>
  <c r="K1252" s="1"/>
  <c r="M1252" s="1"/>
  <c r="O1252" s="1"/>
  <c r="Q1252" s="1"/>
  <c r="S1252" s="1"/>
  <c r="U1252" s="1"/>
  <c r="G1187"/>
  <c r="I1187" s="1"/>
  <c r="K1187" s="1"/>
  <c r="M1187" s="1"/>
  <c r="O1187" s="1"/>
  <c r="Q1187" s="1"/>
  <c r="S1187" s="1"/>
  <c r="U1187" s="1"/>
  <c r="G1110"/>
  <c r="G1072"/>
  <c r="G987"/>
  <c r="G974"/>
  <c r="I774"/>
  <c r="K774" s="1"/>
  <c r="M774" s="1"/>
  <c r="O774" s="1"/>
  <c r="Q774" s="1"/>
  <c r="S774" s="1"/>
  <c r="U774" s="1"/>
  <c r="I722"/>
  <c r="K722" s="1"/>
  <c r="M722" s="1"/>
  <c r="O722" s="1"/>
  <c r="Q722" s="1"/>
  <c r="S722" s="1"/>
  <c r="U722" s="1"/>
  <c r="G615"/>
  <c r="G610"/>
  <c r="G568"/>
  <c r="I568" s="1"/>
  <c r="K568" s="1"/>
  <c r="M568" s="1"/>
  <c r="O568" s="1"/>
  <c r="Q568" s="1"/>
  <c r="S568" s="1"/>
  <c r="U568" s="1"/>
  <c r="I493"/>
  <c r="K493" s="1"/>
  <c r="M493" s="1"/>
  <c r="O493" s="1"/>
  <c r="Q493" s="1"/>
  <c r="S493" s="1"/>
  <c r="U493" s="1"/>
  <c r="I412"/>
  <c r="K412" s="1"/>
  <c r="M412" s="1"/>
  <c r="O412" s="1"/>
  <c r="Q412" s="1"/>
  <c r="S412" s="1"/>
  <c r="U412" s="1"/>
  <c r="I405"/>
  <c r="K405" s="1"/>
  <c r="M405" s="1"/>
  <c r="O405" s="1"/>
  <c r="Q405" s="1"/>
  <c r="S405" s="1"/>
  <c r="U405" s="1"/>
  <c r="G389"/>
  <c r="G381"/>
  <c r="I381" s="1"/>
  <c r="K381" s="1"/>
  <c r="M381" s="1"/>
  <c r="O381" s="1"/>
  <c r="Q381" s="1"/>
  <c r="S381" s="1"/>
  <c r="U381" s="1"/>
  <c r="G361"/>
  <c r="G279"/>
  <c r="G259"/>
  <c r="G258" s="1"/>
  <c r="G257" s="1"/>
  <c r="G161"/>
  <c r="G160" s="1"/>
  <c r="G159" s="1"/>
  <c r="G158" s="1"/>
  <c r="G119"/>
  <c r="G116" s="1"/>
  <c r="G115" s="1"/>
  <c r="G114" s="1"/>
  <c r="G97"/>
  <c r="F212" i="6"/>
  <c r="H212" s="1"/>
  <c r="J212" s="1"/>
  <c r="L212" s="1"/>
  <c r="N212" s="1"/>
  <c r="P212" s="1"/>
  <c r="R212" s="1"/>
  <c r="T212" s="1"/>
  <c r="G856" i="5"/>
  <c r="F101" i="6"/>
  <c r="F100" s="1"/>
  <c r="H100" s="1"/>
  <c r="J100" s="1"/>
  <c r="L100" s="1"/>
  <c r="N100" s="1"/>
  <c r="P100" s="1"/>
  <c r="R100" s="1"/>
  <c r="T100" s="1"/>
  <c r="G316" i="5"/>
  <c r="F1806" i="6"/>
  <c r="F1805" s="1"/>
  <c r="F1804" s="1"/>
  <c r="F1803" s="1"/>
  <c r="F1802" s="1"/>
  <c r="F1801" s="1"/>
  <c r="G458" i="5"/>
  <c r="I664"/>
  <c r="K664" s="1"/>
  <c r="M664" s="1"/>
  <c r="O664" s="1"/>
  <c r="Q664" s="1"/>
  <c r="S664" s="1"/>
  <c r="U664" s="1"/>
  <c r="I645"/>
  <c r="K645" s="1"/>
  <c r="M645" s="1"/>
  <c r="O645" s="1"/>
  <c r="Q645" s="1"/>
  <c r="S645" s="1"/>
  <c r="U645" s="1"/>
  <c r="G1572"/>
  <c r="I1572" s="1"/>
  <c r="K1572" s="1"/>
  <c r="M1572" s="1"/>
  <c r="O1572" s="1"/>
  <c r="Q1572" s="1"/>
  <c r="S1572" s="1"/>
  <c r="U1572" s="1"/>
  <c r="I1573"/>
  <c r="K1573" s="1"/>
  <c r="M1573" s="1"/>
  <c r="O1573" s="1"/>
  <c r="Q1573" s="1"/>
  <c r="S1573" s="1"/>
  <c r="U1573" s="1"/>
  <c r="G1351"/>
  <c r="I1352"/>
  <c r="K1352" s="1"/>
  <c r="M1352" s="1"/>
  <c r="O1352" s="1"/>
  <c r="Q1352" s="1"/>
  <c r="S1352" s="1"/>
  <c r="U1352" s="1"/>
  <c r="G1128"/>
  <c r="I1129"/>
  <c r="K1129" s="1"/>
  <c r="M1129" s="1"/>
  <c r="O1129" s="1"/>
  <c r="Q1129" s="1"/>
  <c r="S1129" s="1"/>
  <c r="U1129" s="1"/>
  <c r="G1012"/>
  <c r="I1013"/>
  <c r="K1013" s="1"/>
  <c r="M1013" s="1"/>
  <c r="O1013" s="1"/>
  <c r="Q1013" s="1"/>
  <c r="S1013" s="1"/>
  <c r="U1013" s="1"/>
  <c r="G959"/>
  <c r="I960"/>
  <c r="K960" s="1"/>
  <c r="M960" s="1"/>
  <c r="O960" s="1"/>
  <c r="Q960" s="1"/>
  <c r="S960" s="1"/>
  <c r="U960" s="1"/>
  <c r="G868"/>
  <c r="I868" s="1"/>
  <c r="K868" s="1"/>
  <c r="M868" s="1"/>
  <c r="O868" s="1"/>
  <c r="Q868" s="1"/>
  <c r="S868" s="1"/>
  <c r="U868" s="1"/>
  <c r="I869"/>
  <c r="K869" s="1"/>
  <c r="M869" s="1"/>
  <c r="O869" s="1"/>
  <c r="Q869" s="1"/>
  <c r="S869" s="1"/>
  <c r="U869" s="1"/>
  <c r="G805"/>
  <c r="I805" s="1"/>
  <c r="K805" s="1"/>
  <c r="M805" s="1"/>
  <c r="O805" s="1"/>
  <c r="Q805" s="1"/>
  <c r="S805" s="1"/>
  <c r="U805" s="1"/>
  <c r="I806"/>
  <c r="K806" s="1"/>
  <c r="M806" s="1"/>
  <c r="O806" s="1"/>
  <c r="Q806" s="1"/>
  <c r="S806" s="1"/>
  <c r="U806" s="1"/>
  <c r="G759"/>
  <c r="I760"/>
  <c r="K760" s="1"/>
  <c r="M760" s="1"/>
  <c r="O760" s="1"/>
  <c r="Q760" s="1"/>
  <c r="S760" s="1"/>
  <c r="U760" s="1"/>
  <c r="G710"/>
  <c r="I711"/>
  <c r="K711" s="1"/>
  <c r="M711" s="1"/>
  <c r="O711" s="1"/>
  <c r="Q711" s="1"/>
  <c r="S711" s="1"/>
  <c r="U711" s="1"/>
  <c r="G639"/>
  <c r="I639" s="1"/>
  <c r="K639" s="1"/>
  <c r="M639" s="1"/>
  <c r="O639" s="1"/>
  <c r="Q639" s="1"/>
  <c r="S639" s="1"/>
  <c r="U639" s="1"/>
  <c r="I640"/>
  <c r="K640" s="1"/>
  <c r="M640" s="1"/>
  <c r="O640" s="1"/>
  <c r="Q640" s="1"/>
  <c r="S640" s="1"/>
  <c r="U640" s="1"/>
  <c r="G590"/>
  <c r="I591"/>
  <c r="K591" s="1"/>
  <c r="M591" s="1"/>
  <c r="O591" s="1"/>
  <c r="Q591" s="1"/>
  <c r="S591" s="1"/>
  <c r="U591" s="1"/>
  <c r="G468"/>
  <c r="I469"/>
  <c r="K469" s="1"/>
  <c r="M469" s="1"/>
  <c r="O469" s="1"/>
  <c r="Q469" s="1"/>
  <c r="S469" s="1"/>
  <c r="U469" s="1"/>
  <c r="G337"/>
  <c r="I338"/>
  <c r="K338" s="1"/>
  <c r="M338" s="1"/>
  <c r="O338" s="1"/>
  <c r="Q338" s="1"/>
  <c r="S338" s="1"/>
  <c r="U338" s="1"/>
  <c r="G248"/>
  <c r="G247" s="1"/>
  <c r="G246" s="1"/>
  <c r="I249"/>
  <c r="K249" s="1"/>
  <c r="M249" s="1"/>
  <c r="O249" s="1"/>
  <c r="Q249" s="1"/>
  <c r="S249" s="1"/>
  <c r="U249" s="1"/>
  <c r="G77"/>
  <c r="K78"/>
  <c r="M78" s="1"/>
  <c r="O78" s="1"/>
  <c r="Q78" s="1"/>
  <c r="S78" s="1"/>
  <c r="U78" s="1"/>
  <c r="G37"/>
  <c r="I37" s="1"/>
  <c r="K37" s="1"/>
  <c r="M37" s="1"/>
  <c r="O37" s="1"/>
  <c r="Q37" s="1"/>
  <c r="S37" s="1"/>
  <c r="U37" s="1"/>
  <c r="I38"/>
  <c r="K38" s="1"/>
  <c r="M38" s="1"/>
  <c r="O38" s="1"/>
  <c r="Q38" s="1"/>
  <c r="S38" s="1"/>
  <c r="U38" s="1"/>
  <c r="G1132"/>
  <c r="I1133"/>
  <c r="K1133" s="1"/>
  <c r="M1133" s="1"/>
  <c r="O1133" s="1"/>
  <c r="Q1133" s="1"/>
  <c r="S1133" s="1"/>
  <c r="U1133" s="1"/>
  <c r="G1140"/>
  <c r="I1141"/>
  <c r="K1141" s="1"/>
  <c r="M1141" s="1"/>
  <c r="O1141" s="1"/>
  <c r="Q1141" s="1"/>
  <c r="S1141" s="1"/>
  <c r="U1141" s="1"/>
  <c r="G889"/>
  <c r="I890"/>
  <c r="K890" s="1"/>
  <c r="M890" s="1"/>
  <c r="O890" s="1"/>
  <c r="Q890" s="1"/>
  <c r="S890" s="1"/>
  <c r="U890" s="1"/>
  <c r="G874"/>
  <c r="I874" s="1"/>
  <c r="K874" s="1"/>
  <c r="M874" s="1"/>
  <c r="O874" s="1"/>
  <c r="Q874" s="1"/>
  <c r="S874" s="1"/>
  <c r="U874" s="1"/>
  <c r="I875"/>
  <c r="K875" s="1"/>
  <c r="M875" s="1"/>
  <c r="O875" s="1"/>
  <c r="Q875" s="1"/>
  <c r="S875" s="1"/>
  <c r="U875" s="1"/>
  <c r="G1480"/>
  <c r="I1481"/>
  <c r="K1481" s="1"/>
  <c r="M1481" s="1"/>
  <c r="O1481" s="1"/>
  <c r="Q1481" s="1"/>
  <c r="S1481" s="1"/>
  <c r="U1481" s="1"/>
  <c r="G1425"/>
  <c r="I1426"/>
  <c r="K1426" s="1"/>
  <c r="M1426" s="1"/>
  <c r="O1426" s="1"/>
  <c r="Q1426" s="1"/>
  <c r="S1426" s="1"/>
  <c r="U1426" s="1"/>
  <c r="G1721"/>
  <c r="I1721" s="1"/>
  <c r="K1721" s="1"/>
  <c r="M1721" s="1"/>
  <c r="O1721" s="1"/>
  <c r="Q1721" s="1"/>
  <c r="S1721" s="1"/>
  <c r="U1721" s="1"/>
  <c r="I1722"/>
  <c r="K1722" s="1"/>
  <c r="M1722" s="1"/>
  <c r="O1722" s="1"/>
  <c r="Q1722" s="1"/>
  <c r="S1722" s="1"/>
  <c r="U1722" s="1"/>
  <c r="G356"/>
  <c r="I357"/>
  <c r="K357" s="1"/>
  <c r="M357" s="1"/>
  <c r="O357" s="1"/>
  <c r="Q357" s="1"/>
  <c r="S357" s="1"/>
  <c r="U357" s="1"/>
  <c r="G1310"/>
  <c r="I1311"/>
  <c r="K1311" s="1"/>
  <c r="M1311" s="1"/>
  <c r="O1311" s="1"/>
  <c r="Q1311" s="1"/>
  <c r="S1311" s="1"/>
  <c r="U1311" s="1"/>
  <c r="I726"/>
  <c r="K726" s="1"/>
  <c r="M726" s="1"/>
  <c r="O726" s="1"/>
  <c r="Q726" s="1"/>
  <c r="S726" s="1"/>
  <c r="U726" s="1"/>
  <c r="G822"/>
  <c r="I823"/>
  <c r="K823" s="1"/>
  <c r="M823" s="1"/>
  <c r="O823" s="1"/>
  <c r="Q823" s="1"/>
  <c r="S823" s="1"/>
  <c r="U823" s="1"/>
  <c r="F930" i="6"/>
  <c r="F929" s="1"/>
  <c r="H929" s="1"/>
  <c r="J929" s="1"/>
  <c r="L929" s="1"/>
  <c r="N929" s="1"/>
  <c r="P929" s="1"/>
  <c r="R929" s="1"/>
  <c r="T929" s="1"/>
  <c r="I1424" i="5"/>
  <c r="K1424" s="1"/>
  <c r="M1424" s="1"/>
  <c r="O1424" s="1"/>
  <c r="Q1424" s="1"/>
  <c r="S1424" s="1"/>
  <c r="U1424" s="1"/>
  <c r="G662"/>
  <c r="I662" s="1"/>
  <c r="K662" s="1"/>
  <c r="M662" s="1"/>
  <c r="O662" s="1"/>
  <c r="Q662" s="1"/>
  <c r="S662" s="1"/>
  <c r="U662" s="1"/>
  <c r="I663"/>
  <c r="K663" s="1"/>
  <c r="M663" s="1"/>
  <c r="O663" s="1"/>
  <c r="Q663" s="1"/>
  <c r="S663" s="1"/>
  <c r="U663" s="1"/>
  <c r="H526"/>
  <c r="H398"/>
  <c r="H397" s="1"/>
  <c r="H396" s="1"/>
  <c r="H395" s="1"/>
  <c r="H394" s="1"/>
  <c r="G1648"/>
  <c r="I1649"/>
  <c r="K1649" s="1"/>
  <c r="M1649" s="1"/>
  <c r="O1649" s="1"/>
  <c r="Q1649" s="1"/>
  <c r="S1649" s="1"/>
  <c r="U1649" s="1"/>
  <c r="G1606"/>
  <c r="I1607"/>
  <c r="K1607" s="1"/>
  <c r="M1607" s="1"/>
  <c r="O1607" s="1"/>
  <c r="Q1607" s="1"/>
  <c r="S1607" s="1"/>
  <c r="U1607" s="1"/>
  <c r="G1090"/>
  <c r="I1091"/>
  <c r="K1091" s="1"/>
  <c r="M1091" s="1"/>
  <c r="O1091" s="1"/>
  <c r="Q1091" s="1"/>
  <c r="S1091" s="1"/>
  <c r="U1091" s="1"/>
  <c r="G1021"/>
  <c r="I1022"/>
  <c r="K1022" s="1"/>
  <c r="M1022" s="1"/>
  <c r="O1022" s="1"/>
  <c r="Q1022" s="1"/>
  <c r="S1022" s="1"/>
  <c r="U1022" s="1"/>
  <c r="G829"/>
  <c r="I830"/>
  <c r="K830" s="1"/>
  <c r="M830" s="1"/>
  <c r="O830" s="1"/>
  <c r="Q830" s="1"/>
  <c r="S830" s="1"/>
  <c r="U830" s="1"/>
  <c r="G763"/>
  <c r="I764"/>
  <c r="K764" s="1"/>
  <c r="M764" s="1"/>
  <c r="O764" s="1"/>
  <c r="Q764" s="1"/>
  <c r="S764" s="1"/>
  <c r="U764" s="1"/>
  <c r="G565"/>
  <c r="I566"/>
  <c r="K566" s="1"/>
  <c r="M566" s="1"/>
  <c r="O566" s="1"/>
  <c r="Q566" s="1"/>
  <c r="S566" s="1"/>
  <c r="U566" s="1"/>
  <c r="G348"/>
  <c r="I349"/>
  <c r="K349" s="1"/>
  <c r="M349" s="1"/>
  <c r="O349" s="1"/>
  <c r="Q349" s="1"/>
  <c r="S349" s="1"/>
  <c r="U349" s="1"/>
  <c r="G295"/>
  <c r="I295" s="1"/>
  <c r="K295" s="1"/>
  <c r="M295" s="1"/>
  <c r="O295" s="1"/>
  <c r="Q295" s="1"/>
  <c r="S295" s="1"/>
  <c r="U295" s="1"/>
  <c r="I296"/>
  <c r="K296" s="1"/>
  <c r="M296" s="1"/>
  <c r="O296" s="1"/>
  <c r="Q296" s="1"/>
  <c r="S296" s="1"/>
  <c r="U296" s="1"/>
  <c r="G206"/>
  <c r="I206" s="1"/>
  <c r="K206" s="1"/>
  <c r="M206" s="1"/>
  <c r="O206" s="1"/>
  <c r="Q206" s="1"/>
  <c r="S206" s="1"/>
  <c r="U206" s="1"/>
  <c r="I207"/>
  <c r="K207" s="1"/>
  <c r="M207" s="1"/>
  <c r="O207" s="1"/>
  <c r="Q207" s="1"/>
  <c r="S207" s="1"/>
  <c r="U207" s="1"/>
  <c r="G636"/>
  <c r="I637"/>
  <c r="K637" s="1"/>
  <c r="M637" s="1"/>
  <c r="O637" s="1"/>
  <c r="Q637" s="1"/>
  <c r="S637" s="1"/>
  <c r="U637" s="1"/>
  <c r="G1630"/>
  <c r="I1631"/>
  <c r="K1631" s="1"/>
  <c r="M1631" s="1"/>
  <c r="O1631" s="1"/>
  <c r="Q1631" s="1"/>
  <c r="S1631" s="1"/>
  <c r="U1631" s="1"/>
  <c r="G768"/>
  <c r="I769"/>
  <c r="K769" s="1"/>
  <c r="M769" s="1"/>
  <c r="O769" s="1"/>
  <c r="Q769" s="1"/>
  <c r="S769" s="1"/>
  <c r="U769" s="1"/>
  <c r="G1474"/>
  <c r="I1475"/>
  <c r="K1475" s="1"/>
  <c r="M1475" s="1"/>
  <c r="O1475" s="1"/>
  <c r="Q1475" s="1"/>
  <c r="S1475" s="1"/>
  <c r="U1475" s="1"/>
  <c r="G1435"/>
  <c r="I1436"/>
  <c r="K1436" s="1"/>
  <c r="M1436" s="1"/>
  <c r="O1436" s="1"/>
  <c r="Q1436" s="1"/>
  <c r="S1436" s="1"/>
  <c r="U1436" s="1"/>
  <c r="G1634"/>
  <c r="I1635"/>
  <c r="K1635" s="1"/>
  <c r="M1635" s="1"/>
  <c r="O1635" s="1"/>
  <c r="Q1635" s="1"/>
  <c r="S1635" s="1"/>
  <c r="U1635" s="1"/>
  <c r="G453"/>
  <c r="I454"/>
  <c r="K454" s="1"/>
  <c r="M454" s="1"/>
  <c r="O454" s="1"/>
  <c r="Q454" s="1"/>
  <c r="S454" s="1"/>
  <c r="U454" s="1"/>
  <c r="G652"/>
  <c r="I653"/>
  <c r="K653" s="1"/>
  <c r="M653" s="1"/>
  <c r="O653" s="1"/>
  <c r="Q653" s="1"/>
  <c r="S653" s="1"/>
  <c r="U653" s="1"/>
  <c r="G324"/>
  <c r="I325"/>
  <c r="K325" s="1"/>
  <c r="M325" s="1"/>
  <c r="O325" s="1"/>
  <c r="Q325" s="1"/>
  <c r="S325" s="1"/>
  <c r="U325" s="1"/>
  <c r="G366"/>
  <c r="I367"/>
  <c r="K367" s="1"/>
  <c r="M367" s="1"/>
  <c r="O367" s="1"/>
  <c r="Q367" s="1"/>
  <c r="S367" s="1"/>
  <c r="U367" s="1"/>
  <c r="G1689"/>
  <c r="G1418"/>
  <c r="G1184"/>
  <c r="G927"/>
  <c r="G552"/>
  <c r="G1285"/>
  <c r="I1286"/>
  <c r="K1286" s="1"/>
  <c r="M1286" s="1"/>
  <c r="O1286" s="1"/>
  <c r="Q1286" s="1"/>
  <c r="S1286" s="1"/>
  <c r="U1286" s="1"/>
  <c r="G1652"/>
  <c r="I1653"/>
  <c r="K1653" s="1"/>
  <c r="M1653" s="1"/>
  <c r="O1653" s="1"/>
  <c r="Q1653" s="1"/>
  <c r="S1653" s="1"/>
  <c r="U1653" s="1"/>
  <c r="G1497"/>
  <c r="I1498"/>
  <c r="K1498" s="1"/>
  <c r="M1498" s="1"/>
  <c r="O1498" s="1"/>
  <c r="Q1498" s="1"/>
  <c r="S1498" s="1"/>
  <c r="U1498" s="1"/>
  <c r="G1300"/>
  <c r="I1301"/>
  <c r="K1301" s="1"/>
  <c r="M1301" s="1"/>
  <c r="O1301" s="1"/>
  <c r="Q1301" s="1"/>
  <c r="S1301" s="1"/>
  <c r="U1301" s="1"/>
  <c r="G1168"/>
  <c r="I1169"/>
  <c r="K1169" s="1"/>
  <c r="M1169" s="1"/>
  <c r="O1169" s="1"/>
  <c r="Q1169" s="1"/>
  <c r="S1169" s="1"/>
  <c r="U1169" s="1"/>
  <c r="G1114"/>
  <c r="I1115"/>
  <c r="K1115" s="1"/>
  <c r="M1115" s="1"/>
  <c r="O1115" s="1"/>
  <c r="Q1115" s="1"/>
  <c r="S1115" s="1"/>
  <c r="U1115" s="1"/>
  <c r="G963"/>
  <c r="I964"/>
  <c r="K964" s="1"/>
  <c r="M964" s="1"/>
  <c r="O964" s="1"/>
  <c r="Q964" s="1"/>
  <c r="S964" s="1"/>
  <c r="U964" s="1"/>
  <c r="G474"/>
  <c r="I475"/>
  <c r="K475" s="1"/>
  <c r="M475" s="1"/>
  <c r="O475" s="1"/>
  <c r="Q475" s="1"/>
  <c r="S475" s="1"/>
  <c r="U475" s="1"/>
  <c r="G1586"/>
  <c r="I1587"/>
  <c r="K1587" s="1"/>
  <c r="M1587" s="1"/>
  <c r="O1587" s="1"/>
  <c r="Q1587" s="1"/>
  <c r="S1587" s="1"/>
  <c r="U1587" s="1"/>
  <c r="G1508"/>
  <c r="I1509"/>
  <c r="K1509" s="1"/>
  <c r="M1509" s="1"/>
  <c r="O1509" s="1"/>
  <c r="Q1509" s="1"/>
  <c r="S1509" s="1"/>
  <c r="U1509" s="1"/>
  <c r="G1304"/>
  <c r="I1305"/>
  <c r="K1305" s="1"/>
  <c r="M1305" s="1"/>
  <c r="O1305" s="1"/>
  <c r="Q1305" s="1"/>
  <c r="S1305" s="1"/>
  <c r="U1305" s="1"/>
  <c r="G1025"/>
  <c r="I1026"/>
  <c r="K1026" s="1"/>
  <c r="M1026" s="1"/>
  <c r="O1026" s="1"/>
  <c r="Q1026" s="1"/>
  <c r="S1026" s="1"/>
  <c r="U1026" s="1"/>
  <c r="G1000"/>
  <c r="I1001"/>
  <c r="K1001" s="1"/>
  <c r="M1001" s="1"/>
  <c r="O1001" s="1"/>
  <c r="Q1001" s="1"/>
  <c r="S1001" s="1"/>
  <c r="U1001" s="1"/>
  <c r="G848"/>
  <c r="I849"/>
  <c r="K849" s="1"/>
  <c r="M849" s="1"/>
  <c r="O849" s="1"/>
  <c r="Q849" s="1"/>
  <c r="S849" s="1"/>
  <c r="U849" s="1"/>
  <c r="G786"/>
  <c r="I786" s="1"/>
  <c r="K786" s="1"/>
  <c r="M786" s="1"/>
  <c r="O786" s="1"/>
  <c r="Q786" s="1"/>
  <c r="S786" s="1"/>
  <c r="U786" s="1"/>
  <c r="I787"/>
  <c r="K787" s="1"/>
  <c r="M787" s="1"/>
  <c r="O787" s="1"/>
  <c r="Q787" s="1"/>
  <c r="S787" s="1"/>
  <c r="U787" s="1"/>
  <c r="G669"/>
  <c r="I670"/>
  <c r="K670" s="1"/>
  <c r="M670" s="1"/>
  <c r="O670" s="1"/>
  <c r="Q670" s="1"/>
  <c r="S670" s="1"/>
  <c r="U670" s="1"/>
  <c r="G529"/>
  <c r="I530"/>
  <c r="K530" s="1"/>
  <c r="M530" s="1"/>
  <c r="O530" s="1"/>
  <c r="Q530" s="1"/>
  <c r="S530" s="1"/>
  <c r="U530" s="1"/>
  <c r="G503"/>
  <c r="I504"/>
  <c r="K504" s="1"/>
  <c r="M504" s="1"/>
  <c r="O504" s="1"/>
  <c r="Q504" s="1"/>
  <c r="S504" s="1"/>
  <c r="U504" s="1"/>
  <c r="G537"/>
  <c r="I538"/>
  <c r="K538" s="1"/>
  <c r="M538" s="1"/>
  <c r="O538" s="1"/>
  <c r="Q538" s="1"/>
  <c r="S538" s="1"/>
  <c r="U538" s="1"/>
  <c r="G1592"/>
  <c r="I1592" s="1"/>
  <c r="K1592" s="1"/>
  <c r="M1592" s="1"/>
  <c r="O1592" s="1"/>
  <c r="Q1592" s="1"/>
  <c r="S1592" s="1"/>
  <c r="U1592" s="1"/>
  <c r="I1593"/>
  <c r="K1593" s="1"/>
  <c r="M1593" s="1"/>
  <c r="O1593" s="1"/>
  <c r="Q1593" s="1"/>
  <c r="S1593" s="1"/>
  <c r="U1593" s="1"/>
  <c r="G699"/>
  <c r="I700"/>
  <c r="K700" s="1"/>
  <c r="M700" s="1"/>
  <c r="O700" s="1"/>
  <c r="Q700" s="1"/>
  <c r="S700" s="1"/>
  <c r="U700" s="1"/>
  <c r="G343"/>
  <c r="I344"/>
  <c r="K344" s="1"/>
  <c r="M344" s="1"/>
  <c r="O344" s="1"/>
  <c r="Q344" s="1"/>
  <c r="S344" s="1"/>
  <c r="U344" s="1"/>
  <c r="G842"/>
  <c r="I843"/>
  <c r="K843" s="1"/>
  <c r="M843" s="1"/>
  <c r="O843" s="1"/>
  <c r="Q843" s="1"/>
  <c r="S843" s="1"/>
  <c r="U843" s="1"/>
  <c r="G488"/>
  <c r="I489"/>
  <c r="K489" s="1"/>
  <c r="M489" s="1"/>
  <c r="O489" s="1"/>
  <c r="Q489" s="1"/>
  <c r="S489" s="1"/>
  <c r="U489" s="1"/>
  <c r="F1376" i="6"/>
  <c r="F1375" s="1"/>
  <c r="I118" i="5"/>
  <c r="K118" s="1"/>
  <c r="M118" s="1"/>
  <c r="O118" s="1"/>
  <c r="Q118" s="1"/>
  <c r="S118" s="1"/>
  <c r="U118" s="1"/>
  <c r="G1463"/>
  <c r="I1464"/>
  <c r="K1464" s="1"/>
  <c r="M1464" s="1"/>
  <c r="O1464" s="1"/>
  <c r="Q1464" s="1"/>
  <c r="S1464" s="1"/>
  <c r="U1464" s="1"/>
  <c r="H532"/>
  <c r="E52" i="1"/>
  <c r="E51" s="1"/>
  <c r="G1450" i="5"/>
  <c r="G1068"/>
  <c r="G783"/>
  <c r="G1238"/>
  <c r="G1644"/>
  <c r="G1219"/>
  <c r="G449"/>
  <c r="I449" s="1"/>
  <c r="K449" s="1"/>
  <c r="M449" s="1"/>
  <c r="O449" s="1"/>
  <c r="Q449" s="1"/>
  <c r="S449" s="1"/>
  <c r="U449" s="1"/>
  <c r="G408"/>
  <c r="I408" s="1"/>
  <c r="K408" s="1"/>
  <c r="M408" s="1"/>
  <c r="O408" s="1"/>
  <c r="Q408" s="1"/>
  <c r="S408" s="1"/>
  <c r="U408" s="1"/>
  <c r="G80"/>
  <c r="I80" s="1"/>
  <c r="K80" s="1"/>
  <c r="M80" s="1"/>
  <c r="O80" s="1"/>
  <c r="Q80" s="1"/>
  <c r="S80" s="1"/>
  <c r="U80" s="1"/>
  <c r="G40"/>
  <c r="I40" s="1"/>
  <c r="K40" s="1"/>
  <c r="M40" s="1"/>
  <c r="O40" s="1"/>
  <c r="Q40" s="1"/>
  <c r="S40" s="1"/>
  <c r="U40" s="1"/>
  <c r="G596"/>
  <c r="H743"/>
  <c r="H742" s="1"/>
  <c r="H1459"/>
  <c r="H1477"/>
  <c r="E66" i="1"/>
  <c r="E65" s="1"/>
  <c r="I44" i="5"/>
  <c r="K44" s="1"/>
  <c r="M44" s="1"/>
  <c r="O44" s="1"/>
  <c r="Q44" s="1"/>
  <c r="S44" s="1"/>
  <c r="U44" s="1"/>
  <c r="I75"/>
  <c r="K75" s="1"/>
  <c r="M75" s="1"/>
  <c r="O75" s="1"/>
  <c r="Q75" s="1"/>
  <c r="S75" s="1"/>
  <c r="U75" s="1"/>
  <c r="I134"/>
  <c r="K134" s="1"/>
  <c r="M134" s="1"/>
  <c r="O134" s="1"/>
  <c r="Q134" s="1"/>
  <c r="S134" s="1"/>
  <c r="U134" s="1"/>
  <c r="I228"/>
  <c r="K228" s="1"/>
  <c r="M228" s="1"/>
  <c r="O228" s="1"/>
  <c r="Q228" s="1"/>
  <c r="S228" s="1"/>
  <c r="U228" s="1"/>
  <c r="I253"/>
  <c r="K253" s="1"/>
  <c r="M253" s="1"/>
  <c r="O253" s="1"/>
  <c r="Q253" s="1"/>
  <c r="S253" s="1"/>
  <c r="U253" s="1"/>
  <c r="I898"/>
  <c r="K898" s="1"/>
  <c r="M898" s="1"/>
  <c r="O898" s="1"/>
  <c r="Q898" s="1"/>
  <c r="S898" s="1"/>
  <c r="U898" s="1"/>
  <c r="I129"/>
  <c r="K129" s="1"/>
  <c r="M129" s="1"/>
  <c r="O129" s="1"/>
  <c r="Q129" s="1"/>
  <c r="S129" s="1"/>
  <c r="U129" s="1"/>
  <c r="I169"/>
  <c r="K169" s="1"/>
  <c r="M169" s="1"/>
  <c r="O169" s="1"/>
  <c r="Q169" s="1"/>
  <c r="S169" s="1"/>
  <c r="U169" s="1"/>
  <c r="I292"/>
  <c r="K292" s="1"/>
  <c r="M292" s="1"/>
  <c r="O292" s="1"/>
  <c r="Q292" s="1"/>
  <c r="S292" s="1"/>
  <c r="U292" s="1"/>
  <c r="H782"/>
  <c r="H781" s="1"/>
  <c r="H780" s="1"/>
  <c r="H957"/>
  <c r="H956" s="1"/>
  <c r="H940" s="1"/>
  <c r="H918" s="1"/>
  <c r="I1567"/>
  <c r="K1567" s="1"/>
  <c r="M1567" s="1"/>
  <c r="O1567" s="1"/>
  <c r="Q1567" s="1"/>
  <c r="S1567" s="1"/>
  <c r="U1567" s="1"/>
  <c r="I103"/>
  <c r="I122"/>
  <c r="K122" s="1"/>
  <c r="M122" s="1"/>
  <c r="O122" s="1"/>
  <c r="Q122" s="1"/>
  <c r="S122" s="1"/>
  <c r="U122" s="1"/>
  <c r="I308"/>
  <c r="K308" s="1"/>
  <c r="M308" s="1"/>
  <c r="O308" s="1"/>
  <c r="Q308" s="1"/>
  <c r="S308" s="1"/>
  <c r="U308" s="1"/>
  <c r="I1200"/>
  <c r="K1200" s="1"/>
  <c r="M1200" s="1"/>
  <c r="O1200" s="1"/>
  <c r="Q1200" s="1"/>
  <c r="S1200" s="1"/>
  <c r="U1200" s="1"/>
  <c r="I1233"/>
  <c r="K1233" s="1"/>
  <c r="M1233" s="1"/>
  <c r="O1233" s="1"/>
  <c r="Q1233" s="1"/>
  <c r="S1233" s="1"/>
  <c r="U1233" s="1"/>
  <c r="I1584"/>
  <c r="K1584" s="1"/>
  <c r="M1584" s="1"/>
  <c r="O1584" s="1"/>
  <c r="Q1584" s="1"/>
  <c r="S1584" s="1"/>
  <c r="U1584" s="1"/>
  <c r="I213"/>
  <c r="K213" s="1"/>
  <c r="M213" s="1"/>
  <c r="O213" s="1"/>
  <c r="Q213" s="1"/>
  <c r="S213" s="1"/>
  <c r="U213" s="1"/>
  <c r="F1789" i="6"/>
  <c r="H1789" s="1"/>
  <c r="J1789" s="1"/>
  <c r="L1789" s="1"/>
  <c r="N1789" s="1"/>
  <c r="P1789" s="1"/>
  <c r="R1789" s="1"/>
  <c r="T1789" s="1"/>
  <c r="F1735"/>
  <c r="H1735" s="1"/>
  <c r="J1735" s="1"/>
  <c r="L1735" s="1"/>
  <c r="N1735" s="1"/>
  <c r="P1735" s="1"/>
  <c r="R1735" s="1"/>
  <c r="T1735" s="1"/>
  <c r="F73"/>
  <c r="F72" s="1"/>
  <c r="F71" s="1"/>
  <c r="F70" s="1"/>
  <c r="F69" s="1"/>
  <c r="H69" s="1"/>
  <c r="J69" s="1"/>
  <c r="L69" s="1"/>
  <c r="N69" s="1"/>
  <c r="P69" s="1"/>
  <c r="R69" s="1"/>
  <c r="T69" s="1"/>
  <c r="G1361"/>
  <c r="G1360" s="1"/>
  <c r="G1351" s="1"/>
  <c r="H225"/>
  <c r="J225" s="1"/>
  <c r="L225" s="1"/>
  <c r="N225" s="1"/>
  <c r="P225" s="1"/>
  <c r="R225" s="1"/>
  <c r="T225" s="1"/>
  <c r="F228"/>
  <c r="H228" s="1"/>
  <c r="J228" s="1"/>
  <c r="L228" s="1"/>
  <c r="N228" s="1"/>
  <c r="P228" s="1"/>
  <c r="R228" s="1"/>
  <c r="T228" s="1"/>
  <c r="F110"/>
  <c r="F109" s="1"/>
  <c r="F108" s="1"/>
  <c r="F107" s="1"/>
  <c r="F106" s="1"/>
  <c r="H106" s="1"/>
  <c r="J106" s="1"/>
  <c r="L106" s="1"/>
  <c r="N106" s="1"/>
  <c r="P106" s="1"/>
  <c r="R106" s="1"/>
  <c r="T106" s="1"/>
  <c r="H82"/>
  <c r="J82" s="1"/>
  <c r="L82" s="1"/>
  <c r="N82" s="1"/>
  <c r="P82" s="1"/>
  <c r="R82" s="1"/>
  <c r="T82" s="1"/>
  <c r="G1321"/>
  <c r="G1320" s="1"/>
  <c r="G1319" s="1"/>
  <c r="G1318" s="1"/>
  <c r="G1455"/>
  <c r="G1454" s="1"/>
  <c r="G1448" s="1"/>
  <c r="G1447" s="1"/>
  <c r="G1446" s="1"/>
  <c r="H899"/>
  <c r="J899" s="1"/>
  <c r="L899" s="1"/>
  <c r="N899" s="1"/>
  <c r="P899" s="1"/>
  <c r="R899" s="1"/>
  <c r="T899" s="1"/>
  <c r="G93"/>
  <c r="G92" s="1"/>
  <c r="G91" s="1"/>
  <c r="G90" s="1"/>
  <c r="G654"/>
  <c r="G650" s="1"/>
  <c r="G649" s="1"/>
  <c r="G1000"/>
  <c r="G1734"/>
  <c r="G1733" s="1"/>
  <c r="G1732" s="1"/>
  <c r="F1361"/>
  <c r="F1360" s="1"/>
  <c r="F1351" s="1"/>
  <c r="F1350" s="1"/>
  <c r="F1349" s="1"/>
  <c r="F738"/>
  <c r="F737" s="1"/>
  <c r="F736" s="1"/>
  <c r="F735" s="1"/>
  <c r="F734" s="1"/>
  <c r="F727" s="1"/>
  <c r="H103"/>
  <c r="J103" s="1"/>
  <c r="L103" s="1"/>
  <c r="N103" s="1"/>
  <c r="P103" s="1"/>
  <c r="R103" s="1"/>
  <c r="T103" s="1"/>
  <c r="G546"/>
  <c r="G539" s="1"/>
  <c r="G716"/>
  <c r="G201"/>
  <c r="G197" s="1"/>
  <c r="G196" s="1"/>
  <c r="G195" s="1"/>
  <c r="G1532"/>
  <c r="G1582"/>
  <c r="G1581" s="1"/>
  <c r="I1234" i="5"/>
  <c r="K1234" s="1"/>
  <c r="M1234" s="1"/>
  <c r="O1234" s="1"/>
  <c r="Q1234" s="1"/>
  <c r="S1234" s="1"/>
  <c r="U1234" s="1"/>
  <c r="I1235"/>
  <c r="K1235" s="1"/>
  <c r="M1235" s="1"/>
  <c r="O1235" s="1"/>
  <c r="Q1235" s="1"/>
  <c r="S1235" s="1"/>
  <c r="U1235" s="1"/>
  <c r="G1712" i="6"/>
  <c r="G1711" s="1"/>
  <c r="G1710" s="1"/>
  <c r="H750"/>
  <c r="J750" s="1"/>
  <c r="L750" s="1"/>
  <c r="N750" s="1"/>
  <c r="P750" s="1"/>
  <c r="R750" s="1"/>
  <c r="T750" s="1"/>
  <c r="F853"/>
  <c r="F852" s="1"/>
  <c r="F848" s="1"/>
  <c r="F847" s="1"/>
  <c r="F846" s="1"/>
  <c r="H522"/>
  <c r="J522" s="1"/>
  <c r="L522" s="1"/>
  <c r="N522" s="1"/>
  <c r="P522" s="1"/>
  <c r="R522" s="1"/>
  <c r="T522" s="1"/>
  <c r="G190"/>
  <c r="G189" s="1"/>
  <c r="G188" s="1"/>
  <c r="G187" s="1"/>
  <c r="G223"/>
  <c r="G222" s="1"/>
  <c r="G221" s="1"/>
  <c r="G220" s="1"/>
  <c r="G398"/>
  <c r="G397" s="1"/>
  <c r="G396" s="1"/>
  <c r="G395" s="1"/>
  <c r="H592"/>
  <c r="J592" s="1"/>
  <c r="L592" s="1"/>
  <c r="N592" s="1"/>
  <c r="P592" s="1"/>
  <c r="R592" s="1"/>
  <c r="T592" s="1"/>
  <c r="G925"/>
  <c r="G924" s="1"/>
  <c r="G923" s="1"/>
  <c r="G1078"/>
  <c r="G1077" s="1"/>
  <c r="G1236"/>
  <c r="G1235" s="1"/>
  <c r="G1229" s="1"/>
  <c r="G1228" s="1"/>
  <c r="G1227" s="1"/>
  <c r="H1492"/>
  <c r="J1492" s="1"/>
  <c r="L1492" s="1"/>
  <c r="N1492" s="1"/>
  <c r="P1492" s="1"/>
  <c r="R1492" s="1"/>
  <c r="T1492" s="1"/>
  <c r="G1589"/>
  <c r="G1588" s="1"/>
  <c r="G1599"/>
  <c r="G1598" s="1"/>
  <c r="H655"/>
  <c r="J655" s="1"/>
  <c r="L655" s="1"/>
  <c r="N655" s="1"/>
  <c r="P655" s="1"/>
  <c r="R655" s="1"/>
  <c r="T655" s="1"/>
  <c r="F1329"/>
  <c r="F1328" s="1"/>
  <c r="F1327" s="1"/>
  <c r="H511"/>
  <c r="J511" s="1"/>
  <c r="L511" s="1"/>
  <c r="N511" s="1"/>
  <c r="P511" s="1"/>
  <c r="R511" s="1"/>
  <c r="T511" s="1"/>
  <c r="H636"/>
  <c r="J636" s="1"/>
  <c r="L636" s="1"/>
  <c r="N636" s="1"/>
  <c r="P636" s="1"/>
  <c r="R636" s="1"/>
  <c r="T636" s="1"/>
  <c r="G1213"/>
  <c r="G1197" s="1"/>
  <c r="G1775"/>
  <c r="G1774" s="1"/>
  <c r="G1773" s="1"/>
  <c r="H80"/>
  <c r="J80" s="1"/>
  <c r="L80" s="1"/>
  <c r="N80" s="1"/>
  <c r="P80" s="1"/>
  <c r="R80" s="1"/>
  <c r="T80" s="1"/>
  <c r="H193"/>
  <c r="J193" s="1"/>
  <c r="L193" s="1"/>
  <c r="N193" s="1"/>
  <c r="P193" s="1"/>
  <c r="R193" s="1"/>
  <c r="T193" s="1"/>
  <c r="F993"/>
  <c r="H993" s="1"/>
  <c r="J993" s="1"/>
  <c r="L993" s="1"/>
  <c r="N993" s="1"/>
  <c r="P993" s="1"/>
  <c r="R993" s="1"/>
  <c r="T993" s="1"/>
  <c r="G470"/>
  <c r="G469" s="1"/>
  <c r="G468" s="1"/>
  <c r="G467" s="1"/>
  <c r="G510"/>
  <c r="G509" s="1"/>
  <c r="G508" s="1"/>
  <c r="G853"/>
  <c r="G852" s="1"/>
  <c r="G848" s="1"/>
  <c r="G847" s="1"/>
  <c r="G846" s="1"/>
  <c r="G1606"/>
  <c r="G1605" s="1"/>
  <c r="F87"/>
  <c r="H88"/>
  <c r="J88" s="1"/>
  <c r="L88" s="1"/>
  <c r="N88" s="1"/>
  <c r="P88" s="1"/>
  <c r="R88" s="1"/>
  <c r="T88" s="1"/>
  <c r="H479"/>
  <c r="J479" s="1"/>
  <c r="L479" s="1"/>
  <c r="N479" s="1"/>
  <c r="P479" s="1"/>
  <c r="R479" s="1"/>
  <c r="T479" s="1"/>
  <c r="G954"/>
  <c r="G947" s="1"/>
  <c r="G478"/>
  <c r="G477" s="1"/>
  <c r="G476" s="1"/>
  <c r="G475" s="1"/>
  <c r="F311"/>
  <c r="H312"/>
  <c r="J312" s="1"/>
  <c r="L312" s="1"/>
  <c r="N312" s="1"/>
  <c r="P312" s="1"/>
  <c r="R312" s="1"/>
  <c r="T312" s="1"/>
  <c r="F419"/>
  <c r="H420"/>
  <c r="J420" s="1"/>
  <c r="L420" s="1"/>
  <c r="N420" s="1"/>
  <c r="P420" s="1"/>
  <c r="R420" s="1"/>
  <c r="T420" s="1"/>
  <c r="G390"/>
  <c r="G389" s="1"/>
  <c r="G388" s="1"/>
  <c r="G387" s="1"/>
  <c r="G409"/>
  <c r="F1539"/>
  <c r="H1540"/>
  <c r="J1540" s="1"/>
  <c r="L1540" s="1"/>
  <c r="N1540" s="1"/>
  <c r="P1540" s="1"/>
  <c r="R1540" s="1"/>
  <c r="T1540" s="1"/>
  <c r="F1526"/>
  <c r="H1527"/>
  <c r="J1527" s="1"/>
  <c r="L1527" s="1"/>
  <c r="N1527" s="1"/>
  <c r="P1527" s="1"/>
  <c r="R1527" s="1"/>
  <c r="T1527" s="1"/>
  <c r="F1033"/>
  <c r="H1034"/>
  <c r="J1034" s="1"/>
  <c r="L1034" s="1"/>
  <c r="N1034" s="1"/>
  <c r="P1034" s="1"/>
  <c r="R1034" s="1"/>
  <c r="T1034" s="1"/>
  <c r="F1536"/>
  <c r="H1537"/>
  <c r="J1537" s="1"/>
  <c r="L1537" s="1"/>
  <c r="N1537" s="1"/>
  <c r="P1537" s="1"/>
  <c r="R1537" s="1"/>
  <c r="T1537" s="1"/>
  <c r="F1394"/>
  <c r="H1395"/>
  <c r="J1395" s="1"/>
  <c r="L1395" s="1"/>
  <c r="N1395" s="1"/>
  <c r="P1395" s="1"/>
  <c r="R1395" s="1"/>
  <c r="T1395" s="1"/>
  <c r="F1620"/>
  <c r="H1621"/>
  <c r="J1621" s="1"/>
  <c r="L1621" s="1"/>
  <c r="N1621" s="1"/>
  <c r="P1621" s="1"/>
  <c r="R1621" s="1"/>
  <c r="T1621" s="1"/>
  <c r="F986"/>
  <c r="H987"/>
  <c r="J987" s="1"/>
  <c r="L987" s="1"/>
  <c r="N987" s="1"/>
  <c r="P987" s="1"/>
  <c r="R987" s="1"/>
  <c r="T987" s="1"/>
  <c r="F1021"/>
  <c r="H1021" s="1"/>
  <c r="J1021" s="1"/>
  <c r="L1021" s="1"/>
  <c r="N1021" s="1"/>
  <c r="P1021" s="1"/>
  <c r="R1021" s="1"/>
  <c r="T1021" s="1"/>
  <c r="H1022"/>
  <c r="J1022" s="1"/>
  <c r="L1022" s="1"/>
  <c r="N1022" s="1"/>
  <c r="P1022" s="1"/>
  <c r="R1022" s="1"/>
  <c r="T1022" s="1"/>
  <c r="F1005"/>
  <c r="H1006"/>
  <c r="J1006" s="1"/>
  <c r="L1006" s="1"/>
  <c r="N1006" s="1"/>
  <c r="P1006" s="1"/>
  <c r="R1006" s="1"/>
  <c r="T1006" s="1"/>
  <c r="F163"/>
  <c r="H164"/>
  <c r="J164" s="1"/>
  <c r="L164" s="1"/>
  <c r="N164" s="1"/>
  <c r="P164" s="1"/>
  <c r="R164" s="1"/>
  <c r="T164" s="1"/>
  <c r="F1548"/>
  <c r="H1549"/>
  <c r="J1549" s="1"/>
  <c r="L1549" s="1"/>
  <c r="N1549" s="1"/>
  <c r="P1549" s="1"/>
  <c r="R1549" s="1"/>
  <c r="T1549" s="1"/>
  <c r="F443"/>
  <c r="H444"/>
  <c r="J444" s="1"/>
  <c r="L444" s="1"/>
  <c r="N444" s="1"/>
  <c r="P444" s="1"/>
  <c r="R444" s="1"/>
  <c r="T444" s="1"/>
  <c r="F287"/>
  <c r="H288"/>
  <c r="J288" s="1"/>
  <c r="L288" s="1"/>
  <c r="N288" s="1"/>
  <c r="P288" s="1"/>
  <c r="R288" s="1"/>
  <c r="T288" s="1"/>
  <c r="F335"/>
  <c r="H336"/>
  <c r="J336" s="1"/>
  <c r="L336" s="1"/>
  <c r="N336" s="1"/>
  <c r="P336" s="1"/>
  <c r="R336" s="1"/>
  <c r="T336" s="1"/>
  <c r="F263"/>
  <c r="H264"/>
  <c r="J264" s="1"/>
  <c r="L264" s="1"/>
  <c r="N264" s="1"/>
  <c r="P264" s="1"/>
  <c r="R264" s="1"/>
  <c r="T264" s="1"/>
  <c r="F353"/>
  <c r="H354"/>
  <c r="J354" s="1"/>
  <c r="L354" s="1"/>
  <c r="N354" s="1"/>
  <c r="P354" s="1"/>
  <c r="R354" s="1"/>
  <c r="T354" s="1"/>
  <c r="F413"/>
  <c r="H414"/>
  <c r="J414" s="1"/>
  <c r="L414" s="1"/>
  <c r="N414" s="1"/>
  <c r="P414" s="1"/>
  <c r="R414" s="1"/>
  <c r="T414" s="1"/>
  <c r="F553"/>
  <c r="H554"/>
  <c r="J554" s="1"/>
  <c r="L554" s="1"/>
  <c r="N554" s="1"/>
  <c r="P554" s="1"/>
  <c r="R554" s="1"/>
  <c r="T554" s="1"/>
  <c r="F1298"/>
  <c r="H1298" s="1"/>
  <c r="J1298" s="1"/>
  <c r="L1298" s="1"/>
  <c r="N1298" s="1"/>
  <c r="P1298" s="1"/>
  <c r="R1298" s="1"/>
  <c r="T1298" s="1"/>
  <c r="H1299"/>
  <c r="J1299" s="1"/>
  <c r="L1299" s="1"/>
  <c r="N1299" s="1"/>
  <c r="P1299" s="1"/>
  <c r="R1299" s="1"/>
  <c r="T1299" s="1"/>
  <c r="F1593"/>
  <c r="H1594"/>
  <c r="J1594" s="1"/>
  <c r="L1594" s="1"/>
  <c r="N1594" s="1"/>
  <c r="P1594" s="1"/>
  <c r="R1594" s="1"/>
  <c r="T1594" s="1"/>
  <c r="F1289"/>
  <c r="H1289" s="1"/>
  <c r="J1289" s="1"/>
  <c r="L1289" s="1"/>
  <c r="N1289" s="1"/>
  <c r="P1289" s="1"/>
  <c r="R1289" s="1"/>
  <c r="T1289" s="1"/>
  <c r="H1290"/>
  <c r="J1290" s="1"/>
  <c r="L1290" s="1"/>
  <c r="N1290" s="1"/>
  <c r="P1290" s="1"/>
  <c r="R1290" s="1"/>
  <c r="T1290" s="1"/>
  <c r="F473"/>
  <c r="H473" s="1"/>
  <c r="J473" s="1"/>
  <c r="L473" s="1"/>
  <c r="N473" s="1"/>
  <c r="P473" s="1"/>
  <c r="R473" s="1"/>
  <c r="T473" s="1"/>
  <c r="H474"/>
  <c r="J474" s="1"/>
  <c r="L474" s="1"/>
  <c r="N474" s="1"/>
  <c r="P474" s="1"/>
  <c r="R474" s="1"/>
  <c r="T474" s="1"/>
  <c r="F1607"/>
  <c r="H1607" s="1"/>
  <c r="J1607" s="1"/>
  <c r="L1607" s="1"/>
  <c r="N1607" s="1"/>
  <c r="P1607" s="1"/>
  <c r="R1607" s="1"/>
  <c r="T1607" s="1"/>
  <c r="H1608"/>
  <c r="J1608" s="1"/>
  <c r="L1608" s="1"/>
  <c r="N1608" s="1"/>
  <c r="P1608" s="1"/>
  <c r="R1608" s="1"/>
  <c r="T1608" s="1"/>
  <c r="F1576"/>
  <c r="H1577"/>
  <c r="J1577" s="1"/>
  <c r="L1577" s="1"/>
  <c r="N1577" s="1"/>
  <c r="P1577" s="1"/>
  <c r="R1577" s="1"/>
  <c r="T1577" s="1"/>
  <c r="F785"/>
  <c r="H786"/>
  <c r="J786" s="1"/>
  <c r="L786" s="1"/>
  <c r="N786" s="1"/>
  <c r="P786" s="1"/>
  <c r="R786" s="1"/>
  <c r="T786" s="1"/>
  <c r="F1600"/>
  <c r="H1601"/>
  <c r="J1601" s="1"/>
  <c r="L1601" s="1"/>
  <c r="N1601" s="1"/>
  <c r="P1601" s="1"/>
  <c r="R1601" s="1"/>
  <c r="T1601" s="1"/>
  <c r="F1558"/>
  <c r="H1560"/>
  <c r="J1560" s="1"/>
  <c r="L1560" s="1"/>
  <c r="N1560" s="1"/>
  <c r="P1560" s="1"/>
  <c r="R1560" s="1"/>
  <c r="T1560" s="1"/>
  <c r="F1141"/>
  <c r="H1142"/>
  <c r="J1142" s="1"/>
  <c r="L1142" s="1"/>
  <c r="N1142" s="1"/>
  <c r="P1142" s="1"/>
  <c r="R1142" s="1"/>
  <c r="T1142" s="1"/>
  <c r="F1566"/>
  <c r="H1567"/>
  <c r="J1567" s="1"/>
  <c r="L1567" s="1"/>
  <c r="N1567" s="1"/>
  <c r="P1567" s="1"/>
  <c r="R1567" s="1"/>
  <c r="T1567" s="1"/>
  <c r="F768"/>
  <c r="H769"/>
  <c r="J769" s="1"/>
  <c r="L769" s="1"/>
  <c r="N769" s="1"/>
  <c r="P769" s="1"/>
  <c r="R769" s="1"/>
  <c r="T769" s="1"/>
  <c r="F708"/>
  <c r="H709"/>
  <c r="J709" s="1"/>
  <c r="L709" s="1"/>
  <c r="N709" s="1"/>
  <c r="P709" s="1"/>
  <c r="R709" s="1"/>
  <c r="T709" s="1"/>
  <c r="F1756"/>
  <c r="H1757"/>
  <c r="J1757" s="1"/>
  <c r="L1757" s="1"/>
  <c r="N1757" s="1"/>
  <c r="P1757" s="1"/>
  <c r="R1757" s="1"/>
  <c r="T1757" s="1"/>
  <c r="F1716"/>
  <c r="H1717"/>
  <c r="J1717" s="1"/>
  <c r="L1717" s="1"/>
  <c r="N1717" s="1"/>
  <c r="P1717" s="1"/>
  <c r="R1717" s="1"/>
  <c r="T1717" s="1"/>
  <c r="F1738"/>
  <c r="H1739"/>
  <c r="J1739" s="1"/>
  <c r="L1739" s="1"/>
  <c r="N1739" s="1"/>
  <c r="P1739" s="1"/>
  <c r="R1739" s="1"/>
  <c r="T1739" s="1"/>
  <c r="F1768"/>
  <c r="H1768" s="1"/>
  <c r="J1768" s="1"/>
  <c r="L1768" s="1"/>
  <c r="N1768" s="1"/>
  <c r="P1768" s="1"/>
  <c r="R1768" s="1"/>
  <c r="T1768" s="1"/>
  <c r="H1769"/>
  <c r="J1769" s="1"/>
  <c r="L1769" s="1"/>
  <c r="N1769" s="1"/>
  <c r="P1769" s="1"/>
  <c r="R1769" s="1"/>
  <c r="T1769" s="1"/>
  <c r="F931"/>
  <c r="H931" s="1"/>
  <c r="J931" s="1"/>
  <c r="L931" s="1"/>
  <c r="N931" s="1"/>
  <c r="P931" s="1"/>
  <c r="R931" s="1"/>
  <c r="T931" s="1"/>
  <c r="H932"/>
  <c r="J932" s="1"/>
  <c r="L932" s="1"/>
  <c r="N932" s="1"/>
  <c r="P932" s="1"/>
  <c r="R932" s="1"/>
  <c r="T932" s="1"/>
  <c r="F1776"/>
  <c r="H1776" s="1"/>
  <c r="J1776" s="1"/>
  <c r="L1776" s="1"/>
  <c r="N1776" s="1"/>
  <c r="P1776" s="1"/>
  <c r="R1776" s="1"/>
  <c r="T1776" s="1"/>
  <c r="H1777"/>
  <c r="J1777" s="1"/>
  <c r="L1777" s="1"/>
  <c r="N1777" s="1"/>
  <c r="P1777" s="1"/>
  <c r="R1777" s="1"/>
  <c r="T1777" s="1"/>
  <c r="F971"/>
  <c r="H972"/>
  <c r="J972" s="1"/>
  <c r="L972" s="1"/>
  <c r="N972" s="1"/>
  <c r="P972" s="1"/>
  <c r="R972" s="1"/>
  <c r="T972" s="1"/>
  <c r="F882"/>
  <c r="H883"/>
  <c r="J883" s="1"/>
  <c r="L883" s="1"/>
  <c r="N883" s="1"/>
  <c r="P883" s="1"/>
  <c r="R883" s="1"/>
  <c r="T883" s="1"/>
  <c r="F1050"/>
  <c r="H1051"/>
  <c r="J1051" s="1"/>
  <c r="L1051" s="1"/>
  <c r="N1051" s="1"/>
  <c r="P1051" s="1"/>
  <c r="R1051" s="1"/>
  <c r="T1051" s="1"/>
  <c r="F1407"/>
  <c r="F1406" s="1"/>
  <c r="F1405" s="1"/>
  <c r="F1404" s="1"/>
  <c r="H204"/>
  <c r="J204" s="1"/>
  <c r="L204" s="1"/>
  <c r="N204" s="1"/>
  <c r="P204" s="1"/>
  <c r="R204" s="1"/>
  <c r="T204" s="1"/>
  <c r="F1503"/>
  <c r="F172"/>
  <c r="F1645"/>
  <c r="F1220"/>
  <c r="G64"/>
  <c r="G63" s="1"/>
  <c r="G62" s="1"/>
  <c r="G61" s="1"/>
  <c r="G301"/>
  <c r="H571"/>
  <c r="J571" s="1"/>
  <c r="L571" s="1"/>
  <c r="N571" s="1"/>
  <c r="P571" s="1"/>
  <c r="R571" s="1"/>
  <c r="T571" s="1"/>
  <c r="H648"/>
  <c r="J648" s="1"/>
  <c r="L648" s="1"/>
  <c r="N648" s="1"/>
  <c r="P648" s="1"/>
  <c r="R648" s="1"/>
  <c r="T648" s="1"/>
  <c r="G1029"/>
  <c r="G1028" s="1"/>
  <c r="G1035"/>
  <c r="G1270"/>
  <c r="G1266" s="1"/>
  <c r="G1265" s="1"/>
  <c r="H1353"/>
  <c r="J1353" s="1"/>
  <c r="L1353" s="1"/>
  <c r="N1353" s="1"/>
  <c r="P1353" s="1"/>
  <c r="R1353" s="1"/>
  <c r="T1353" s="1"/>
  <c r="H1402"/>
  <c r="J1402" s="1"/>
  <c r="L1402" s="1"/>
  <c r="N1402" s="1"/>
  <c r="P1402" s="1"/>
  <c r="R1402" s="1"/>
  <c r="T1402" s="1"/>
  <c r="H1425"/>
  <c r="J1425" s="1"/>
  <c r="L1425" s="1"/>
  <c r="N1425" s="1"/>
  <c r="P1425" s="1"/>
  <c r="R1425" s="1"/>
  <c r="T1425" s="1"/>
  <c r="H20"/>
  <c r="J20" s="1"/>
  <c r="L20" s="1"/>
  <c r="N20" s="1"/>
  <c r="P20" s="1"/>
  <c r="R20" s="1"/>
  <c r="T20" s="1"/>
  <c r="H24"/>
  <c r="J24" s="1"/>
  <c r="L24" s="1"/>
  <c r="N24" s="1"/>
  <c r="P24" s="1"/>
  <c r="R24" s="1"/>
  <c r="T24" s="1"/>
  <c r="H32"/>
  <c r="J32" s="1"/>
  <c r="L32" s="1"/>
  <c r="N32" s="1"/>
  <c r="P32" s="1"/>
  <c r="R32" s="1"/>
  <c r="T32" s="1"/>
  <c r="H39"/>
  <c r="J39" s="1"/>
  <c r="L39" s="1"/>
  <c r="N39" s="1"/>
  <c r="P39" s="1"/>
  <c r="R39" s="1"/>
  <c r="T39" s="1"/>
  <c r="H43"/>
  <c r="J43" s="1"/>
  <c r="L43" s="1"/>
  <c r="N43" s="1"/>
  <c r="P43" s="1"/>
  <c r="R43" s="1"/>
  <c r="T43" s="1"/>
  <c r="H47"/>
  <c r="J47" s="1"/>
  <c r="L47" s="1"/>
  <c r="N47" s="1"/>
  <c r="P47" s="1"/>
  <c r="R47" s="1"/>
  <c r="T47" s="1"/>
  <c r="H81"/>
  <c r="J81" s="1"/>
  <c r="L81" s="1"/>
  <c r="N81" s="1"/>
  <c r="P81" s="1"/>
  <c r="R81" s="1"/>
  <c r="T81" s="1"/>
  <c r="H89"/>
  <c r="J89" s="1"/>
  <c r="L89" s="1"/>
  <c r="N89" s="1"/>
  <c r="P89" s="1"/>
  <c r="R89" s="1"/>
  <c r="T89" s="1"/>
  <c r="H121"/>
  <c r="J121" s="1"/>
  <c r="L121" s="1"/>
  <c r="N121" s="1"/>
  <c r="P121" s="1"/>
  <c r="R121" s="1"/>
  <c r="T121" s="1"/>
  <c r="H141"/>
  <c r="J141" s="1"/>
  <c r="L141" s="1"/>
  <c r="N141" s="1"/>
  <c r="P141" s="1"/>
  <c r="R141" s="1"/>
  <c r="T141" s="1"/>
  <c r="H167"/>
  <c r="J167" s="1"/>
  <c r="L167" s="1"/>
  <c r="N167" s="1"/>
  <c r="P167" s="1"/>
  <c r="R167" s="1"/>
  <c r="T167" s="1"/>
  <c r="H178"/>
  <c r="J178" s="1"/>
  <c r="L178" s="1"/>
  <c r="N178" s="1"/>
  <c r="P178" s="1"/>
  <c r="R178" s="1"/>
  <c r="T178" s="1"/>
  <c r="H194"/>
  <c r="J194" s="1"/>
  <c r="L194" s="1"/>
  <c r="N194" s="1"/>
  <c r="P194" s="1"/>
  <c r="R194" s="1"/>
  <c r="T194" s="1"/>
  <c r="H205"/>
  <c r="J205" s="1"/>
  <c r="L205" s="1"/>
  <c r="N205" s="1"/>
  <c r="P205" s="1"/>
  <c r="R205" s="1"/>
  <c r="T205" s="1"/>
  <c r="H215"/>
  <c r="J215" s="1"/>
  <c r="L215" s="1"/>
  <c r="N215" s="1"/>
  <c r="P215" s="1"/>
  <c r="R215" s="1"/>
  <c r="T215" s="1"/>
  <c r="H243"/>
  <c r="J243" s="1"/>
  <c r="L243" s="1"/>
  <c r="N243" s="1"/>
  <c r="P243" s="1"/>
  <c r="R243" s="1"/>
  <c r="T243" s="1"/>
  <c r="H270"/>
  <c r="J270" s="1"/>
  <c r="L270" s="1"/>
  <c r="N270" s="1"/>
  <c r="P270" s="1"/>
  <c r="R270" s="1"/>
  <c r="T270" s="1"/>
  <c r="H281"/>
  <c r="J281" s="1"/>
  <c r="L281" s="1"/>
  <c r="N281" s="1"/>
  <c r="P281" s="1"/>
  <c r="R281" s="1"/>
  <c r="T281" s="1"/>
  <c r="H319"/>
  <c r="J319" s="1"/>
  <c r="L319" s="1"/>
  <c r="N319" s="1"/>
  <c r="P319" s="1"/>
  <c r="R319" s="1"/>
  <c r="T319" s="1"/>
  <c r="H325"/>
  <c r="J325" s="1"/>
  <c r="L325" s="1"/>
  <c r="N325" s="1"/>
  <c r="P325" s="1"/>
  <c r="R325" s="1"/>
  <c r="T325" s="1"/>
  <c r="H330"/>
  <c r="J330" s="1"/>
  <c r="L330" s="1"/>
  <c r="N330" s="1"/>
  <c r="P330" s="1"/>
  <c r="R330" s="1"/>
  <c r="T330" s="1"/>
  <c r="H373"/>
  <c r="J373" s="1"/>
  <c r="L373" s="1"/>
  <c r="N373" s="1"/>
  <c r="P373" s="1"/>
  <c r="R373" s="1"/>
  <c r="T373" s="1"/>
  <c r="H385"/>
  <c r="J385" s="1"/>
  <c r="L385" s="1"/>
  <c r="N385" s="1"/>
  <c r="P385" s="1"/>
  <c r="R385" s="1"/>
  <c r="T385" s="1"/>
  <c r="H445"/>
  <c r="J445" s="1"/>
  <c r="L445" s="1"/>
  <c r="N445" s="1"/>
  <c r="P445" s="1"/>
  <c r="R445" s="1"/>
  <c r="T445" s="1"/>
  <c r="H472"/>
  <c r="J472" s="1"/>
  <c r="L472" s="1"/>
  <c r="N472" s="1"/>
  <c r="P472" s="1"/>
  <c r="R472" s="1"/>
  <c r="T472" s="1"/>
  <c r="H488"/>
  <c r="J488" s="1"/>
  <c r="L488" s="1"/>
  <c r="N488" s="1"/>
  <c r="P488" s="1"/>
  <c r="R488" s="1"/>
  <c r="T488" s="1"/>
  <c r="H499"/>
  <c r="J499" s="1"/>
  <c r="L499" s="1"/>
  <c r="N499" s="1"/>
  <c r="P499" s="1"/>
  <c r="R499" s="1"/>
  <c r="T499" s="1"/>
  <c r="H515"/>
  <c r="J515" s="1"/>
  <c r="L515" s="1"/>
  <c r="N515" s="1"/>
  <c r="P515" s="1"/>
  <c r="R515" s="1"/>
  <c r="T515" s="1"/>
  <c r="H677"/>
  <c r="J677" s="1"/>
  <c r="L677" s="1"/>
  <c r="N677" s="1"/>
  <c r="P677" s="1"/>
  <c r="R677" s="1"/>
  <c r="T677" s="1"/>
  <c r="H682"/>
  <c r="J682" s="1"/>
  <c r="L682" s="1"/>
  <c r="N682" s="1"/>
  <c r="P682" s="1"/>
  <c r="R682" s="1"/>
  <c r="T682" s="1"/>
  <c r="H693"/>
  <c r="J693" s="1"/>
  <c r="L693" s="1"/>
  <c r="N693" s="1"/>
  <c r="P693" s="1"/>
  <c r="R693" s="1"/>
  <c r="T693" s="1"/>
  <c r="H698"/>
  <c r="J698" s="1"/>
  <c r="L698" s="1"/>
  <c r="N698" s="1"/>
  <c r="P698" s="1"/>
  <c r="R698" s="1"/>
  <c r="T698" s="1"/>
  <c r="H719"/>
  <c r="J719" s="1"/>
  <c r="L719" s="1"/>
  <c r="N719" s="1"/>
  <c r="P719" s="1"/>
  <c r="R719" s="1"/>
  <c r="T719" s="1"/>
  <c r="H746"/>
  <c r="J746" s="1"/>
  <c r="L746" s="1"/>
  <c r="N746" s="1"/>
  <c r="P746" s="1"/>
  <c r="R746" s="1"/>
  <c r="T746" s="1"/>
  <c r="H770"/>
  <c r="J770" s="1"/>
  <c r="L770" s="1"/>
  <c r="N770" s="1"/>
  <c r="P770" s="1"/>
  <c r="R770" s="1"/>
  <c r="T770" s="1"/>
  <c r="H806"/>
  <c r="J806" s="1"/>
  <c r="L806" s="1"/>
  <c r="N806" s="1"/>
  <c r="P806" s="1"/>
  <c r="R806" s="1"/>
  <c r="T806" s="1"/>
  <c r="H861"/>
  <c r="J861" s="1"/>
  <c r="L861" s="1"/>
  <c r="N861" s="1"/>
  <c r="P861" s="1"/>
  <c r="R861" s="1"/>
  <c r="T861" s="1"/>
  <c r="H867"/>
  <c r="J867" s="1"/>
  <c r="L867" s="1"/>
  <c r="N867" s="1"/>
  <c r="P867" s="1"/>
  <c r="R867" s="1"/>
  <c r="T867" s="1"/>
  <c r="H885"/>
  <c r="J885" s="1"/>
  <c r="L885" s="1"/>
  <c r="N885" s="1"/>
  <c r="P885" s="1"/>
  <c r="R885" s="1"/>
  <c r="T885" s="1"/>
  <c r="H905"/>
  <c r="J905" s="1"/>
  <c r="L905" s="1"/>
  <c r="N905" s="1"/>
  <c r="P905" s="1"/>
  <c r="R905" s="1"/>
  <c r="T905" s="1"/>
  <c r="H943"/>
  <c r="J943" s="1"/>
  <c r="L943" s="1"/>
  <c r="N943" s="1"/>
  <c r="P943" s="1"/>
  <c r="R943" s="1"/>
  <c r="T943" s="1"/>
  <c r="F1518"/>
  <c r="H1519"/>
  <c r="J1519" s="1"/>
  <c r="L1519" s="1"/>
  <c r="N1519" s="1"/>
  <c r="P1519" s="1"/>
  <c r="R1519" s="1"/>
  <c r="T1519" s="1"/>
  <c r="F703"/>
  <c r="F702" s="1"/>
  <c r="F701" s="1"/>
  <c r="H704"/>
  <c r="J704" s="1"/>
  <c r="L704" s="1"/>
  <c r="N704" s="1"/>
  <c r="P704" s="1"/>
  <c r="R704" s="1"/>
  <c r="T704" s="1"/>
  <c r="F725"/>
  <c r="H726"/>
  <c r="J726" s="1"/>
  <c r="L726" s="1"/>
  <c r="N726" s="1"/>
  <c r="P726" s="1"/>
  <c r="R726" s="1"/>
  <c r="T726" s="1"/>
  <c r="F675"/>
  <c r="H676"/>
  <c r="J676" s="1"/>
  <c r="L676" s="1"/>
  <c r="N676" s="1"/>
  <c r="P676" s="1"/>
  <c r="R676" s="1"/>
  <c r="T676" s="1"/>
  <c r="F1452"/>
  <c r="H1453"/>
  <c r="J1453" s="1"/>
  <c r="L1453" s="1"/>
  <c r="N1453" s="1"/>
  <c r="P1453" s="1"/>
  <c r="R1453" s="1"/>
  <c r="T1453" s="1"/>
  <c r="F1462"/>
  <c r="H1463"/>
  <c r="J1463" s="1"/>
  <c r="L1463" s="1"/>
  <c r="N1463" s="1"/>
  <c r="P1463" s="1"/>
  <c r="R1463" s="1"/>
  <c r="T1463" s="1"/>
  <c r="F1615"/>
  <c r="H1616"/>
  <c r="J1616" s="1"/>
  <c r="L1616" s="1"/>
  <c r="N1616" s="1"/>
  <c r="P1616" s="1"/>
  <c r="R1616" s="1"/>
  <c r="T1616" s="1"/>
  <c r="F1044"/>
  <c r="H1045"/>
  <c r="J1045" s="1"/>
  <c r="L1045" s="1"/>
  <c r="N1045" s="1"/>
  <c r="P1045" s="1"/>
  <c r="R1045" s="1"/>
  <c r="T1045" s="1"/>
  <c r="F1019"/>
  <c r="H1020"/>
  <c r="J1020" s="1"/>
  <c r="L1020" s="1"/>
  <c r="N1020" s="1"/>
  <c r="P1020" s="1"/>
  <c r="R1020" s="1"/>
  <c r="T1020" s="1"/>
  <c r="F857"/>
  <c r="H858"/>
  <c r="J858" s="1"/>
  <c r="L858" s="1"/>
  <c r="N858" s="1"/>
  <c r="P858" s="1"/>
  <c r="R858" s="1"/>
  <c r="T858" s="1"/>
  <c r="F155"/>
  <c r="H156"/>
  <c r="J156" s="1"/>
  <c r="L156" s="1"/>
  <c r="N156" s="1"/>
  <c r="P156" s="1"/>
  <c r="R156" s="1"/>
  <c r="T156" s="1"/>
  <c r="F183"/>
  <c r="H184"/>
  <c r="J184" s="1"/>
  <c r="L184" s="1"/>
  <c r="N184" s="1"/>
  <c r="P184" s="1"/>
  <c r="R184" s="1"/>
  <c r="T184" s="1"/>
  <c r="F139"/>
  <c r="H140"/>
  <c r="J140" s="1"/>
  <c r="L140" s="1"/>
  <c r="N140" s="1"/>
  <c r="P140" s="1"/>
  <c r="R140" s="1"/>
  <c r="T140" s="1"/>
  <c r="F1268"/>
  <c r="H1269"/>
  <c r="J1269" s="1"/>
  <c r="L1269" s="1"/>
  <c r="N1269" s="1"/>
  <c r="P1269" s="1"/>
  <c r="R1269" s="1"/>
  <c r="T1269" s="1"/>
  <c r="F1586"/>
  <c r="H1587"/>
  <c r="J1587" s="1"/>
  <c r="L1587" s="1"/>
  <c r="N1587" s="1"/>
  <c r="P1587" s="1"/>
  <c r="R1587" s="1"/>
  <c r="T1587" s="1"/>
  <c r="F1542"/>
  <c r="H1542" s="1"/>
  <c r="J1542" s="1"/>
  <c r="L1542" s="1"/>
  <c r="N1542" s="1"/>
  <c r="P1542" s="1"/>
  <c r="R1542" s="1"/>
  <c r="T1542" s="1"/>
  <c r="H1543"/>
  <c r="J1543" s="1"/>
  <c r="L1543" s="1"/>
  <c r="N1543" s="1"/>
  <c r="P1543" s="1"/>
  <c r="R1543" s="1"/>
  <c r="T1543" s="1"/>
  <c r="F279"/>
  <c r="H280"/>
  <c r="J280" s="1"/>
  <c r="L280" s="1"/>
  <c r="N280" s="1"/>
  <c r="P280" s="1"/>
  <c r="R280" s="1"/>
  <c r="T280" s="1"/>
  <c r="F327"/>
  <c r="H328"/>
  <c r="J328" s="1"/>
  <c r="L328" s="1"/>
  <c r="N328" s="1"/>
  <c r="P328" s="1"/>
  <c r="R328" s="1"/>
  <c r="T328" s="1"/>
  <c r="F399"/>
  <c r="H399" s="1"/>
  <c r="J399" s="1"/>
  <c r="L399" s="1"/>
  <c r="N399" s="1"/>
  <c r="P399" s="1"/>
  <c r="R399" s="1"/>
  <c r="T399" s="1"/>
  <c r="H400"/>
  <c r="J400" s="1"/>
  <c r="L400" s="1"/>
  <c r="N400" s="1"/>
  <c r="P400" s="1"/>
  <c r="R400" s="1"/>
  <c r="T400" s="1"/>
  <c r="F249"/>
  <c r="H250"/>
  <c r="J250" s="1"/>
  <c r="L250" s="1"/>
  <c r="N250" s="1"/>
  <c r="P250" s="1"/>
  <c r="R250" s="1"/>
  <c r="T250" s="1"/>
  <c r="F349"/>
  <c r="H350"/>
  <c r="J350" s="1"/>
  <c r="L350" s="1"/>
  <c r="N350" s="1"/>
  <c r="P350" s="1"/>
  <c r="R350" s="1"/>
  <c r="T350" s="1"/>
  <c r="F457"/>
  <c r="H458"/>
  <c r="J458" s="1"/>
  <c r="L458" s="1"/>
  <c r="N458" s="1"/>
  <c r="P458" s="1"/>
  <c r="R458" s="1"/>
  <c r="T458" s="1"/>
  <c r="F357"/>
  <c r="H357" s="1"/>
  <c r="J357" s="1"/>
  <c r="L357" s="1"/>
  <c r="N357" s="1"/>
  <c r="P357" s="1"/>
  <c r="R357" s="1"/>
  <c r="T357" s="1"/>
  <c r="H358"/>
  <c r="J358" s="1"/>
  <c r="L358" s="1"/>
  <c r="N358" s="1"/>
  <c r="P358" s="1"/>
  <c r="R358" s="1"/>
  <c r="T358" s="1"/>
  <c r="F1296"/>
  <c r="H1296" s="1"/>
  <c r="J1296" s="1"/>
  <c r="L1296" s="1"/>
  <c r="N1296" s="1"/>
  <c r="P1296" s="1"/>
  <c r="R1296" s="1"/>
  <c r="T1296" s="1"/>
  <c r="H1297"/>
  <c r="J1297" s="1"/>
  <c r="L1297" s="1"/>
  <c r="N1297" s="1"/>
  <c r="P1297" s="1"/>
  <c r="R1297" s="1"/>
  <c r="T1297" s="1"/>
  <c r="F1590"/>
  <c r="H1590" s="1"/>
  <c r="J1590" s="1"/>
  <c r="L1590" s="1"/>
  <c r="N1590" s="1"/>
  <c r="P1590" s="1"/>
  <c r="R1590" s="1"/>
  <c r="T1590" s="1"/>
  <c r="H1591"/>
  <c r="J1591" s="1"/>
  <c r="L1591" s="1"/>
  <c r="N1591" s="1"/>
  <c r="P1591" s="1"/>
  <c r="R1591" s="1"/>
  <c r="T1591" s="1"/>
  <c r="F481"/>
  <c r="H481" s="1"/>
  <c r="J481" s="1"/>
  <c r="L481" s="1"/>
  <c r="N481" s="1"/>
  <c r="P481" s="1"/>
  <c r="R481" s="1"/>
  <c r="T481" s="1"/>
  <c r="H482"/>
  <c r="J482" s="1"/>
  <c r="L482" s="1"/>
  <c r="N482" s="1"/>
  <c r="P482" s="1"/>
  <c r="R482" s="1"/>
  <c r="T482" s="1"/>
  <c r="F1273"/>
  <c r="H1273" s="1"/>
  <c r="J1273" s="1"/>
  <c r="L1273" s="1"/>
  <c r="N1273" s="1"/>
  <c r="P1273" s="1"/>
  <c r="R1273" s="1"/>
  <c r="T1273" s="1"/>
  <c r="H1274"/>
  <c r="J1274" s="1"/>
  <c r="L1274" s="1"/>
  <c r="N1274" s="1"/>
  <c r="P1274" s="1"/>
  <c r="R1274" s="1"/>
  <c r="T1274" s="1"/>
  <c r="F485"/>
  <c r="H486"/>
  <c r="J486" s="1"/>
  <c r="L486" s="1"/>
  <c r="N486" s="1"/>
  <c r="P486" s="1"/>
  <c r="R486" s="1"/>
  <c r="T486" s="1"/>
  <c r="F1573"/>
  <c r="H1573" s="1"/>
  <c r="J1573" s="1"/>
  <c r="L1573" s="1"/>
  <c r="N1573" s="1"/>
  <c r="P1573" s="1"/>
  <c r="R1573" s="1"/>
  <c r="T1573" s="1"/>
  <c r="H1574"/>
  <c r="J1574" s="1"/>
  <c r="L1574" s="1"/>
  <c r="N1574" s="1"/>
  <c r="P1574" s="1"/>
  <c r="R1574" s="1"/>
  <c r="T1574" s="1"/>
  <c r="F865"/>
  <c r="H866"/>
  <c r="J866" s="1"/>
  <c r="L866" s="1"/>
  <c r="N866" s="1"/>
  <c r="P866" s="1"/>
  <c r="R866" s="1"/>
  <c r="T866" s="1"/>
  <c r="F815"/>
  <c r="H819"/>
  <c r="J819" s="1"/>
  <c r="L819" s="1"/>
  <c r="N819" s="1"/>
  <c r="P819" s="1"/>
  <c r="R819" s="1"/>
  <c r="T819" s="1"/>
  <c r="F1099"/>
  <c r="H1100"/>
  <c r="J1100" s="1"/>
  <c r="L1100" s="1"/>
  <c r="N1100" s="1"/>
  <c r="P1100" s="1"/>
  <c r="R1100" s="1"/>
  <c r="T1100" s="1"/>
  <c r="F1233"/>
  <c r="H1234"/>
  <c r="J1234" s="1"/>
  <c r="L1234" s="1"/>
  <c r="N1234" s="1"/>
  <c r="P1234" s="1"/>
  <c r="R1234" s="1"/>
  <c r="T1234" s="1"/>
  <c r="F1555"/>
  <c r="H1556"/>
  <c r="J1556" s="1"/>
  <c r="L1556" s="1"/>
  <c r="N1556" s="1"/>
  <c r="P1556" s="1"/>
  <c r="R1556" s="1"/>
  <c r="T1556" s="1"/>
  <c r="F1125"/>
  <c r="H1126"/>
  <c r="J1126" s="1"/>
  <c r="L1126" s="1"/>
  <c r="N1126" s="1"/>
  <c r="P1126" s="1"/>
  <c r="R1126" s="1"/>
  <c r="T1126" s="1"/>
  <c r="F1216"/>
  <c r="H1217"/>
  <c r="J1217" s="1"/>
  <c r="L1217" s="1"/>
  <c r="N1217" s="1"/>
  <c r="P1217" s="1"/>
  <c r="R1217" s="1"/>
  <c r="T1217" s="1"/>
  <c r="F1563"/>
  <c r="H1563" s="1"/>
  <c r="J1563" s="1"/>
  <c r="L1563" s="1"/>
  <c r="N1563" s="1"/>
  <c r="P1563" s="1"/>
  <c r="R1563" s="1"/>
  <c r="T1563" s="1"/>
  <c r="H1564"/>
  <c r="J1564" s="1"/>
  <c r="L1564" s="1"/>
  <c r="N1564" s="1"/>
  <c r="P1564" s="1"/>
  <c r="R1564" s="1"/>
  <c r="T1564" s="1"/>
  <c r="F695"/>
  <c r="H695" s="1"/>
  <c r="J695" s="1"/>
  <c r="L695" s="1"/>
  <c r="N695" s="1"/>
  <c r="P695" s="1"/>
  <c r="R695" s="1"/>
  <c r="T695" s="1"/>
  <c r="H696"/>
  <c r="J696" s="1"/>
  <c r="L696" s="1"/>
  <c r="N696" s="1"/>
  <c r="P696" s="1"/>
  <c r="R696" s="1"/>
  <c r="T696" s="1"/>
  <c r="F1751"/>
  <c r="H1752"/>
  <c r="J1752" s="1"/>
  <c r="L1752" s="1"/>
  <c r="N1752" s="1"/>
  <c r="P1752" s="1"/>
  <c r="R1752" s="1"/>
  <c r="T1752" s="1"/>
  <c r="F1657"/>
  <c r="H1658"/>
  <c r="J1658" s="1"/>
  <c r="L1658" s="1"/>
  <c r="N1658" s="1"/>
  <c r="P1658" s="1"/>
  <c r="R1658" s="1"/>
  <c r="T1658" s="1"/>
  <c r="F1713"/>
  <c r="H1714"/>
  <c r="J1714" s="1"/>
  <c r="L1714" s="1"/>
  <c r="N1714" s="1"/>
  <c r="P1714" s="1"/>
  <c r="R1714" s="1"/>
  <c r="T1714" s="1"/>
  <c r="F1724"/>
  <c r="H1725"/>
  <c r="J1725" s="1"/>
  <c r="L1725" s="1"/>
  <c r="N1725" s="1"/>
  <c r="P1725" s="1"/>
  <c r="R1725" s="1"/>
  <c r="T1725" s="1"/>
  <c r="F691"/>
  <c r="H692"/>
  <c r="J692" s="1"/>
  <c r="L692" s="1"/>
  <c r="N692" s="1"/>
  <c r="P692" s="1"/>
  <c r="R692" s="1"/>
  <c r="T692" s="1"/>
  <c r="H498"/>
  <c r="J498" s="1"/>
  <c r="L498" s="1"/>
  <c r="N498" s="1"/>
  <c r="P498" s="1"/>
  <c r="R498" s="1"/>
  <c r="T498" s="1"/>
  <c r="H680"/>
  <c r="J680" s="1"/>
  <c r="L680" s="1"/>
  <c r="N680" s="1"/>
  <c r="P680" s="1"/>
  <c r="R680" s="1"/>
  <c r="T680" s="1"/>
  <c r="H216"/>
  <c r="J216" s="1"/>
  <c r="L216" s="1"/>
  <c r="N216" s="1"/>
  <c r="P216" s="1"/>
  <c r="R216" s="1"/>
  <c r="T216" s="1"/>
  <c r="G79"/>
  <c r="G78" s="1"/>
  <c r="G77" s="1"/>
  <c r="G76" s="1"/>
  <c r="G99"/>
  <c r="G98" s="1"/>
  <c r="G97" s="1"/>
  <c r="G96" s="1"/>
  <c r="G495"/>
  <c r="G491" s="1"/>
  <c r="G490" s="1"/>
  <c r="G489" s="1"/>
  <c r="G503"/>
  <c r="G502" s="1"/>
  <c r="G501" s="1"/>
  <c r="H527"/>
  <c r="J527" s="1"/>
  <c r="L527" s="1"/>
  <c r="N527" s="1"/>
  <c r="P527" s="1"/>
  <c r="R527" s="1"/>
  <c r="T527" s="1"/>
  <c r="H585"/>
  <c r="J585" s="1"/>
  <c r="L585" s="1"/>
  <c r="N585" s="1"/>
  <c r="P585" s="1"/>
  <c r="R585" s="1"/>
  <c r="T585" s="1"/>
  <c r="H606"/>
  <c r="J606" s="1"/>
  <c r="L606" s="1"/>
  <c r="N606" s="1"/>
  <c r="P606" s="1"/>
  <c r="R606" s="1"/>
  <c r="T606" s="1"/>
  <c r="H632"/>
  <c r="J632" s="1"/>
  <c r="L632" s="1"/>
  <c r="N632" s="1"/>
  <c r="P632" s="1"/>
  <c r="R632" s="1"/>
  <c r="T632" s="1"/>
  <c r="H740"/>
  <c r="J740" s="1"/>
  <c r="L740" s="1"/>
  <c r="N740" s="1"/>
  <c r="P740" s="1"/>
  <c r="R740" s="1"/>
  <c r="T740" s="1"/>
  <c r="G898"/>
  <c r="G897" s="1"/>
  <c r="G896" s="1"/>
  <c r="H1382"/>
  <c r="J1382" s="1"/>
  <c r="L1382" s="1"/>
  <c r="N1382" s="1"/>
  <c r="P1382" s="1"/>
  <c r="R1382" s="1"/>
  <c r="T1382" s="1"/>
  <c r="H1422"/>
  <c r="J1422" s="1"/>
  <c r="L1422" s="1"/>
  <c r="N1422" s="1"/>
  <c r="P1422" s="1"/>
  <c r="R1422" s="1"/>
  <c r="T1422" s="1"/>
  <c r="H1439"/>
  <c r="J1439" s="1"/>
  <c r="L1439" s="1"/>
  <c r="N1439" s="1"/>
  <c r="P1439" s="1"/>
  <c r="R1439" s="1"/>
  <c r="T1439" s="1"/>
  <c r="H1471"/>
  <c r="J1471" s="1"/>
  <c r="L1471" s="1"/>
  <c r="N1471" s="1"/>
  <c r="P1471" s="1"/>
  <c r="R1471" s="1"/>
  <c r="T1471" s="1"/>
  <c r="H1487"/>
  <c r="J1487" s="1"/>
  <c r="L1487" s="1"/>
  <c r="N1487" s="1"/>
  <c r="P1487" s="1"/>
  <c r="R1487" s="1"/>
  <c r="T1487" s="1"/>
  <c r="G1572"/>
  <c r="G1571" s="1"/>
  <c r="G1767"/>
  <c r="G1766" s="1"/>
  <c r="G1758" s="1"/>
  <c r="H23"/>
  <c r="J23" s="1"/>
  <c r="L23" s="1"/>
  <c r="N23" s="1"/>
  <c r="P23" s="1"/>
  <c r="R23" s="1"/>
  <c r="T23" s="1"/>
  <c r="H31"/>
  <c r="J31" s="1"/>
  <c r="L31" s="1"/>
  <c r="H42"/>
  <c r="J42" s="1"/>
  <c r="L42" s="1"/>
  <c r="N42" s="1"/>
  <c r="P42" s="1"/>
  <c r="R42" s="1"/>
  <c r="T42" s="1"/>
  <c r="H46"/>
  <c r="J46" s="1"/>
  <c r="L46" s="1"/>
  <c r="N46" s="1"/>
  <c r="P46" s="1"/>
  <c r="R46" s="1"/>
  <c r="T46" s="1"/>
  <c r="H60"/>
  <c r="J60" s="1"/>
  <c r="L60" s="1"/>
  <c r="N60" s="1"/>
  <c r="P60" s="1"/>
  <c r="R60" s="1"/>
  <c r="T60" s="1"/>
  <c r="H68"/>
  <c r="J68" s="1"/>
  <c r="L68" s="1"/>
  <c r="N68" s="1"/>
  <c r="P68" s="1"/>
  <c r="R68" s="1"/>
  <c r="T68" s="1"/>
  <c r="H120"/>
  <c r="H166"/>
  <c r="J166" s="1"/>
  <c r="L166" s="1"/>
  <c r="N166" s="1"/>
  <c r="P166" s="1"/>
  <c r="R166" s="1"/>
  <c r="T166" s="1"/>
  <c r="H177"/>
  <c r="J177" s="1"/>
  <c r="L177" s="1"/>
  <c r="N177" s="1"/>
  <c r="P177" s="1"/>
  <c r="R177" s="1"/>
  <c r="T177" s="1"/>
  <c r="H203"/>
  <c r="J203" s="1"/>
  <c r="L203" s="1"/>
  <c r="N203" s="1"/>
  <c r="P203" s="1"/>
  <c r="R203" s="1"/>
  <c r="T203" s="1"/>
  <c r="H214"/>
  <c r="J214" s="1"/>
  <c r="L214" s="1"/>
  <c r="N214" s="1"/>
  <c r="P214" s="1"/>
  <c r="R214" s="1"/>
  <c r="T214" s="1"/>
  <c r="H219"/>
  <c r="J219" s="1"/>
  <c r="L219" s="1"/>
  <c r="N219" s="1"/>
  <c r="P219" s="1"/>
  <c r="R219" s="1"/>
  <c r="T219" s="1"/>
  <c r="H269"/>
  <c r="J269" s="1"/>
  <c r="L269" s="1"/>
  <c r="N269" s="1"/>
  <c r="P269" s="1"/>
  <c r="R269" s="1"/>
  <c r="T269" s="1"/>
  <c r="H307"/>
  <c r="J307" s="1"/>
  <c r="L307" s="1"/>
  <c r="N307" s="1"/>
  <c r="P307" s="1"/>
  <c r="R307" s="1"/>
  <c r="T307" s="1"/>
  <c r="H313"/>
  <c r="J313" s="1"/>
  <c r="L313" s="1"/>
  <c r="N313" s="1"/>
  <c r="P313" s="1"/>
  <c r="R313" s="1"/>
  <c r="T313" s="1"/>
  <c r="H318"/>
  <c r="J318" s="1"/>
  <c r="L318" s="1"/>
  <c r="N318" s="1"/>
  <c r="P318" s="1"/>
  <c r="R318" s="1"/>
  <c r="T318" s="1"/>
  <c r="H329"/>
  <c r="J329" s="1"/>
  <c r="L329" s="1"/>
  <c r="N329" s="1"/>
  <c r="P329" s="1"/>
  <c r="R329" s="1"/>
  <c r="T329" s="1"/>
  <c r="H356"/>
  <c r="J356" s="1"/>
  <c r="L356" s="1"/>
  <c r="N356" s="1"/>
  <c r="P356" s="1"/>
  <c r="R356" s="1"/>
  <c r="T356" s="1"/>
  <c r="H361"/>
  <c r="J361" s="1"/>
  <c r="L361" s="1"/>
  <c r="N361" s="1"/>
  <c r="P361" s="1"/>
  <c r="R361" s="1"/>
  <c r="T361" s="1"/>
  <c r="H367"/>
  <c r="J367" s="1"/>
  <c r="L367" s="1"/>
  <c r="N367" s="1"/>
  <c r="P367" s="1"/>
  <c r="R367" s="1"/>
  <c r="T367" s="1"/>
  <c r="H372"/>
  <c r="J372" s="1"/>
  <c r="L372" s="1"/>
  <c r="N372" s="1"/>
  <c r="P372" s="1"/>
  <c r="R372" s="1"/>
  <c r="T372" s="1"/>
  <c r="H394"/>
  <c r="J394" s="1"/>
  <c r="L394" s="1"/>
  <c r="N394" s="1"/>
  <c r="P394" s="1"/>
  <c r="R394" s="1"/>
  <c r="T394" s="1"/>
  <c r="H421"/>
  <c r="J421" s="1"/>
  <c r="L421" s="1"/>
  <c r="N421" s="1"/>
  <c r="P421" s="1"/>
  <c r="R421" s="1"/>
  <c r="T421" s="1"/>
  <c r="H427"/>
  <c r="J427" s="1"/>
  <c r="L427" s="1"/>
  <c r="N427" s="1"/>
  <c r="P427" s="1"/>
  <c r="R427" s="1"/>
  <c r="T427" s="1"/>
  <c r="H487"/>
  <c r="J487" s="1"/>
  <c r="L487" s="1"/>
  <c r="N487" s="1"/>
  <c r="P487" s="1"/>
  <c r="R487" s="1"/>
  <c r="T487" s="1"/>
  <c r="H497"/>
  <c r="J497" s="1"/>
  <c r="L497" s="1"/>
  <c r="N497" s="1"/>
  <c r="P497" s="1"/>
  <c r="R497" s="1"/>
  <c r="T497" s="1"/>
  <c r="H523"/>
  <c r="J523" s="1"/>
  <c r="L523" s="1"/>
  <c r="N523" s="1"/>
  <c r="P523" s="1"/>
  <c r="R523" s="1"/>
  <c r="T523" s="1"/>
  <c r="H545"/>
  <c r="J545" s="1"/>
  <c r="L545" s="1"/>
  <c r="N545" s="1"/>
  <c r="P545" s="1"/>
  <c r="R545" s="1"/>
  <c r="T545" s="1"/>
  <c r="H551"/>
  <c r="J551" s="1"/>
  <c r="L551" s="1"/>
  <c r="N551" s="1"/>
  <c r="P551" s="1"/>
  <c r="R551" s="1"/>
  <c r="T551" s="1"/>
  <c r="H556"/>
  <c r="J556" s="1"/>
  <c r="L556" s="1"/>
  <c r="N556" s="1"/>
  <c r="P556" s="1"/>
  <c r="R556" s="1"/>
  <c r="T556" s="1"/>
  <c r="H567"/>
  <c r="J567" s="1"/>
  <c r="L567" s="1"/>
  <c r="N567" s="1"/>
  <c r="P567" s="1"/>
  <c r="R567" s="1"/>
  <c r="T567" s="1"/>
  <c r="H642"/>
  <c r="J642" s="1"/>
  <c r="L642" s="1"/>
  <c r="N642" s="1"/>
  <c r="P642" s="1"/>
  <c r="R642" s="1"/>
  <c r="T642" s="1"/>
  <c r="H653"/>
  <c r="J653" s="1"/>
  <c r="L653" s="1"/>
  <c r="N653" s="1"/>
  <c r="P653" s="1"/>
  <c r="R653" s="1"/>
  <c r="T653" s="1"/>
  <c r="H681"/>
  <c r="J681" s="1"/>
  <c r="L681" s="1"/>
  <c r="N681" s="1"/>
  <c r="P681" s="1"/>
  <c r="R681" s="1"/>
  <c r="T681" s="1"/>
  <c r="H697"/>
  <c r="J697" s="1"/>
  <c r="L697" s="1"/>
  <c r="N697" s="1"/>
  <c r="P697" s="1"/>
  <c r="R697" s="1"/>
  <c r="T697" s="1"/>
  <c r="H752"/>
  <c r="J752" s="1"/>
  <c r="L752" s="1"/>
  <c r="N752" s="1"/>
  <c r="P752" s="1"/>
  <c r="R752" s="1"/>
  <c r="T752" s="1"/>
  <c r="H758"/>
  <c r="J758" s="1"/>
  <c r="L758" s="1"/>
  <c r="N758" s="1"/>
  <c r="P758" s="1"/>
  <c r="R758" s="1"/>
  <c r="T758" s="1"/>
  <c r="H805"/>
  <c r="J805" s="1"/>
  <c r="L805" s="1"/>
  <c r="N805" s="1"/>
  <c r="P805" s="1"/>
  <c r="R805" s="1"/>
  <c r="T805" s="1"/>
  <c r="H855"/>
  <c r="J855" s="1"/>
  <c r="L855" s="1"/>
  <c r="N855" s="1"/>
  <c r="P855" s="1"/>
  <c r="R855" s="1"/>
  <c r="T855" s="1"/>
  <c r="H860"/>
  <c r="J860" s="1"/>
  <c r="L860" s="1"/>
  <c r="N860" s="1"/>
  <c r="P860" s="1"/>
  <c r="R860" s="1"/>
  <c r="T860" s="1"/>
  <c r="H884"/>
  <c r="J884" s="1"/>
  <c r="L884" s="1"/>
  <c r="N884" s="1"/>
  <c r="P884" s="1"/>
  <c r="R884" s="1"/>
  <c r="T884" s="1"/>
  <c r="H904"/>
  <c r="J904" s="1"/>
  <c r="L904" s="1"/>
  <c r="N904" s="1"/>
  <c r="P904" s="1"/>
  <c r="R904" s="1"/>
  <c r="T904" s="1"/>
  <c r="F978"/>
  <c r="H979"/>
  <c r="J979" s="1"/>
  <c r="L979" s="1"/>
  <c r="N979" s="1"/>
  <c r="P979" s="1"/>
  <c r="R979" s="1"/>
  <c r="T979" s="1"/>
  <c r="F1449"/>
  <c r="H1449" s="1"/>
  <c r="J1449" s="1"/>
  <c r="L1449" s="1"/>
  <c r="N1449" s="1"/>
  <c r="P1449" s="1"/>
  <c r="R1449" s="1"/>
  <c r="T1449" s="1"/>
  <c r="H1450"/>
  <c r="J1450" s="1"/>
  <c r="L1450" s="1"/>
  <c r="N1450" s="1"/>
  <c r="P1450" s="1"/>
  <c r="R1450" s="1"/>
  <c r="T1450" s="1"/>
  <c r="F1529"/>
  <c r="H1531"/>
  <c r="J1531" s="1"/>
  <c r="L1531" s="1"/>
  <c r="N1531" s="1"/>
  <c r="P1531" s="1"/>
  <c r="R1531" s="1"/>
  <c r="T1531" s="1"/>
  <c r="F1026"/>
  <c r="H1026" s="1"/>
  <c r="J1026" s="1"/>
  <c r="L1026" s="1"/>
  <c r="N1026" s="1"/>
  <c r="P1026" s="1"/>
  <c r="R1026" s="1"/>
  <c r="T1026" s="1"/>
  <c r="H1027"/>
  <c r="J1027" s="1"/>
  <c r="L1027" s="1"/>
  <c r="N1027" s="1"/>
  <c r="P1027" s="1"/>
  <c r="R1027" s="1"/>
  <c r="T1027" s="1"/>
  <c r="F756"/>
  <c r="H757"/>
  <c r="J757" s="1"/>
  <c r="L757" s="1"/>
  <c r="N757" s="1"/>
  <c r="P757" s="1"/>
  <c r="R757" s="1"/>
  <c r="T757" s="1"/>
  <c r="F1069"/>
  <c r="H1070"/>
  <c r="J1070" s="1"/>
  <c r="L1070" s="1"/>
  <c r="N1070" s="1"/>
  <c r="P1070" s="1"/>
  <c r="R1070" s="1"/>
  <c r="T1070" s="1"/>
  <c r="F565"/>
  <c r="H566"/>
  <c r="J566" s="1"/>
  <c r="L566" s="1"/>
  <c r="N566" s="1"/>
  <c r="P566" s="1"/>
  <c r="R566" s="1"/>
  <c r="T566" s="1"/>
  <c r="F1533"/>
  <c r="H1533" s="1"/>
  <c r="J1533" s="1"/>
  <c r="L1533" s="1"/>
  <c r="N1533" s="1"/>
  <c r="P1533" s="1"/>
  <c r="R1533" s="1"/>
  <c r="T1533" s="1"/>
  <c r="H1534"/>
  <c r="J1534" s="1"/>
  <c r="L1534" s="1"/>
  <c r="N1534" s="1"/>
  <c r="P1534" s="1"/>
  <c r="R1534" s="1"/>
  <c r="T1534" s="1"/>
  <c r="F159"/>
  <c r="H160"/>
  <c r="J160" s="1"/>
  <c r="L160" s="1"/>
  <c r="N160" s="1"/>
  <c r="P160" s="1"/>
  <c r="R160" s="1"/>
  <c r="T160" s="1"/>
  <c r="F199"/>
  <c r="H200"/>
  <c r="J200" s="1"/>
  <c r="L200" s="1"/>
  <c r="N200" s="1"/>
  <c r="P200" s="1"/>
  <c r="R200" s="1"/>
  <c r="T200" s="1"/>
  <c r="F561"/>
  <c r="H562"/>
  <c r="J562" s="1"/>
  <c r="L562" s="1"/>
  <c r="N562" s="1"/>
  <c r="P562" s="1"/>
  <c r="R562" s="1"/>
  <c r="T562" s="1"/>
  <c r="F1583"/>
  <c r="H1583" s="1"/>
  <c r="J1583" s="1"/>
  <c r="L1583" s="1"/>
  <c r="N1583" s="1"/>
  <c r="P1583" s="1"/>
  <c r="R1583" s="1"/>
  <c r="T1583" s="1"/>
  <c r="H1584"/>
  <c r="J1584" s="1"/>
  <c r="L1584" s="1"/>
  <c r="N1584" s="1"/>
  <c r="P1584" s="1"/>
  <c r="R1584" s="1"/>
  <c r="T1584" s="1"/>
  <c r="F175"/>
  <c r="H176"/>
  <c r="J176" s="1"/>
  <c r="L176" s="1"/>
  <c r="N176" s="1"/>
  <c r="P176" s="1"/>
  <c r="R176" s="1"/>
  <c r="T176" s="1"/>
  <c r="F275"/>
  <c r="H276"/>
  <c r="J276" s="1"/>
  <c r="L276" s="1"/>
  <c r="N276" s="1"/>
  <c r="P276" s="1"/>
  <c r="R276" s="1"/>
  <c r="T276" s="1"/>
  <c r="F323"/>
  <c r="H324"/>
  <c r="J324" s="1"/>
  <c r="L324" s="1"/>
  <c r="N324" s="1"/>
  <c r="P324" s="1"/>
  <c r="R324" s="1"/>
  <c r="T324" s="1"/>
  <c r="F369"/>
  <c r="H370"/>
  <c r="J370" s="1"/>
  <c r="L370" s="1"/>
  <c r="N370" s="1"/>
  <c r="P370" s="1"/>
  <c r="R370" s="1"/>
  <c r="T370" s="1"/>
  <c r="F433"/>
  <c r="H434"/>
  <c r="J434" s="1"/>
  <c r="L434" s="1"/>
  <c r="N434" s="1"/>
  <c r="P434" s="1"/>
  <c r="R434" s="1"/>
  <c r="T434" s="1"/>
  <c r="F303"/>
  <c r="H304"/>
  <c r="J304" s="1"/>
  <c r="L304" s="1"/>
  <c r="N304" s="1"/>
  <c r="P304" s="1"/>
  <c r="R304" s="1"/>
  <c r="T304" s="1"/>
  <c r="F391"/>
  <c r="H391" s="1"/>
  <c r="J391" s="1"/>
  <c r="L391" s="1"/>
  <c r="N391" s="1"/>
  <c r="P391" s="1"/>
  <c r="R391" s="1"/>
  <c r="T391" s="1"/>
  <c r="H392"/>
  <c r="J392" s="1"/>
  <c r="L392" s="1"/>
  <c r="N392" s="1"/>
  <c r="P392" s="1"/>
  <c r="R392" s="1"/>
  <c r="T392" s="1"/>
  <c r="F1278"/>
  <c r="H1279"/>
  <c r="J1279" s="1"/>
  <c r="L1279" s="1"/>
  <c r="N1279" s="1"/>
  <c r="P1279" s="1"/>
  <c r="R1279" s="1"/>
  <c r="T1279" s="1"/>
  <c r="F1324"/>
  <c r="H1325"/>
  <c r="J1325" s="1"/>
  <c r="L1325" s="1"/>
  <c r="N1325" s="1"/>
  <c r="P1325" s="1"/>
  <c r="R1325" s="1"/>
  <c r="T1325" s="1"/>
  <c r="F1271"/>
  <c r="H1271" s="1"/>
  <c r="J1271" s="1"/>
  <c r="L1271" s="1"/>
  <c r="N1271" s="1"/>
  <c r="P1271" s="1"/>
  <c r="R1271" s="1"/>
  <c r="T1271" s="1"/>
  <c r="H1272"/>
  <c r="J1272" s="1"/>
  <c r="L1272" s="1"/>
  <c r="N1272" s="1"/>
  <c r="P1272" s="1"/>
  <c r="R1272" s="1"/>
  <c r="T1272" s="1"/>
  <c r="F465"/>
  <c r="H466"/>
  <c r="J466" s="1"/>
  <c r="L466" s="1"/>
  <c r="N466" s="1"/>
  <c r="P466" s="1"/>
  <c r="R466" s="1"/>
  <c r="T466" s="1"/>
  <c r="F541"/>
  <c r="H542"/>
  <c r="J542" s="1"/>
  <c r="L542" s="1"/>
  <c r="N542" s="1"/>
  <c r="P542" s="1"/>
  <c r="R542" s="1"/>
  <c r="T542" s="1"/>
  <c r="F764"/>
  <c r="H765"/>
  <c r="J765" s="1"/>
  <c r="L765" s="1"/>
  <c r="N765" s="1"/>
  <c r="P765" s="1"/>
  <c r="R765" s="1"/>
  <c r="T765" s="1"/>
  <c r="F800"/>
  <c r="H801"/>
  <c r="J801" s="1"/>
  <c r="L801" s="1"/>
  <c r="N801" s="1"/>
  <c r="P801" s="1"/>
  <c r="R801" s="1"/>
  <c r="T801" s="1"/>
  <c r="F1093"/>
  <c r="H1094"/>
  <c r="J1094" s="1"/>
  <c r="L1094" s="1"/>
  <c r="N1094" s="1"/>
  <c r="P1094" s="1"/>
  <c r="R1094" s="1"/>
  <c r="T1094" s="1"/>
  <c r="F1107"/>
  <c r="H1108"/>
  <c r="J1108" s="1"/>
  <c r="L1108" s="1"/>
  <c r="N1108" s="1"/>
  <c r="P1108" s="1"/>
  <c r="R1108" s="1"/>
  <c r="T1108" s="1"/>
  <c r="F1230"/>
  <c r="H1230" s="1"/>
  <c r="J1230" s="1"/>
  <c r="L1230" s="1"/>
  <c r="N1230" s="1"/>
  <c r="P1230" s="1"/>
  <c r="R1230" s="1"/>
  <c r="T1230" s="1"/>
  <c r="H1231"/>
  <c r="J1231" s="1"/>
  <c r="L1231" s="1"/>
  <c r="N1231" s="1"/>
  <c r="P1231" s="1"/>
  <c r="R1231" s="1"/>
  <c r="T1231" s="1"/>
  <c r="F1552"/>
  <c r="H1552" s="1"/>
  <c r="J1552" s="1"/>
  <c r="L1552" s="1"/>
  <c r="N1552" s="1"/>
  <c r="P1552" s="1"/>
  <c r="R1552" s="1"/>
  <c r="T1552" s="1"/>
  <c r="H1553"/>
  <c r="J1553" s="1"/>
  <c r="L1553" s="1"/>
  <c r="N1553" s="1"/>
  <c r="P1553" s="1"/>
  <c r="R1553" s="1"/>
  <c r="T1553" s="1"/>
  <c r="F1120"/>
  <c r="H1121"/>
  <c r="J1121" s="1"/>
  <c r="L1121" s="1"/>
  <c r="N1121" s="1"/>
  <c r="P1121" s="1"/>
  <c r="R1121" s="1"/>
  <c r="T1121" s="1"/>
  <c r="F1201"/>
  <c r="H1202"/>
  <c r="J1202" s="1"/>
  <c r="L1202" s="1"/>
  <c r="N1202" s="1"/>
  <c r="P1202" s="1"/>
  <c r="R1202" s="1"/>
  <c r="T1202" s="1"/>
  <c r="F1135"/>
  <c r="H1136"/>
  <c r="J1136" s="1"/>
  <c r="L1136" s="1"/>
  <c r="N1136" s="1"/>
  <c r="P1136" s="1"/>
  <c r="R1136" s="1"/>
  <c r="T1136" s="1"/>
  <c r="F748"/>
  <c r="F747" s="1"/>
  <c r="F744" s="1"/>
  <c r="F743" s="1"/>
  <c r="F742" s="1"/>
  <c r="H749"/>
  <c r="J749" s="1"/>
  <c r="L749" s="1"/>
  <c r="N749" s="1"/>
  <c r="P749" s="1"/>
  <c r="R749" s="1"/>
  <c r="T749" s="1"/>
  <c r="F1746"/>
  <c r="H1747"/>
  <c r="J1747" s="1"/>
  <c r="L1747" s="1"/>
  <c r="N1747" s="1"/>
  <c r="P1747" s="1"/>
  <c r="R1747" s="1"/>
  <c r="T1747" s="1"/>
  <c r="F1721"/>
  <c r="H1721" s="1"/>
  <c r="J1721" s="1"/>
  <c r="L1721" s="1"/>
  <c r="N1721" s="1"/>
  <c r="P1721" s="1"/>
  <c r="R1721" s="1"/>
  <c r="T1721" s="1"/>
  <c r="H1722"/>
  <c r="J1722" s="1"/>
  <c r="L1722" s="1"/>
  <c r="N1722" s="1"/>
  <c r="P1722" s="1"/>
  <c r="R1722" s="1"/>
  <c r="T1722" s="1"/>
  <c r="F1056"/>
  <c r="H1057"/>
  <c r="J1057" s="1"/>
  <c r="L1057" s="1"/>
  <c r="N1057" s="1"/>
  <c r="P1057" s="1"/>
  <c r="R1057" s="1"/>
  <c r="T1057" s="1"/>
  <c r="F1794"/>
  <c r="H1795"/>
  <c r="J1795" s="1"/>
  <c r="L1795" s="1"/>
  <c r="N1795" s="1"/>
  <c r="P1795" s="1"/>
  <c r="R1795" s="1"/>
  <c r="T1795" s="1"/>
  <c r="F639"/>
  <c r="H640"/>
  <c r="J640" s="1"/>
  <c r="L640" s="1"/>
  <c r="N640" s="1"/>
  <c r="P640" s="1"/>
  <c r="R640" s="1"/>
  <c r="T640" s="1"/>
  <c r="F1490"/>
  <c r="H1491"/>
  <c r="J1491" s="1"/>
  <c r="L1491" s="1"/>
  <c r="N1491" s="1"/>
  <c r="P1491" s="1"/>
  <c r="R1491" s="1"/>
  <c r="T1491" s="1"/>
  <c r="G584"/>
  <c r="H584" s="1"/>
  <c r="J584" s="1"/>
  <c r="L584" s="1"/>
  <c r="N584" s="1"/>
  <c r="P584" s="1"/>
  <c r="R584" s="1"/>
  <c r="T584" s="1"/>
  <c r="H601"/>
  <c r="J601" s="1"/>
  <c r="L601" s="1"/>
  <c r="N601" s="1"/>
  <c r="P601" s="1"/>
  <c r="R601" s="1"/>
  <c r="T601" s="1"/>
  <c r="H705"/>
  <c r="J705" s="1"/>
  <c r="L705" s="1"/>
  <c r="N705" s="1"/>
  <c r="P705" s="1"/>
  <c r="R705" s="1"/>
  <c r="T705" s="1"/>
  <c r="G920"/>
  <c r="G919" s="1"/>
  <c r="G918" s="1"/>
  <c r="G1017"/>
  <c r="G1016" s="1"/>
  <c r="G1015" s="1"/>
  <c r="H1264"/>
  <c r="J1264" s="1"/>
  <c r="L1264" s="1"/>
  <c r="N1264" s="1"/>
  <c r="P1264" s="1"/>
  <c r="R1264" s="1"/>
  <c r="T1264" s="1"/>
  <c r="H1344"/>
  <c r="J1344" s="1"/>
  <c r="L1344" s="1"/>
  <c r="N1344" s="1"/>
  <c r="P1344" s="1"/>
  <c r="R1344" s="1"/>
  <c r="T1344" s="1"/>
  <c r="H1362"/>
  <c r="J1362" s="1"/>
  <c r="L1362" s="1"/>
  <c r="N1362" s="1"/>
  <c r="P1362" s="1"/>
  <c r="R1362" s="1"/>
  <c r="T1362" s="1"/>
  <c r="H1377"/>
  <c r="J1377" s="1"/>
  <c r="L1377" s="1"/>
  <c r="N1377" s="1"/>
  <c r="P1377" s="1"/>
  <c r="R1377" s="1"/>
  <c r="T1377" s="1"/>
  <c r="H1390"/>
  <c r="J1390" s="1"/>
  <c r="L1390" s="1"/>
  <c r="N1390" s="1"/>
  <c r="P1390" s="1"/>
  <c r="R1390" s="1"/>
  <c r="T1390" s="1"/>
  <c r="H1409"/>
  <c r="J1409" s="1"/>
  <c r="L1409" s="1"/>
  <c r="N1409" s="1"/>
  <c r="P1409" s="1"/>
  <c r="R1409" s="1"/>
  <c r="T1409" s="1"/>
  <c r="H1482"/>
  <c r="J1482" s="1"/>
  <c r="L1482" s="1"/>
  <c r="N1482" s="1"/>
  <c r="P1482" s="1"/>
  <c r="R1482" s="1"/>
  <c r="T1482" s="1"/>
  <c r="G1720"/>
  <c r="G1719" s="1"/>
  <c r="G1718" s="1"/>
  <c r="H1744"/>
  <c r="J1744" s="1"/>
  <c r="L1744" s="1"/>
  <c r="N1744" s="1"/>
  <c r="P1744" s="1"/>
  <c r="R1744" s="1"/>
  <c r="T1744" s="1"/>
  <c r="H22"/>
  <c r="J22" s="1"/>
  <c r="L22" s="1"/>
  <c r="N22" s="1"/>
  <c r="P22" s="1"/>
  <c r="R22" s="1"/>
  <c r="T22" s="1"/>
  <c r="H30"/>
  <c r="J30" s="1"/>
  <c r="L30" s="1"/>
  <c r="N30" s="1"/>
  <c r="P30" s="1"/>
  <c r="R30" s="1"/>
  <c r="T30" s="1"/>
  <c r="H34"/>
  <c r="J34" s="1"/>
  <c r="L34" s="1"/>
  <c r="N34" s="1"/>
  <c r="P34" s="1"/>
  <c r="R34" s="1"/>
  <c r="T34" s="1"/>
  <c r="H41"/>
  <c r="J41" s="1"/>
  <c r="L41" s="1"/>
  <c r="N41" s="1"/>
  <c r="P41" s="1"/>
  <c r="R41" s="1"/>
  <c r="T41" s="1"/>
  <c r="H45"/>
  <c r="J45" s="1"/>
  <c r="L45" s="1"/>
  <c r="N45" s="1"/>
  <c r="P45" s="1"/>
  <c r="R45" s="1"/>
  <c r="T45" s="1"/>
  <c r="H49"/>
  <c r="J49" s="1"/>
  <c r="L49" s="1"/>
  <c r="N49" s="1"/>
  <c r="P49" s="1"/>
  <c r="R49" s="1"/>
  <c r="T49" s="1"/>
  <c r="H83"/>
  <c r="J83" s="1"/>
  <c r="L83" s="1"/>
  <c r="N83" s="1"/>
  <c r="P83" s="1"/>
  <c r="R83" s="1"/>
  <c r="T83" s="1"/>
  <c r="H104"/>
  <c r="J104" s="1"/>
  <c r="L104" s="1"/>
  <c r="N104" s="1"/>
  <c r="P104" s="1"/>
  <c r="R104" s="1"/>
  <c r="T104" s="1"/>
  <c r="H123"/>
  <c r="J123" s="1"/>
  <c r="L123" s="1"/>
  <c r="N123" s="1"/>
  <c r="P123" s="1"/>
  <c r="R123" s="1"/>
  <c r="T123" s="1"/>
  <c r="H165"/>
  <c r="J165" s="1"/>
  <c r="L165" s="1"/>
  <c r="N165" s="1"/>
  <c r="P165" s="1"/>
  <c r="R165" s="1"/>
  <c r="T165" s="1"/>
  <c r="H186"/>
  <c r="J186" s="1"/>
  <c r="L186" s="1"/>
  <c r="N186" s="1"/>
  <c r="P186" s="1"/>
  <c r="R186" s="1"/>
  <c r="T186" s="1"/>
  <c r="H218"/>
  <c r="J218" s="1"/>
  <c r="L218" s="1"/>
  <c r="N218" s="1"/>
  <c r="P218" s="1"/>
  <c r="R218" s="1"/>
  <c r="T218" s="1"/>
  <c r="H245"/>
  <c r="J245" s="1"/>
  <c r="L245" s="1"/>
  <c r="N245" s="1"/>
  <c r="P245" s="1"/>
  <c r="R245" s="1"/>
  <c r="T245" s="1"/>
  <c r="H251"/>
  <c r="J251" s="1"/>
  <c r="L251" s="1"/>
  <c r="N251" s="1"/>
  <c r="P251" s="1"/>
  <c r="R251" s="1"/>
  <c r="T251" s="1"/>
  <c r="H306"/>
  <c r="J306" s="1"/>
  <c r="L306" s="1"/>
  <c r="N306" s="1"/>
  <c r="P306" s="1"/>
  <c r="R306" s="1"/>
  <c r="T306" s="1"/>
  <c r="H317"/>
  <c r="J317" s="1"/>
  <c r="L317" s="1"/>
  <c r="N317" s="1"/>
  <c r="P317" s="1"/>
  <c r="R317" s="1"/>
  <c r="T317" s="1"/>
  <c r="H355"/>
  <c r="J355" s="1"/>
  <c r="L355" s="1"/>
  <c r="N355" s="1"/>
  <c r="P355" s="1"/>
  <c r="R355" s="1"/>
  <c r="T355" s="1"/>
  <c r="H360"/>
  <c r="J360" s="1"/>
  <c r="L360" s="1"/>
  <c r="N360" s="1"/>
  <c r="P360" s="1"/>
  <c r="R360" s="1"/>
  <c r="T360" s="1"/>
  <c r="H371"/>
  <c r="J371" s="1"/>
  <c r="L371" s="1"/>
  <c r="N371" s="1"/>
  <c r="P371" s="1"/>
  <c r="R371" s="1"/>
  <c r="T371" s="1"/>
  <c r="H415"/>
  <c r="J415" s="1"/>
  <c r="L415" s="1"/>
  <c r="N415" s="1"/>
  <c r="P415" s="1"/>
  <c r="R415" s="1"/>
  <c r="T415" s="1"/>
  <c r="H447"/>
  <c r="J447" s="1"/>
  <c r="L447" s="1"/>
  <c r="N447" s="1"/>
  <c r="P447" s="1"/>
  <c r="R447" s="1"/>
  <c r="T447" s="1"/>
  <c r="H459"/>
  <c r="J459" s="1"/>
  <c r="L459" s="1"/>
  <c r="N459" s="1"/>
  <c r="P459" s="1"/>
  <c r="R459" s="1"/>
  <c r="T459" s="1"/>
  <c r="H480"/>
  <c r="J480" s="1"/>
  <c r="L480" s="1"/>
  <c r="N480" s="1"/>
  <c r="P480" s="1"/>
  <c r="R480" s="1"/>
  <c r="T480" s="1"/>
  <c r="H507"/>
  <c r="J507" s="1"/>
  <c r="L507" s="1"/>
  <c r="N507" s="1"/>
  <c r="P507" s="1"/>
  <c r="R507" s="1"/>
  <c r="T507" s="1"/>
  <c r="H512"/>
  <c r="J512" s="1"/>
  <c r="L512" s="1"/>
  <c r="N512" s="1"/>
  <c r="P512" s="1"/>
  <c r="R512" s="1"/>
  <c r="T512" s="1"/>
  <c r="H517"/>
  <c r="J517" s="1"/>
  <c r="L517" s="1"/>
  <c r="N517" s="1"/>
  <c r="P517" s="1"/>
  <c r="R517" s="1"/>
  <c r="T517" s="1"/>
  <c r="H544"/>
  <c r="J544" s="1"/>
  <c r="L544" s="1"/>
  <c r="N544" s="1"/>
  <c r="P544" s="1"/>
  <c r="R544" s="1"/>
  <c r="T544" s="1"/>
  <c r="H555"/>
  <c r="J555" s="1"/>
  <c r="L555" s="1"/>
  <c r="N555" s="1"/>
  <c r="P555" s="1"/>
  <c r="R555" s="1"/>
  <c r="T555" s="1"/>
  <c r="H641"/>
  <c r="J641" s="1"/>
  <c r="L641" s="1"/>
  <c r="N641" s="1"/>
  <c r="P641" s="1"/>
  <c r="R641" s="1"/>
  <c r="T641" s="1"/>
  <c r="H652"/>
  <c r="J652" s="1"/>
  <c r="L652" s="1"/>
  <c r="N652" s="1"/>
  <c r="P652" s="1"/>
  <c r="R652" s="1"/>
  <c r="T652" s="1"/>
  <c r="H663"/>
  <c r="J663" s="1"/>
  <c r="L663" s="1"/>
  <c r="N663" s="1"/>
  <c r="P663" s="1"/>
  <c r="R663" s="1"/>
  <c r="T663" s="1"/>
  <c r="H668"/>
  <c r="J668" s="1"/>
  <c r="L668" s="1"/>
  <c r="N668" s="1"/>
  <c r="P668" s="1"/>
  <c r="R668" s="1"/>
  <c r="T668" s="1"/>
  <c r="H679"/>
  <c r="J679" s="1"/>
  <c r="L679" s="1"/>
  <c r="N679" s="1"/>
  <c r="P679" s="1"/>
  <c r="R679" s="1"/>
  <c r="T679" s="1"/>
  <c r="H721"/>
  <c r="J721" s="1"/>
  <c r="L721" s="1"/>
  <c r="N721" s="1"/>
  <c r="P721" s="1"/>
  <c r="R721" s="1"/>
  <c r="T721" s="1"/>
  <c r="H733"/>
  <c r="J733" s="1"/>
  <c r="L733" s="1"/>
  <c r="N733" s="1"/>
  <c r="P733" s="1"/>
  <c r="R733" s="1"/>
  <c r="T733" s="1"/>
  <c r="H751"/>
  <c r="J751" s="1"/>
  <c r="L751" s="1"/>
  <c r="N751" s="1"/>
  <c r="P751" s="1"/>
  <c r="R751" s="1"/>
  <c r="T751" s="1"/>
  <c r="H787"/>
  <c r="J787" s="1"/>
  <c r="L787" s="1"/>
  <c r="N787" s="1"/>
  <c r="P787" s="1"/>
  <c r="R787" s="1"/>
  <c r="T787" s="1"/>
  <c r="H821"/>
  <c r="J821" s="1"/>
  <c r="L821" s="1"/>
  <c r="N821" s="1"/>
  <c r="P821" s="1"/>
  <c r="R821" s="1"/>
  <c r="T821" s="1"/>
  <c r="H859"/>
  <c r="J859" s="1"/>
  <c r="L859" s="1"/>
  <c r="N859" s="1"/>
  <c r="P859" s="1"/>
  <c r="R859" s="1"/>
  <c r="T859" s="1"/>
  <c r="H901"/>
  <c r="J901" s="1"/>
  <c r="L901" s="1"/>
  <c r="N901" s="1"/>
  <c r="P901" s="1"/>
  <c r="R901" s="1"/>
  <c r="T901" s="1"/>
  <c r="H945"/>
  <c r="J945" s="1"/>
  <c r="L945" s="1"/>
  <c r="N945" s="1"/>
  <c r="P945" s="1"/>
  <c r="R945" s="1"/>
  <c r="T945" s="1"/>
  <c r="F665"/>
  <c r="H666"/>
  <c r="J666" s="1"/>
  <c r="L666" s="1"/>
  <c r="N666" s="1"/>
  <c r="P666" s="1"/>
  <c r="R666" s="1"/>
  <c r="T666" s="1"/>
  <c r="F657"/>
  <c r="H657" s="1"/>
  <c r="J657" s="1"/>
  <c r="L657" s="1"/>
  <c r="N657" s="1"/>
  <c r="P657" s="1"/>
  <c r="R657" s="1"/>
  <c r="T657" s="1"/>
  <c r="H658"/>
  <c r="J658" s="1"/>
  <c r="L658" s="1"/>
  <c r="N658" s="1"/>
  <c r="P658" s="1"/>
  <c r="R658" s="1"/>
  <c r="T658" s="1"/>
  <c r="F959"/>
  <c r="H960"/>
  <c r="J960" s="1"/>
  <c r="L960" s="1"/>
  <c r="N960" s="1"/>
  <c r="P960" s="1"/>
  <c r="R960" s="1"/>
  <c r="T960" s="1"/>
  <c r="F1455"/>
  <c r="H1457"/>
  <c r="J1457" s="1"/>
  <c r="L1457" s="1"/>
  <c r="N1457" s="1"/>
  <c r="P1457" s="1"/>
  <c r="R1457" s="1"/>
  <c r="T1457" s="1"/>
  <c r="F1039"/>
  <c r="H1040"/>
  <c r="J1040" s="1"/>
  <c r="L1040" s="1"/>
  <c r="N1040" s="1"/>
  <c r="P1040" s="1"/>
  <c r="R1040" s="1"/>
  <c r="T1040" s="1"/>
  <c r="F1063"/>
  <c r="H1064"/>
  <c r="J1064" s="1"/>
  <c r="L1064" s="1"/>
  <c r="N1064" s="1"/>
  <c r="P1064" s="1"/>
  <c r="R1064" s="1"/>
  <c r="T1064" s="1"/>
  <c r="F1432"/>
  <c r="H1433"/>
  <c r="J1433" s="1"/>
  <c r="L1433" s="1"/>
  <c r="N1433" s="1"/>
  <c r="P1433" s="1"/>
  <c r="R1433" s="1"/>
  <c r="T1433" s="1"/>
  <c r="F1011"/>
  <c r="H1012"/>
  <c r="J1012" s="1"/>
  <c r="L1012" s="1"/>
  <c r="N1012" s="1"/>
  <c r="P1012" s="1"/>
  <c r="R1012" s="1"/>
  <c r="T1012" s="1"/>
  <c r="F135"/>
  <c r="H136"/>
  <c r="J136" s="1"/>
  <c r="L136" s="1"/>
  <c r="N136" s="1"/>
  <c r="P136" s="1"/>
  <c r="R136" s="1"/>
  <c r="T136" s="1"/>
  <c r="F549"/>
  <c r="H550"/>
  <c r="J550" s="1"/>
  <c r="L550" s="1"/>
  <c r="N550" s="1"/>
  <c r="P550" s="1"/>
  <c r="R550" s="1"/>
  <c r="T550" s="1"/>
  <c r="F1545"/>
  <c r="H1546"/>
  <c r="J1546" s="1"/>
  <c r="L1546" s="1"/>
  <c r="N1546" s="1"/>
  <c r="P1546" s="1"/>
  <c r="R1546" s="1"/>
  <c r="T1546" s="1"/>
  <c r="F238"/>
  <c r="H239"/>
  <c r="J239" s="1"/>
  <c r="L239" s="1"/>
  <c r="N239" s="1"/>
  <c r="P239" s="1"/>
  <c r="R239" s="1"/>
  <c r="T239" s="1"/>
  <c r="F315"/>
  <c r="H316"/>
  <c r="J316" s="1"/>
  <c r="L316" s="1"/>
  <c r="N316" s="1"/>
  <c r="P316" s="1"/>
  <c r="R316" s="1"/>
  <c r="T316" s="1"/>
  <c r="F365"/>
  <c r="H366"/>
  <c r="J366" s="1"/>
  <c r="L366" s="1"/>
  <c r="N366" s="1"/>
  <c r="P366" s="1"/>
  <c r="R366" s="1"/>
  <c r="T366" s="1"/>
  <c r="F425"/>
  <c r="H426"/>
  <c r="J426" s="1"/>
  <c r="L426" s="1"/>
  <c r="N426" s="1"/>
  <c r="P426" s="1"/>
  <c r="R426" s="1"/>
  <c r="T426" s="1"/>
  <c r="F267"/>
  <c r="H268"/>
  <c r="J268" s="1"/>
  <c r="L268" s="1"/>
  <c r="N268" s="1"/>
  <c r="P268" s="1"/>
  <c r="R268" s="1"/>
  <c r="T268" s="1"/>
  <c r="F383"/>
  <c r="H384"/>
  <c r="J384" s="1"/>
  <c r="L384" s="1"/>
  <c r="N384" s="1"/>
  <c r="P384" s="1"/>
  <c r="R384" s="1"/>
  <c r="T384" s="1"/>
  <c r="F661"/>
  <c r="H662"/>
  <c r="J662" s="1"/>
  <c r="L662" s="1"/>
  <c r="N662" s="1"/>
  <c r="P662" s="1"/>
  <c r="R662" s="1"/>
  <c r="T662" s="1"/>
  <c r="F1322"/>
  <c r="H1322" s="1"/>
  <c r="J1322" s="1"/>
  <c r="L1322" s="1"/>
  <c r="N1322" s="1"/>
  <c r="P1322" s="1"/>
  <c r="R1322" s="1"/>
  <c r="T1322" s="1"/>
  <c r="H1323"/>
  <c r="J1323" s="1"/>
  <c r="L1323" s="1"/>
  <c r="N1323" s="1"/>
  <c r="P1323" s="1"/>
  <c r="R1323" s="1"/>
  <c r="T1323" s="1"/>
  <c r="F1596"/>
  <c r="H1597"/>
  <c r="J1597" s="1"/>
  <c r="L1597" s="1"/>
  <c r="N1597" s="1"/>
  <c r="P1597" s="1"/>
  <c r="R1597" s="1"/>
  <c r="T1597" s="1"/>
  <c r="F1291"/>
  <c r="H1291" s="1"/>
  <c r="J1291" s="1"/>
  <c r="L1291" s="1"/>
  <c r="N1291" s="1"/>
  <c r="P1291" s="1"/>
  <c r="R1291" s="1"/>
  <c r="T1291" s="1"/>
  <c r="H1292"/>
  <c r="J1292" s="1"/>
  <c r="L1292" s="1"/>
  <c r="N1292" s="1"/>
  <c r="P1292" s="1"/>
  <c r="R1292" s="1"/>
  <c r="T1292" s="1"/>
  <c r="F493"/>
  <c r="H494"/>
  <c r="J494" s="1"/>
  <c r="L494" s="1"/>
  <c r="N494" s="1"/>
  <c r="P494" s="1"/>
  <c r="R494" s="1"/>
  <c r="T494" s="1"/>
  <c r="F1610"/>
  <c r="H1611"/>
  <c r="J1611" s="1"/>
  <c r="L1611" s="1"/>
  <c r="N1611" s="1"/>
  <c r="P1611" s="1"/>
  <c r="R1611" s="1"/>
  <c r="T1611" s="1"/>
  <c r="F1579"/>
  <c r="H1580"/>
  <c r="J1580" s="1"/>
  <c r="L1580" s="1"/>
  <c r="N1580" s="1"/>
  <c r="P1580" s="1"/>
  <c r="R1580" s="1"/>
  <c r="T1580" s="1"/>
  <c r="F796"/>
  <c r="H797"/>
  <c r="J797" s="1"/>
  <c r="L797" s="1"/>
  <c r="N797" s="1"/>
  <c r="P797" s="1"/>
  <c r="R797" s="1"/>
  <c r="T797" s="1"/>
  <c r="F1082"/>
  <c r="H1083"/>
  <c r="J1083" s="1"/>
  <c r="L1083" s="1"/>
  <c r="N1083" s="1"/>
  <c r="P1083" s="1"/>
  <c r="R1083" s="1"/>
  <c r="T1083" s="1"/>
  <c r="F1087"/>
  <c r="H1088"/>
  <c r="J1088" s="1"/>
  <c r="L1088" s="1"/>
  <c r="N1088" s="1"/>
  <c r="P1088" s="1"/>
  <c r="R1088" s="1"/>
  <c r="T1088" s="1"/>
  <c r="F1603"/>
  <c r="H1604"/>
  <c r="J1604" s="1"/>
  <c r="L1604" s="1"/>
  <c r="N1604" s="1"/>
  <c r="P1604" s="1"/>
  <c r="R1604" s="1"/>
  <c r="T1604" s="1"/>
  <c r="F1153"/>
  <c r="H1154"/>
  <c r="J1154" s="1"/>
  <c r="L1154" s="1"/>
  <c r="N1154" s="1"/>
  <c r="P1154" s="1"/>
  <c r="R1154" s="1"/>
  <c r="T1154" s="1"/>
  <c r="F1147"/>
  <c r="H1148"/>
  <c r="J1148" s="1"/>
  <c r="L1148" s="1"/>
  <c r="N1148" s="1"/>
  <c r="P1148" s="1"/>
  <c r="R1148" s="1"/>
  <c r="T1148" s="1"/>
  <c r="F1569"/>
  <c r="H1570"/>
  <c r="J1570" s="1"/>
  <c r="L1570" s="1"/>
  <c r="N1570" s="1"/>
  <c r="P1570" s="1"/>
  <c r="R1570" s="1"/>
  <c r="T1570" s="1"/>
  <c r="F687"/>
  <c r="H688"/>
  <c r="J688" s="1"/>
  <c r="L688" s="1"/>
  <c r="N688" s="1"/>
  <c r="P688" s="1"/>
  <c r="R688" s="1"/>
  <c r="T688" s="1"/>
  <c r="F717"/>
  <c r="H717" s="1"/>
  <c r="J717" s="1"/>
  <c r="L717" s="1"/>
  <c r="N717" s="1"/>
  <c r="P717" s="1"/>
  <c r="R717" s="1"/>
  <c r="T717" s="1"/>
  <c r="H718"/>
  <c r="J718" s="1"/>
  <c r="L718" s="1"/>
  <c r="N718" s="1"/>
  <c r="P718" s="1"/>
  <c r="R718" s="1"/>
  <c r="T718" s="1"/>
  <c r="F1784"/>
  <c r="H1785"/>
  <c r="J1785" s="1"/>
  <c r="L1785" s="1"/>
  <c r="N1785" s="1"/>
  <c r="P1785" s="1"/>
  <c r="R1785" s="1"/>
  <c r="T1785" s="1"/>
  <c r="F1667"/>
  <c r="H1668"/>
  <c r="J1668" s="1"/>
  <c r="L1668" s="1"/>
  <c r="N1668" s="1"/>
  <c r="P1668" s="1"/>
  <c r="R1668" s="1"/>
  <c r="T1668" s="1"/>
  <c r="F1771"/>
  <c r="H1772"/>
  <c r="J1772" s="1"/>
  <c r="L1772" s="1"/>
  <c r="N1772" s="1"/>
  <c r="P1772" s="1"/>
  <c r="R1772" s="1"/>
  <c r="T1772" s="1"/>
  <c r="F938"/>
  <c r="H939"/>
  <c r="J939" s="1"/>
  <c r="L939" s="1"/>
  <c r="N939" s="1"/>
  <c r="P939" s="1"/>
  <c r="R939" s="1"/>
  <c r="T939" s="1"/>
  <c r="F1779"/>
  <c r="H1780"/>
  <c r="J1780" s="1"/>
  <c r="L1780" s="1"/>
  <c r="N1780" s="1"/>
  <c r="P1780" s="1"/>
  <c r="R1780" s="1"/>
  <c r="T1780" s="1"/>
  <c r="F893"/>
  <c r="H894"/>
  <c r="J894" s="1"/>
  <c r="L894" s="1"/>
  <c r="N894" s="1"/>
  <c r="P894" s="1"/>
  <c r="R894" s="1"/>
  <c r="T894" s="1"/>
  <c r="F910"/>
  <c r="H911"/>
  <c r="J911" s="1"/>
  <c r="L911" s="1"/>
  <c r="N911" s="1"/>
  <c r="P911" s="1"/>
  <c r="R911" s="1"/>
  <c r="T911" s="1"/>
  <c r="F952"/>
  <c r="H953"/>
  <c r="J953" s="1"/>
  <c r="L953" s="1"/>
  <c r="N953" s="1"/>
  <c r="P953" s="1"/>
  <c r="R953" s="1"/>
  <c r="T953" s="1"/>
  <c r="F525"/>
  <c r="H526"/>
  <c r="J526" s="1"/>
  <c r="L526" s="1"/>
  <c r="N526" s="1"/>
  <c r="P526" s="1"/>
  <c r="R526" s="1"/>
  <c r="T526" s="1"/>
  <c r="F147"/>
  <c r="H148"/>
  <c r="J148" s="1"/>
  <c r="L148" s="1"/>
  <c r="N148" s="1"/>
  <c r="P148" s="1"/>
  <c r="R148" s="1"/>
  <c r="T148" s="1"/>
  <c r="H506"/>
  <c r="J506" s="1"/>
  <c r="L506" s="1"/>
  <c r="N506" s="1"/>
  <c r="P506" s="1"/>
  <c r="R506" s="1"/>
  <c r="T506" s="1"/>
  <c r="H536"/>
  <c r="J536" s="1"/>
  <c r="L536" s="1"/>
  <c r="N536" s="1"/>
  <c r="P536" s="1"/>
  <c r="R536" s="1"/>
  <c r="T536" s="1"/>
  <c r="H596"/>
  <c r="J596" s="1"/>
  <c r="L596" s="1"/>
  <c r="N596" s="1"/>
  <c r="P596" s="1"/>
  <c r="R596" s="1"/>
  <c r="T596" s="1"/>
  <c r="H614"/>
  <c r="J614" s="1"/>
  <c r="L614" s="1"/>
  <c r="N614" s="1"/>
  <c r="P614" s="1"/>
  <c r="R614" s="1"/>
  <c r="T614" s="1"/>
  <c r="H637"/>
  <c r="J637" s="1"/>
  <c r="L637" s="1"/>
  <c r="N637" s="1"/>
  <c r="P637" s="1"/>
  <c r="R637" s="1"/>
  <c r="T637" s="1"/>
  <c r="H670"/>
  <c r="J670" s="1"/>
  <c r="L670" s="1"/>
  <c r="N670" s="1"/>
  <c r="P670" s="1"/>
  <c r="R670" s="1"/>
  <c r="T670" s="1"/>
  <c r="G928"/>
  <c r="H1263"/>
  <c r="J1263" s="1"/>
  <c r="L1263" s="1"/>
  <c r="N1263" s="1"/>
  <c r="P1263" s="1"/>
  <c r="R1263" s="1"/>
  <c r="T1263" s="1"/>
  <c r="G1288"/>
  <c r="G1287" s="1"/>
  <c r="G1286" s="1"/>
  <c r="H1343"/>
  <c r="J1343" s="1"/>
  <c r="L1343" s="1"/>
  <c r="N1343" s="1"/>
  <c r="P1343" s="1"/>
  <c r="R1343" s="1"/>
  <c r="T1343" s="1"/>
  <c r="H1354"/>
  <c r="J1354" s="1"/>
  <c r="L1354" s="1"/>
  <c r="N1354" s="1"/>
  <c r="P1354" s="1"/>
  <c r="R1354" s="1"/>
  <c r="T1354" s="1"/>
  <c r="H1408"/>
  <c r="J1408" s="1"/>
  <c r="L1408" s="1"/>
  <c r="N1408" s="1"/>
  <c r="P1408" s="1"/>
  <c r="R1408" s="1"/>
  <c r="T1408" s="1"/>
  <c r="H1481"/>
  <c r="J1481" s="1"/>
  <c r="L1481" s="1"/>
  <c r="N1481" s="1"/>
  <c r="P1481" s="1"/>
  <c r="R1481" s="1"/>
  <c r="T1481" s="1"/>
  <c r="H1497"/>
  <c r="J1497" s="1"/>
  <c r="L1497" s="1"/>
  <c r="N1497" s="1"/>
  <c r="P1497" s="1"/>
  <c r="R1497" s="1"/>
  <c r="T1497" s="1"/>
  <c r="H1677"/>
  <c r="J1677" s="1"/>
  <c r="L1677" s="1"/>
  <c r="N1677" s="1"/>
  <c r="P1677" s="1"/>
  <c r="R1677" s="1"/>
  <c r="T1677" s="1"/>
  <c r="H21"/>
  <c r="J21" s="1"/>
  <c r="L21" s="1"/>
  <c r="N21" s="1"/>
  <c r="P21" s="1"/>
  <c r="R21" s="1"/>
  <c r="T21" s="1"/>
  <c r="H33"/>
  <c r="J33" s="1"/>
  <c r="L33" s="1"/>
  <c r="N33" s="1"/>
  <c r="P33" s="1"/>
  <c r="R33" s="1"/>
  <c r="T33" s="1"/>
  <c r="H40"/>
  <c r="J40" s="1"/>
  <c r="L40" s="1"/>
  <c r="N40" s="1"/>
  <c r="P40" s="1"/>
  <c r="R40" s="1"/>
  <c r="T40" s="1"/>
  <c r="H48"/>
  <c r="J48" s="1"/>
  <c r="L48" s="1"/>
  <c r="N48" s="1"/>
  <c r="P48" s="1"/>
  <c r="R48" s="1"/>
  <c r="T48" s="1"/>
  <c r="H58"/>
  <c r="J58" s="1"/>
  <c r="L58" s="1"/>
  <c r="N58" s="1"/>
  <c r="P58" s="1"/>
  <c r="R58" s="1"/>
  <c r="T58" s="1"/>
  <c r="H66"/>
  <c r="J66" s="1"/>
  <c r="L66" s="1"/>
  <c r="N66" s="1"/>
  <c r="P66" s="1"/>
  <c r="R66" s="1"/>
  <c r="T66" s="1"/>
  <c r="H122"/>
  <c r="J122" s="1"/>
  <c r="L122" s="1"/>
  <c r="N122" s="1"/>
  <c r="P122" s="1"/>
  <c r="R122" s="1"/>
  <c r="T122" s="1"/>
  <c r="H142"/>
  <c r="J142" s="1"/>
  <c r="L142" s="1"/>
  <c r="N142" s="1"/>
  <c r="P142" s="1"/>
  <c r="R142" s="1"/>
  <c r="T142" s="1"/>
  <c r="H179"/>
  <c r="J179" s="1"/>
  <c r="L179" s="1"/>
  <c r="N179" s="1"/>
  <c r="P179" s="1"/>
  <c r="R179" s="1"/>
  <c r="T179" s="1"/>
  <c r="H185"/>
  <c r="J185" s="1"/>
  <c r="L185" s="1"/>
  <c r="N185" s="1"/>
  <c r="P185" s="1"/>
  <c r="R185" s="1"/>
  <c r="T185" s="1"/>
  <c r="H217"/>
  <c r="J217" s="1"/>
  <c r="L217" s="1"/>
  <c r="N217" s="1"/>
  <c r="P217" s="1"/>
  <c r="R217" s="1"/>
  <c r="T217" s="1"/>
  <c r="H244"/>
  <c r="J244" s="1"/>
  <c r="L244" s="1"/>
  <c r="N244" s="1"/>
  <c r="P244" s="1"/>
  <c r="R244" s="1"/>
  <c r="T244" s="1"/>
  <c r="H282"/>
  <c r="J282" s="1"/>
  <c r="L282" s="1"/>
  <c r="N282" s="1"/>
  <c r="P282" s="1"/>
  <c r="R282" s="1"/>
  <c r="T282" s="1"/>
  <c r="H305"/>
  <c r="J305" s="1"/>
  <c r="L305" s="1"/>
  <c r="N305" s="1"/>
  <c r="P305" s="1"/>
  <c r="R305" s="1"/>
  <c r="T305" s="1"/>
  <c r="H331"/>
  <c r="J331" s="1"/>
  <c r="L331" s="1"/>
  <c r="N331" s="1"/>
  <c r="P331" s="1"/>
  <c r="R331" s="1"/>
  <c r="T331" s="1"/>
  <c r="H337"/>
  <c r="J337" s="1"/>
  <c r="L337" s="1"/>
  <c r="N337" s="1"/>
  <c r="P337" s="1"/>
  <c r="R337" s="1"/>
  <c r="T337" s="1"/>
  <c r="H359"/>
  <c r="J359" s="1"/>
  <c r="L359" s="1"/>
  <c r="N359" s="1"/>
  <c r="P359" s="1"/>
  <c r="R359" s="1"/>
  <c r="T359" s="1"/>
  <c r="H386"/>
  <c r="J386" s="1"/>
  <c r="L386" s="1"/>
  <c r="N386" s="1"/>
  <c r="P386" s="1"/>
  <c r="R386" s="1"/>
  <c r="T386" s="1"/>
  <c r="H402"/>
  <c r="J402" s="1"/>
  <c r="L402" s="1"/>
  <c r="N402" s="1"/>
  <c r="P402" s="1"/>
  <c r="R402" s="1"/>
  <c r="T402" s="1"/>
  <c r="H446"/>
  <c r="J446" s="1"/>
  <c r="L446" s="1"/>
  <c r="N446" s="1"/>
  <c r="P446" s="1"/>
  <c r="R446" s="1"/>
  <c r="T446" s="1"/>
  <c r="H505"/>
  <c r="J505" s="1"/>
  <c r="L505" s="1"/>
  <c r="N505" s="1"/>
  <c r="P505" s="1"/>
  <c r="R505" s="1"/>
  <c r="T505" s="1"/>
  <c r="H516"/>
  <c r="J516" s="1"/>
  <c r="L516" s="1"/>
  <c r="N516" s="1"/>
  <c r="P516" s="1"/>
  <c r="R516" s="1"/>
  <c r="T516" s="1"/>
  <c r="H543"/>
  <c r="J543" s="1"/>
  <c r="L543" s="1"/>
  <c r="N543" s="1"/>
  <c r="P543" s="1"/>
  <c r="R543" s="1"/>
  <c r="T543" s="1"/>
  <c r="H656"/>
  <c r="J656" s="1"/>
  <c r="L656" s="1"/>
  <c r="N656" s="1"/>
  <c r="P656" s="1"/>
  <c r="R656" s="1"/>
  <c r="T656" s="1"/>
  <c r="H667"/>
  <c r="J667" s="1"/>
  <c r="L667" s="1"/>
  <c r="N667" s="1"/>
  <c r="P667" s="1"/>
  <c r="R667" s="1"/>
  <c r="T667" s="1"/>
  <c r="H678"/>
  <c r="J678" s="1"/>
  <c r="L678" s="1"/>
  <c r="N678" s="1"/>
  <c r="P678" s="1"/>
  <c r="R678" s="1"/>
  <c r="T678" s="1"/>
  <c r="H683"/>
  <c r="J683" s="1"/>
  <c r="L683" s="1"/>
  <c r="N683" s="1"/>
  <c r="P683" s="1"/>
  <c r="R683" s="1"/>
  <c r="T683" s="1"/>
  <c r="H694"/>
  <c r="J694" s="1"/>
  <c r="L694" s="1"/>
  <c r="N694" s="1"/>
  <c r="P694" s="1"/>
  <c r="R694" s="1"/>
  <c r="T694" s="1"/>
  <c r="H699"/>
  <c r="J699" s="1"/>
  <c r="L699" s="1"/>
  <c r="N699" s="1"/>
  <c r="P699" s="1"/>
  <c r="R699" s="1"/>
  <c r="T699" s="1"/>
  <c r="H710"/>
  <c r="J710" s="1"/>
  <c r="L710" s="1"/>
  <c r="N710" s="1"/>
  <c r="P710" s="1"/>
  <c r="R710" s="1"/>
  <c r="T710" s="1"/>
  <c r="H720"/>
  <c r="J720" s="1"/>
  <c r="L720" s="1"/>
  <c r="N720" s="1"/>
  <c r="P720" s="1"/>
  <c r="R720" s="1"/>
  <c r="T720" s="1"/>
  <c r="H771"/>
  <c r="J771" s="1"/>
  <c r="L771" s="1"/>
  <c r="N771" s="1"/>
  <c r="P771" s="1"/>
  <c r="R771" s="1"/>
  <c r="T771" s="1"/>
  <c r="H807"/>
  <c r="J807" s="1"/>
  <c r="L807" s="1"/>
  <c r="N807" s="1"/>
  <c r="P807" s="1"/>
  <c r="R807" s="1"/>
  <c r="T807" s="1"/>
  <c r="H820"/>
  <c r="J820" s="1"/>
  <c r="L820" s="1"/>
  <c r="N820" s="1"/>
  <c r="P820" s="1"/>
  <c r="R820" s="1"/>
  <c r="T820" s="1"/>
  <c r="H886"/>
  <c r="J886" s="1"/>
  <c r="L886" s="1"/>
  <c r="N886" s="1"/>
  <c r="P886" s="1"/>
  <c r="R886" s="1"/>
  <c r="T886" s="1"/>
  <c r="H895"/>
  <c r="J895" s="1"/>
  <c r="L895" s="1"/>
  <c r="N895" s="1"/>
  <c r="P895" s="1"/>
  <c r="R895" s="1"/>
  <c r="T895" s="1"/>
  <c r="H900"/>
  <c r="J900" s="1"/>
  <c r="L900" s="1"/>
  <c r="N900" s="1"/>
  <c r="P900" s="1"/>
  <c r="R900" s="1"/>
  <c r="T900" s="1"/>
  <c r="H933"/>
  <c r="J933" s="1"/>
  <c r="L933" s="1"/>
  <c r="N933" s="1"/>
  <c r="P933" s="1"/>
  <c r="R933" s="1"/>
  <c r="T933" s="1"/>
  <c r="H944"/>
  <c r="J944" s="1"/>
  <c r="L944" s="1"/>
  <c r="N944" s="1"/>
  <c r="P944" s="1"/>
  <c r="R944" s="1"/>
  <c r="T944" s="1"/>
  <c r="G1676"/>
  <c r="H897" i="5"/>
  <c r="G1805" i="6"/>
  <c r="H445" i="5"/>
  <c r="H278"/>
  <c r="H579" i="6"/>
  <c r="J579" s="1"/>
  <c r="L579" s="1"/>
  <c r="N579" s="1"/>
  <c r="P579" s="1"/>
  <c r="R579" s="1"/>
  <c r="T579" s="1"/>
  <c r="G578"/>
  <c r="G577" s="1"/>
  <c r="G576" s="1"/>
  <c r="H576" s="1"/>
  <c r="J576" s="1"/>
  <c r="L576" s="1"/>
  <c r="N576" s="1"/>
  <c r="P576" s="1"/>
  <c r="R576" s="1"/>
  <c r="T576" s="1"/>
  <c r="H580"/>
  <c r="J580" s="1"/>
  <c r="L580" s="1"/>
  <c r="N580" s="1"/>
  <c r="P580" s="1"/>
  <c r="R580" s="1"/>
  <c r="T580" s="1"/>
  <c r="H1494"/>
  <c r="J1494" s="1"/>
  <c r="L1494" s="1"/>
  <c r="N1494" s="1"/>
  <c r="P1494" s="1"/>
  <c r="R1494" s="1"/>
  <c r="T1494" s="1"/>
  <c r="H1369"/>
  <c r="J1369" s="1"/>
  <c r="L1369" s="1"/>
  <c r="N1369" s="1"/>
  <c r="P1369" s="1"/>
  <c r="R1369" s="1"/>
  <c r="T1369" s="1"/>
  <c r="G738"/>
  <c r="G737" s="1"/>
  <c r="G736" s="1"/>
  <c r="G735" s="1"/>
  <c r="G734" s="1"/>
  <c r="H612"/>
  <c r="J612" s="1"/>
  <c r="L612" s="1"/>
  <c r="N612" s="1"/>
  <c r="P612" s="1"/>
  <c r="R612" s="1"/>
  <c r="T612" s="1"/>
  <c r="G611"/>
  <c r="G610" s="1"/>
  <c r="G609" s="1"/>
  <c r="H613"/>
  <c r="J613" s="1"/>
  <c r="L613" s="1"/>
  <c r="N613" s="1"/>
  <c r="P613" s="1"/>
  <c r="R613" s="1"/>
  <c r="T613" s="1"/>
  <c r="H1346"/>
  <c r="J1346" s="1"/>
  <c r="L1346" s="1"/>
  <c r="N1346" s="1"/>
  <c r="P1346" s="1"/>
  <c r="R1346" s="1"/>
  <c r="T1346" s="1"/>
  <c r="H193" i="5"/>
  <c r="G1438" i="6"/>
  <c r="H146" i="5"/>
  <c r="H1426" i="6"/>
  <c r="J1426" s="1"/>
  <c r="L1426" s="1"/>
  <c r="N1426" s="1"/>
  <c r="P1426" s="1"/>
  <c r="R1426" s="1"/>
  <c r="T1426" s="1"/>
  <c r="G1424"/>
  <c r="G1423" s="1"/>
  <c r="G1421"/>
  <c r="G1420" s="1"/>
  <c r="H1420" s="1"/>
  <c r="J1420" s="1"/>
  <c r="L1420" s="1"/>
  <c r="N1420" s="1"/>
  <c r="P1420" s="1"/>
  <c r="R1420" s="1"/>
  <c r="T1420" s="1"/>
  <c r="H1389"/>
  <c r="J1389" s="1"/>
  <c r="L1389" s="1"/>
  <c r="N1389" s="1"/>
  <c r="P1389" s="1"/>
  <c r="R1389" s="1"/>
  <c r="T1389" s="1"/>
  <c r="H105" i="5"/>
  <c r="G629" i="6"/>
  <c r="G628" s="1"/>
  <c r="G627" s="1"/>
  <c r="H96" i="5"/>
  <c r="H84"/>
  <c r="G645" i="6"/>
  <c r="H646"/>
  <c r="J646" s="1"/>
  <c r="L646" s="1"/>
  <c r="N646" s="1"/>
  <c r="P646" s="1"/>
  <c r="R646" s="1"/>
  <c r="T646" s="1"/>
  <c r="H1388"/>
  <c r="J1388" s="1"/>
  <c r="L1388" s="1"/>
  <c r="N1388" s="1"/>
  <c r="P1388" s="1"/>
  <c r="R1388" s="1"/>
  <c r="T1388" s="1"/>
  <c r="G1387"/>
  <c r="H90" i="5"/>
  <c r="H142"/>
  <c r="H178"/>
  <c r="H202"/>
  <c r="H236"/>
  <c r="H257"/>
  <c r="H269"/>
  <c r="H311"/>
  <c r="I312"/>
  <c r="K312" s="1"/>
  <c r="M312" s="1"/>
  <c r="O312" s="1"/>
  <c r="Q312" s="1"/>
  <c r="S312" s="1"/>
  <c r="U312" s="1"/>
  <c r="G533" i="6"/>
  <c r="H534"/>
  <c r="J534" s="1"/>
  <c r="L534" s="1"/>
  <c r="N534" s="1"/>
  <c r="P534" s="1"/>
  <c r="R534" s="1"/>
  <c r="T534" s="1"/>
  <c r="G747"/>
  <c r="G744" s="1"/>
  <c r="G1332"/>
  <c r="H1332" s="1"/>
  <c r="J1332" s="1"/>
  <c r="L1332" s="1"/>
  <c r="N1332" s="1"/>
  <c r="P1332" s="1"/>
  <c r="R1332" s="1"/>
  <c r="T1332" s="1"/>
  <c r="H1333"/>
  <c r="J1333" s="1"/>
  <c r="L1333" s="1"/>
  <c r="N1333" s="1"/>
  <c r="P1333" s="1"/>
  <c r="R1333" s="1"/>
  <c r="T1333" s="1"/>
  <c r="G1366"/>
  <c r="H1366" s="1"/>
  <c r="J1366" s="1"/>
  <c r="L1366" s="1"/>
  <c r="N1366" s="1"/>
  <c r="P1366" s="1"/>
  <c r="R1366" s="1"/>
  <c r="T1366" s="1"/>
  <c r="H1367"/>
  <c r="J1367" s="1"/>
  <c r="L1367" s="1"/>
  <c r="N1367" s="1"/>
  <c r="P1367" s="1"/>
  <c r="R1367" s="1"/>
  <c r="T1367" s="1"/>
  <c r="G1626"/>
  <c r="H1627"/>
  <c r="J1627" s="1"/>
  <c r="L1627" s="1"/>
  <c r="N1627" s="1"/>
  <c r="P1627" s="1"/>
  <c r="R1627" s="1"/>
  <c r="T1627" s="1"/>
  <c r="H150" i="5"/>
  <c r="H188"/>
  <c r="H288"/>
  <c r="G702" i="6"/>
  <c r="H1330"/>
  <c r="J1330" s="1"/>
  <c r="L1330" s="1"/>
  <c r="N1330" s="1"/>
  <c r="P1330" s="1"/>
  <c r="R1330" s="1"/>
  <c r="T1330" s="1"/>
  <c r="G1443"/>
  <c r="H1444"/>
  <c r="J1444" s="1"/>
  <c r="L1444" s="1"/>
  <c r="N1444" s="1"/>
  <c r="P1444" s="1"/>
  <c r="R1444" s="1"/>
  <c r="T1444" s="1"/>
  <c r="G1475"/>
  <c r="H1476"/>
  <c r="J1476" s="1"/>
  <c r="L1476" s="1"/>
  <c r="N1476" s="1"/>
  <c r="P1476" s="1"/>
  <c r="R1476" s="1"/>
  <c r="T1476" s="1"/>
  <c r="H160" i="5"/>
  <c r="H299"/>
  <c r="G730" i="6"/>
  <c r="H731"/>
  <c r="J731" s="1"/>
  <c r="L731" s="1"/>
  <c r="N731" s="1"/>
  <c r="P731" s="1"/>
  <c r="R731" s="1"/>
  <c r="T731" s="1"/>
  <c r="H572"/>
  <c r="J572" s="1"/>
  <c r="L572" s="1"/>
  <c r="N572" s="1"/>
  <c r="P572" s="1"/>
  <c r="R572" s="1"/>
  <c r="T572" s="1"/>
  <c r="H672"/>
  <c r="J672" s="1"/>
  <c r="L672" s="1"/>
  <c r="N672" s="1"/>
  <c r="P672" s="1"/>
  <c r="R672" s="1"/>
  <c r="T672" s="1"/>
  <c r="H1331"/>
  <c r="J1331" s="1"/>
  <c r="L1331" s="1"/>
  <c r="N1331" s="1"/>
  <c r="P1331" s="1"/>
  <c r="R1331" s="1"/>
  <c r="T1331" s="1"/>
  <c r="I123" i="5"/>
  <c r="K123" s="1"/>
  <c r="M123" s="1"/>
  <c r="O123" s="1"/>
  <c r="Q123" s="1"/>
  <c r="S123" s="1"/>
  <c r="U123" s="1"/>
  <c r="I293"/>
  <c r="K293" s="1"/>
  <c r="M293" s="1"/>
  <c r="O293" s="1"/>
  <c r="Q293" s="1"/>
  <c r="S293" s="1"/>
  <c r="U293" s="1"/>
  <c r="I313"/>
  <c r="K313" s="1"/>
  <c r="M313" s="1"/>
  <c r="O313" s="1"/>
  <c r="Q313" s="1"/>
  <c r="S313" s="1"/>
  <c r="U313" s="1"/>
  <c r="G521" i="6"/>
  <c r="G570"/>
  <c r="G600"/>
  <c r="G605"/>
  <c r="G625"/>
  <c r="G1262"/>
  <c r="G1375"/>
  <c r="G1381"/>
  <c r="G1401"/>
  <c r="G1470"/>
  <c r="G1480"/>
  <c r="H1480" s="1"/>
  <c r="J1480" s="1"/>
  <c r="L1480" s="1"/>
  <c r="N1480" s="1"/>
  <c r="P1480" s="1"/>
  <c r="R1480" s="1"/>
  <c r="T1480" s="1"/>
  <c r="G1486"/>
  <c r="H535"/>
  <c r="J535" s="1"/>
  <c r="L535" s="1"/>
  <c r="N535" s="1"/>
  <c r="P535" s="1"/>
  <c r="R535" s="1"/>
  <c r="T535" s="1"/>
  <c r="H616"/>
  <c r="J616" s="1"/>
  <c r="L616" s="1"/>
  <c r="N616" s="1"/>
  <c r="P616" s="1"/>
  <c r="R616" s="1"/>
  <c r="T616" s="1"/>
  <c r="H647"/>
  <c r="J647" s="1"/>
  <c r="L647" s="1"/>
  <c r="N647" s="1"/>
  <c r="P647" s="1"/>
  <c r="R647" s="1"/>
  <c r="T647" s="1"/>
  <c r="H671"/>
  <c r="J671" s="1"/>
  <c r="L671" s="1"/>
  <c r="N671" s="1"/>
  <c r="P671" s="1"/>
  <c r="R671" s="1"/>
  <c r="T671" s="1"/>
  <c r="H732"/>
  <c r="J732" s="1"/>
  <c r="L732" s="1"/>
  <c r="N732" s="1"/>
  <c r="P732" s="1"/>
  <c r="R732" s="1"/>
  <c r="T732" s="1"/>
  <c r="H1334"/>
  <c r="J1334" s="1"/>
  <c r="L1334" s="1"/>
  <c r="N1334" s="1"/>
  <c r="P1334" s="1"/>
  <c r="R1334" s="1"/>
  <c r="T1334" s="1"/>
  <c r="H1345"/>
  <c r="J1345" s="1"/>
  <c r="L1345" s="1"/>
  <c r="N1345" s="1"/>
  <c r="P1345" s="1"/>
  <c r="R1345" s="1"/>
  <c r="T1345" s="1"/>
  <c r="H1368"/>
  <c r="J1368" s="1"/>
  <c r="L1368" s="1"/>
  <c r="N1368" s="1"/>
  <c r="P1368" s="1"/>
  <c r="R1368" s="1"/>
  <c r="T1368" s="1"/>
  <c r="H1445"/>
  <c r="J1445" s="1"/>
  <c r="L1445" s="1"/>
  <c r="N1445" s="1"/>
  <c r="P1445" s="1"/>
  <c r="R1445" s="1"/>
  <c r="T1445" s="1"/>
  <c r="H1477"/>
  <c r="J1477" s="1"/>
  <c r="L1477" s="1"/>
  <c r="N1477" s="1"/>
  <c r="P1477" s="1"/>
  <c r="R1477" s="1"/>
  <c r="T1477" s="1"/>
  <c r="H1493"/>
  <c r="J1493" s="1"/>
  <c r="L1493" s="1"/>
  <c r="N1493" s="1"/>
  <c r="P1493" s="1"/>
  <c r="R1493" s="1"/>
  <c r="T1493" s="1"/>
  <c r="H1628"/>
  <c r="J1628" s="1"/>
  <c r="L1628" s="1"/>
  <c r="N1628" s="1"/>
  <c r="P1628" s="1"/>
  <c r="R1628" s="1"/>
  <c r="T1628" s="1"/>
  <c r="H117" i="5"/>
  <c r="H128"/>
  <c r="H133"/>
  <c r="H168"/>
  <c r="H212"/>
  <c r="I212" s="1"/>
  <c r="K212" s="1"/>
  <c r="M212" s="1"/>
  <c r="O212" s="1"/>
  <c r="Q212" s="1"/>
  <c r="S212" s="1"/>
  <c r="U212" s="1"/>
  <c r="H227"/>
  <c r="I227" s="1"/>
  <c r="K227" s="1"/>
  <c r="M227" s="1"/>
  <c r="O227" s="1"/>
  <c r="Q227" s="1"/>
  <c r="S227" s="1"/>
  <c r="U227" s="1"/>
  <c r="H247"/>
  <c r="H252"/>
  <c r="H263"/>
  <c r="H307"/>
  <c r="G1407" i="6"/>
  <c r="H529"/>
  <c r="J529" s="1"/>
  <c r="L529" s="1"/>
  <c r="N529" s="1"/>
  <c r="P529" s="1"/>
  <c r="R529" s="1"/>
  <c r="T529" s="1"/>
  <c r="H538"/>
  <c r="J538" s="1"/>
  <c r="L538" s="1"/>
  <c r="N538" s="1"/>
  <c r="P538" s="1"/>
  <c r="R538" s="1"/>
  <c r="T538" s="1"/>
  <c r="H574"/>
  <c r="J574" s="1"/>
  <c r="L574" s="1"/>
  <c r="N574" s="1"/>
  <c r="P574" s="1"/>
  <c r="R574" s="1"/>
  <c r="T574" s="1"/>
  <c r="H595"/>
  <c r="J595" s="1"/>
  <c r="L595" s="1"/>
  <c r="N595" s="1"/>
  <c r="P595" s="1"/>
  <c r="R595" s="1"/>
  <c r="T595" s="1"/>
  <c r="H615"/>
  <c r="J615" s="1"/>
  <c r="L615" s="1"/>
  <c r="N615" s="1"/>
  <c r="P615" s="1"/>
  <c r="R615" s="1"/>
  <c r="T615" s="1"/>
  <c r="H619"/>
  <c r="J619" s="1"/>
  <c r="L619" s="1"/>
  <c r="N619" s="1"/>
  <c r="P619" s="1"/>
  <c r="R619" s="1"/>
  <c r="T619" s="1"/>
  <c r="H631"/>
  <c r="J631" s="1"/>
  <c r="L631" s="1"/>
  <c r="N631" s="1"/>
  <c r="P631" s="1"/>
  <c r="R631" s="1"/>
  <c r="T631" s="1"/>
  <c r="H674"/>
  <c r="J674" s="1"/>
  <c r="L674" s="1"/>
  <c r="N674" s="1"/>
  <c r="P674" s="1"/>
  <c r="R674" s="1"/>
  <c r="T674" s="1"/>
  <c r="H739"/>
  <c r="J739" s="1"/>
  <c r="L739" s="1"/>
  <c r="N739" s="1"/>
  <c r="P739" s="1"/>
  <c r="R739" s="1"/>
  <c r="T739" s="1"/>
  <c r="H1348"/>
  <c r="J1348" s="1"/>
  <c r="L1348" s="1"/>
  <c r="N1348" s="1"/>
  <c r="P1348" s="1"/>
  <c r="R1348" s="1"/>
  <c r="T1348" s="1"/>
  <c r="H1352"/>
  <c r="J1352" s="1"/>
  <c r="L1352" s="1"/>
  <c r="N1352" s="1"/>
  <c r="P1352" s="1"/>
  <c r="R1352" s="1"/>
  <c r="T1352" s="1"/>
  <c r="H1356"/>
  <c r="J1356" s="1"/>
  <c r="L1356" s="1"/>
  <c r="N1356" s="1"/>
  <c r="P1356" s="1"/>
  <c r="R1356" s="1"/>
  <c r="T1356" s="1"/>
  <c r="H1363"/>
  <c r="J1363" s="1"/>
  <c r="L1363" s="1"/>
  <c r="N1363" s="1"/>
  <c r="P1363" s="1"/>
  <c r="R1363" s="1"/>
  <c r="T1363" s="1"/>
  <c r="H1371"/>
  <c r="J1371" s="1"/>
  <c r="L1371" s="1"/>
  <c r="N1371" s="1"/>
  <c r="P1371" s="1"/>
  <c r="R1371" s="1"/>
  <c r="T1371" s="1"/>
  <c r="H1379"/>
  <c r="J1379" s="1"/>
  <c r="L1379" s="1"/>
  <c r="N1379" s="1"/>
  <c r="P1379" s="1"/>
  <c r="R1379" s="1"/>
  <c r="T1379" s="1"/>
  <c r="H1383"/>
  <c r="J1383" s="1"/>
  <c r="L1383" s="1"/>
  <c r="N1383" s="1"/>
  <c r="P1383" s="1"/>
  <c r="R1383" s="1"/>
  <c r="T1383" s="1"/>
  <c r="H1428"/>
  <c r="J1428" s="1"/>
  <c r="L1428" s="1"/>
  <c r="N1428" s="1"/>
  <c r="P1428" s="1"/>
  <c r="R1428" s="1"/>
  <c r="T1428" s="1"/>
  <c r="H1484"/>
  <c r="J1484" s="1"/>
  <c r="L1484" s="1"/>
  <c r="N1484" s="1"/>
  <c r="P1484" s="1"/>
  <c r="R1484" s="1"/>
  <c r="T1484" s="1"/>
  <c r="H1496"/>
  <c r="J1496" s="1"/>
  <c r="L1496" s="1"/>
  <c r="N1496" s="1"/>
  <c r="P1496" s="1"/>
  <c r="R1496" s="1"/>
  <c r="T1496" s="1"/>
  <c r="H593"/>
  <c r="J593" s="1"/>
  <c r="L593" s="1"/>
  <c r="N593" s="1"/>
  <c r="P593" s="1"/>
  <c r="R593" s="1"/>
  <c r="T593" s="1"/>
  <c r="H617"/>
  <c r="J617" s="1"/>
  <c r="L617" s="1"/>
  <c r="N617" s="1"/>
  <c r="P617" s="1"/>
  <c r="R617" s="1"/>
  <c r="T617" s="1"/>
  <c r="G1342"/>
  <c r="H528"/>
  <c r="J528" s="1"/>
  <c r="L528" s="1"/>
  <c r="N528" s="1"/>
  <c r="P528" s="1"/>
  <c r="R528" s="1"/>
  <c r="T528" s="1"/>
  <c r="H537"/>
  <c r="J537" s="1"/>
  <c r="L537" s="1"/>
  <c r="N537" s="1"/>
  <c r="P537" s="1"/>
  <c r="R537" s="1"/>
  <c r="T537" s="1"/>
  <c r="H573"/>
  <c r="J573" s="1"/>
  <c r="L573" s="1"/>
  <c r="N573" s="1"/>
  <c r="P573" s="1"/>
  <c r="R573" s="1"/>
  <c r="T573" s="1"/>
  <c r="H594"/>
  <c r="J594" s="1"/>
  <c r="L594" s="1"/>
  <c r="N594" s="1"/>
  <c r="P594" s="1"/>
  <c r="R594" s="1"/>
  <c r="T594" s="1"/>
  <c r="H618"/>
  <c r="J618" s="1"/>
  <c r="L618" s="1"/>
  <c r="N618" s="1"/>
  <c r="P618" s="1"/>
  <c r="R618" s="1"/>
  <c r="T618" s="1"/>
  <c r="H630"/>
  <c r="J630" s="1"/>
  <c r="L630" s="1"/>
  <c r="N630" s="1"/>
  <c r="P630" s="1"/>
  <c r="R630" s="1"/>
  <c r="T630" s="1"/>
  <c r="H673"/>
  <c r="J673" s="1"/>
  <c r="L673" s="1"/>
  <c r="N673" s="1"/>
  <c r="P673" s="1"/>
  <c r="R673" s="1"/>
  <c r="T673" s="1"/>
  <c r="H1347"/>
  <c r="J1347" s="1"/>
  <c r="L1347" s="1"/>
  <c r="N1347" s="1"/>
  <c r="P1347" s="1"/>
  <c r="R1347" s="1"/>
  <c r="T1347" s="1"/>
  <c r="H1355"/>
  <c r="J1355" s="1"/>
  <c r="L1355" s="1"/>
  <c r="N1355" s="1"/>
  <c r="P1355" s="1"/>
  <c r="R1355" s="1"/>
  <c r="T1355" s="1"/>
  <c r="H1370"/>
  <c r="J1370" s="1"/>
  <c r="L1370" s="1"/>
  <c r="N1370" s="1"/>
  <c r="P1370" s="1"/>
  <c r="R1370" s="1"/>
  <c r="T1370" s="1"/>
  <c r="H1378"/>
  <c r="J1378" s="1"/>
  <c r="L1378" s="1"/>
  <c r="N1378" s="1"/>
  <c r="P1378" s="1"/>
  <c r="R1378" s="1"/>
  <c r="T1378" s="1"/>
  <c r="H1427"/>
  <c r="J1427" s="1"/>
  <c r="L1427" s="1"/>
  <c r="N1427" s="1"/>
  <c r="P1427" s="1"/>
  <c r="R1427" s="1"/>
  <c r="T1427" s="1"/>
  <c r="H1483"/>
  <c r="J1483" s="1"/>
  <c r="L1483" s="1"/>
  <c r="N1483" s="1"/>
  <c r="P1483" s="1"/>
  <c r="R1483" s="1"/>
  <c r="T1483" s="1"/>
  <c r="H1495"/>
  <c r="J1495" s="1"/>
  <c r="L1495" s="1"/>
  <c r="N1495" s="1"/>
  <c r="P1495" s="1"/>
  <c r="R1495" s="1"/>
  <c r="T1495" s="1"/>
  <c r="H74" i="5"/>
  <c r="G1743" i="6"/>
  <c r="H1743" s="1"/>
  <c r="J1743" s="1"/>
  <c r="L1743" s="1"/>
  <c r="N1743" s="1"/>
  <c r="P1743" s="1"/>
  <c r="R1743" s="1"/>
  <c r="T1743" s="1"/>
  <c r="H43" i="5"/>
  <c r="H34"/>
  <c r="H33" s="1"/>
  <c r="H26"/>
  <c r="I27"/>
  <c r="K27" s="1"/>
  <c r="M27" s="1"/>
  <c r="O27" s="1"/>
  <c r="Q27" s="1"/>
  <c r="S27" s="1"/>
  <c r="U27" s="1"/>
  <c r="I28"/>
  <c r="K28" s="1"/>
  <c r="M28" s="1"/>
  <c r="O28" s="1"/>
  <c r="Q28" s="1"/>
  <c r="S28" s="1"/>
  <c r="U28" s="1"/>
  <c r="G56" i="6"/>
  <c r="G55" s="1"/>
  <c r="G54" s="1"/>
  <c r="G53" s="1"/>
  <c r="G152"/>
  <c r="G151" s="1"/>
  <c r="G150" s="1"/>
  <c r="G209"/>
  <c r="G208" s="1"/>
  <c r="G236"/>
  <c r="G258"/>
  <c r="G161"/>
  <c r="G351"/>
  <c r="G344" s="1"/>
  <c r="G130"/>
  <c r="G1541"/>
  <c r="G675"/>
  <c r="G669" s="1"/>
  <c r="G1103"/>
  <c r="G1102" s="1"/>
  <c r="G1522"/>
  <c r="G1562"/>
  <c r="G1561" s="1"/>
  <c r="G689"/>
  <c r="G1058"/>
  <c r="G1551"/>
  <c r="G1550" s="1"/>
  <c r="F1381"/>
  <c r="F1380" s="1"/>
  <c r="F898"/>
  <c r="F79"/>
  <c r="F93"/>
  <c r="F56"/>
  <c r="F495"/>
  <c r="H1733" i="5"/>
  <c r="H1732" s="1"/>
  <c r="H1731" s="1"/>
  <c r="H1730" s="1"/>
  <c r="H1724" s="1"/>
  <c r="H1718"/>
  <c r="H1717" s="1"/>
  <c r="H1716" s="1"/>
  <c r="H1715" s="1"/>
  <c r="E41" i="1" s="1"/>
  <c r="H1595" i="5"/>
  <c r="H1583"/>
  <c r="H1566"/>
  <c r="H1486"/>
  <c r="H1485" s="1"/>
  <c r="H1484" s="1"/>
  <c r="H1447"/>
  <c r="H1446" s="1"/>
  <c r="H1422"/>
  <c r="H1421" s="1"/>
  <c r="H1408"/>
  <c r="H1282"/>
  <c r="H1281" s="1"/>
  <c r="H1280" s="1"/>
  <c r="H1279" s="1"/>
  <c r="H1273" s="1"/>
  <c r="E62" i="1" s="1"/>
  <c r="H1247" i="5"/>
  <c r="H1243" s="1"/>
  <c r="H1199"/>
  <c r="H1181"/>
  <c r="H1180" s="1"/>
  <c r="H1179" s="1"/>
  <c r="H1178" s="1"/>
  <c r="H1108"/>
  <c r="H1088"/>
  <c r="H1079"/>
  <c r="H1034"/>
  <c r="H1033" s="1"/>
  <c r="H1032" s="1"/>
  <c r="H1019"/>
  <c r="H865"/>
  <c r="H864" s="1"/>
  <c r="H863" s="1"/>
  <c r="H862" s="1"/>
  <c r="H861" s="1"/>
  <c r="H839"/>
  <c r="H838" s="1"/>
  <c r="E57" i="1" s="1"/>
  <c r="H1066" i="5"/>
  <c r="H1337"/>
  <c r="H1329" s="1"/>
  <c r="H1471"/>
  <c r="H1633"/>
  <c r="H1628" s="1"/>
  <c r="H1627" s="1"/>
  <c r="H981"/>
  <c r="H998"/>
  <c r="H1298"/>
  <c r="H1297" s="1"/>
  <c r="H1296" s="1"/>
  <c r="H1642"/>
  <c r="H1641" s="1"/>
  <c r="H1640" s="1"/>
  <c r="H820"/>
  <c r="H819" s="1"/>
  <c r="H812"/>
  <c r="H800" s="1"/>
  <c r="H799" s="1"/>
  <c r="H771"/>
  <c r="H767" s="1"/>
  <c r="H757"/>
  <c r="H678"/>
  <c r="H677" s="1"/>
  <c r="H666"/>
  <c r="H657"/>
  <c r="H607"/>
  <c r="H590"/>
  <c r="H589" s="1"/>
  <c r="H562"/>
  <c r="H561" s="1"/>
  <c r="H560" s="1"/>
  <c r="H559" s="1"/>
  <c r="H550"/>
  <c r="H517"/>
  <c r="H516"/>
  <c r="H515" s="1"/>
  <c r="H514" s="1"/>
  <c r="H513" s="1"/>
  <c r="E39" i="1" s="1"/>
  <c r="H486" i="5"/>
  <c r="H485" s="1"/>
  <c r="H478" s="1"/>
  <c r="E36" i="1" s="1"/>
  <c r="H461" i="5"/>
  <c r="H378"/>
  <c r="H377" s="1"/>
  <c r="H370" s="1"/>
  <c r="H341"/>
  <c r="H340" s="1"/>
  <c r="H314"/>
  <c r="F575" i="6"/>
  <c r="F201"/>
  <c r="F1479"/>
  <c r="F1478" s="1"/>
  <c r="F591"/>
  <c r="F533"/>
  <c r="F532" s="1"/>
  <c r="F531" s="1"/>
  <c r="F628"/>
  <c r="F503"/>
  <c r="G517" i="5"/>
  <c r="G305"/>
  <c r="G1325" l="1"/>
  <c r="G1324" s="1"/>
  <c r="I189"/>
  <c r="K189" s="1"/>
  <c r="M189" s="1"/>
  <c r="O189" s="1"/>
  <c r="Q189" s="1"/>
  <c r="S189" s="1"/>
  <c r="U189" s="1"/>
  <c r="I183"/>
  <c r="K183" s="1"/>
  <c r="M183" s="1"/>
  <c r="O183" s="1"/>
  <c r="Q183" s="1"/>
  <c r="S183" s="1"/>
  <c r="U183" s="1"/>
  <c r="N31" i="6"/>
  <c r="P31" s="1"/>
  <c r="R31" s="1"/>
  <c r="T31" s="1"/>
  <c r="L26"/>
  <c r="N26" s="1"/>
  <c r="P26" s="1"/>
  <c r="R26" s="1"/>
  <c r="T26" s="1"/>
  <c r="G834" i="5"/>
  <c r="I143"/>
  <c r="K143" s="1"/>
  <c r="M143" s="1"/>
  <c r="O143" s="1"/>
  <c r="Q143" s="1"/>
  <c r="S143" s="1"/>
  <c r="U143" s="1"/>
  <c r="H588"/>
  <c r="I43"/>
  <c r="K43" s="1"/>
  <c r="M43" s="1"/>
  <c r="O43" s="1"/>
  <c r="Q43" s="1"/>
  <c r="S43" s="1"/>
  <c r="U43" s="1"/>
  <c r="I878"/>
  <c r="K878" s="1"/>
  <c r="M878" s="1"/>
  <c r="O878" s="1"/>
  <c r="Q878" s="1"/>
  <c r="S878" s="1"/>
  <c r="U878" s="1"/>
  <c r="H1217"/>
  <c r="H1209" s="1"/>
  <c r="G288"/>
  <c r="H1232"/>
  <c r="H1231" s="1"/>
  <c r="H1230" s="1"/>
  <c r="I155"/>
  <c r="K155" s="1"/>
  <c r="M155" s="1"/>
  <c r="O155" s="1"/>
  <c r="Q155" s="1"/>
  <c r="S155" s="1"/>
  <c r="U155" s="1"/>
  <c r="I880"/>
  <c r="K880" s="1"/>
  <c r="M880" s="1"/>
  <c r="O880" s="1"/>
  <c r="Q880" s="1"/>
  <c r="S880" s="1"/>
  <c r="U880" s="1"/>
  <c r="H1031" i="6"/>
  <c r="J1031" s="1"/>
  <c r="L1031" s="1"/>
  <c r="N1031" s="1"/>
  <c r="P1031" s="1"/>
  <c r="R1031" s="1"/>
  <c r="T1031" s="1"/>
  <c r="H224"/>
  <c r="J224" s="1"/>
  <c r="L224" s="1"/>
  <c r="N224" s="1"/>
  <c r="P224" s="1"/>
  <c r="R224" s="1"/>
  <c r="T224" s="1"/>
  <c r="I203" i="5"/>
  <c r="K203" s="1"/>
  <c r="M203" s="1"/>
  <c r="O203" s="1"/>
  <c r="Q203" s="1"/>
  <c r="S203" s="1"/>
  <c r="U203" s="1"/>
  <c r="H1361" i="6"/>
  <c r="J1361" s="1"/>
  <c r="L1361" s="1"/>
  <c r="N1361" s="1"/>
  <c r="P1361" s="1"/>
  <c r="R1361" s="1"/>
  <c r="T1361" s="1"/>
  <c r="H201"/>
  <c r="J201" s="1"/>
  <c r="L201" s="1"/>
  <c r="N201" s="1"/>
  <c r="P201" s="1"/>
  <c r="R201" s="1"/>
  <c r="T201" s="1"/>
  <c r="F925"/>
  <c r="F924" s="1"/>
  <c r="F923" s="1"/>
  <c r="H923" s="1"/>
  <c r="J923" s="1"/>
  <c r="L923" s="1"/>
  <c r="N923" s="1"/>
  <c r="P923" s="1"/>
  <c r="R923" s="1"/>
  <c r="T923" s="1"/>
  <c r="F1403"/>
  <c r="F1396" s="1"/>
  <c r="H922"/>
  <c r="J922" s="1"/>
  <c r="L922" s="1"/>
  <c r="N922" s="1"/>
  <c r="P922" s="1"/>
  <c r="R922" s="1"/>
  <c r="T922" s="1"/>
  <c r="K103" i="5"/>
  <c r="M103" s="1"/>
  <c r="O103" s="1"/>
  <c r="Q103" s="1"/>
  <c r="S103" s="1"/>
  <c r="U103" s="1"/>
  <c r="I100"/>
  <c r="K100" s="1"/>
  <c r="M100" s="1"/>
  <c r="O100" s="1"/>
  <c r="Q100" s="1"/>
  <c r="S100" s="1"/>
  <c r="U100" s="1"/>
  <c r="I877"/>
  <c r="K877" s="1"/>
  <c r="M877" s="1"/>
  <c r="O877" s="1"/>
  <c r="Q877" s="1"/>
  <c r="S877" s="1"/>
  <c r="U877" s="1"/>
  <c r="G516"/>
  <c r="G515" s="1"/>
  <c r="I202"/>
  <c r="K202" s="1"/>
  <c r="M202" s="1"/>
  <c r="O202" s="1"/>
  <c r="Q202" s="1"/>
  <c r="S202" s="1"/>
  <c r="U202" s="1"/>
  <c r="I881"/>
  <c r="K881" s="1"/>
  <c r="M881" s="1"/>
  <c r="O881" s="1"/>
  <c r="Q881" s="1"/>
  <c r="S881" s="1"/>
  <c r="U881" s="1"/>
  <c r="I879"/>
  <c r="K879" s="1"/>
  <c r="M879" s="1"/>
  <c r="O879" s="1"/>
  <c r="Q879" s="1"/>
  <c r="S879" s="1"/>
  <c r="U879" s="1"/>
  <c r="G679"/>
  <c r="G678" s="1"/>
  <c r="G256"/>
  <c r="I161"/>
  <c r="K161" s="1"/>
  <c r="M161" s="1"/>
  <c r="O161" s="1"/>
  <c r="Q161" s="1"/>
  <c r="S161" s="1"/>
  <c r="U161" s="1"/>
  <c r="I882"/>
  <c r="K882" s="1"/>
  <c r="M882" s="1"/>
  <c r="O882" s="1"/>
  <c r="Q882" s="1"/>
  <c r="S882" s="1"/>
  <c r="U882" s="1"/>
  <c r="J966"/>
  <c r="J908" s="1"/>
  <c r="I179"/>
  <c r="K179" s="1"/>
  <c r="M179" s="1"/>
  <c r="O179" s="1"/>
  <c r="Q179" s="1"/>
  <c r="S179" s="1"/>
  <c r="U179" s="1"/>
  <c r="E25" i="1"/>
  <c r="F25" s="1"/>
  <c r="H25" s="1"/>
  <c r="J25" s="1"/>
  <c r="L25" s="1"/>
  <c r="N25" s="1"/>
  <c r="P25" s="1"/>
  <c r="R25" s="1"/>
  <c r="J21" i="5"/>
  <c r="G48" i="1"/>
  <c r="F190" i="6"/>
  <c r="H190" s="1"/>
  <c r="J190" s="1"/>
  <c r="L190" s="1"/>
  <c r="N190" s="1"/>
  <c r="P190" s="1"/>
  <c r="R190" s="1"/>
  <c r="T190" s="1"/>
  <c r="G1285"/>
  <c r="F1326"/>
  <c r="H62"/>
  <c r="J62" s="1"/>
  <c r="L62" s="1"/>
  <c r="N62" s="1"/>
  <c r="P62" s="1"/>
  <c r="R62" s="1"/>
  <c r="T62" s="1"/>
  <c r="H1806"/>
  <c r="J1806" s="1"/>
  <c r="L1806" s="1"/>
  <c r="N1806" s="1"/>
  <c r="P1806" s="1"/>
  <c r="R1806" s="1"/>
  <c r="T1806" s="1"/>
  <c r="I106" i="5"/>
  <c r="K106" s="1"/>
  <c r="M106" s="1"/>
  <c r="O106" s="1"/>
  <c r="Q106" s="1"/>
  <c r="S106" s="1"/>
  <c r="U106" s="1"/>
  <c r="I274"/>
  <c r="K274" s="1"/>
  <c r="M274" s="1"/>
  <c r="O274" s="1"/>
  <c r="Q274" s="1"/>
  <c r="S274" s="1"/>
  <c r="U274" s="1"/>
  <c r="I300"/>
  <c r="K300" s="1"/>
  <c r="M300" s="1"/>
  <c r="O300" s="1"/>
  <c r="Q300" s="1"/>
  <c r="S300" s="1"/>
  <c r="U300" s="1"/>
  <c r="I237"/>
  <c r="K237" s="1"/>
  <c r="M237" s="1"/>
  <c r="O237" s="1"/>
  <c r="Q237" s="1"/>
  <c r="S237" s="1"/>
  <c r="U237" s="1"/>
  <c r="I259"/>
  <c r="K259" s="1"/>
  <c r="M259" s="1"/>
  <c r="O259" s="1"/>
  <c r="Q259" s="1"/>
  <c r="S259" s="1"/>
  <c r="U259" s="1"/>
  <c r="F211" i="6"/>
  <c r="F210" s="1"/>
  <c r="G1392" i="5"/>
  <c r="I1392" s="1"/>
  <c r="K1392" s="1"/>
  <c r="M1392" s="1"/>
  <c r="O1392" s="1"/>
  <c r="Q1392" s="1"/>
  <c r="S1392" s="1"/>
  <c r="U1392" s="1"/>
  <c r="I258"/>
  <c r="K258" s="1"/>
  <c r="M258" s="1"/>
  <c r="O258" s="1"/>
  <c r="Q258" s="1"/>
  <c r="S258" s="1"/>
  <c r="U258" s="1"/>
  <c r="I87"/>
  <c r="K87" s="1"/>
  <c r="M87" s="1"/>
  <c r="O87" s="1"/>
  <c r="Q87" s="1"/>
  <c r="S87" s="1"/>
  <c r="U87" s="1"/>
  <c r="I105"/>
  <c r="K105" s="1"/>
  <c r="M105" s="1"/>
  <c r="O105" s="1"/>
  <c r="Q105" s="1"/>
  <c r="S105" s="1"/>
  <c r="U105" s="1"/>
  <c r="I270"/>
  <c r="K270" s="1"/>
  <c r="M270" s="1"/>
  <c r="O270" s="1"/>
  <c r="Q270" s="1"/>
  <c r="S270" s="1"/>
  <c r="U270" s="1"/>
  <c r="I196"/>
  <c r="K196" s="1"/>
  <c r="M196" s="1"/>
  <c r="O196" s="1"/>
  <c r="Q196" s="1"/>
  <c r="S196" s="1"/>
  <c r="U196" s="1"/>
  <c r="I1549"/>
  <c r="K1549" s="1"/>
  <c r="M1549" s="1"/>
  <c r="O1549" s="1"/>
  <c r="Q1549" s="1"/>
  <c r="S1549" s="1"/>
  <c r="U1549" s="1"/>
  <c r="H628"/>
  <c r="H627" s="1"/>
  <c r="H626" s="1"/>
  <c r="I248"/>
  <c r="K248" s="1"/>
  <c r="M248" s="1"/>
  <c r="O248" s="1"/>
  <c r="Q248" s="1"/>
  <c r="S248" s="1"/>
  <c r="U248" s="1"/>
  <c r="G1519"/>
  <c r="I1519" s="1"/>
  <c r="K1519" s="1"/>
  <c r="M1519" s="1"/>
  <c r="O1519" s="1"/>
  <c r="Q1519" s="1"/>
  <c r="S1519" s="1"/>
  <c r="U1519" s="1"/>
  <c r="H424"/>
  <c r="I424" s="1"/>
  <c r="K424" s="1"/>
  <c r="M424" s="1"/>
  <c r="O424" s="1"/>
  <c r="Q424" s="1"/>
  <c r="S424" s="1"/>
  <c r="U424" s="1"/>
  <c r="F1374" i="6"/>
  <c r="F1373" s="1"/>
  <c r="F1372" s="1"/>
  <c r="F1365" s="1"/>
  <c r="I46" i="5"/>
  <c r="K46" s="1"/>
  <c r="M46" s="1"/>
  <c r="O46" s="1"/>
  <c r="Q46" s="1"/>
  <c r="S46" s="1"/>
  <c r="U46" s="1"/>
  <c r="I445"/>
  <c r="K445" s="1"/>
  <c r="M445" s="1"/>
  <c r="O445" s="1"/>
  <c r="Q445" s="1"/>
  <c r="S445" s="1"/>
  <c r="U445" s="1"/>
  <c r="I446"/>
  <c r="K446" s="1"/>
  <c r="M446" s="1"/>
  <c r="O446" s="1"/>
  <c r="Q446" s="1"/>
  <c r="S446" s="1"/>
  <c r="U446" s="1"/>
  <c r="I150"/>
  <c r="K150" s="1"/>
  <c r="M150" s="1"/>
  <c r="O150" s="1"/>
  <c r="Q150" s="1"/>
  <c r="S150" s="1"/>
  <c r="U150" s="1"/>
  <c r="I146"/>
  <c r="K146" s="1"/>
  <c r="M146" s="1"/>
  <c r="O146" s="1"/>
  <c r="Q146" s="1"/>
  <c r="S146" s="1"/>
  <c r="U146" s="1"/>
  <c r="F1809" i="6"/>
  <c r="H1809" s="1"/>
  <c r="J1809" s="1"/>
  <c r="L1809" s="1"/>
  <c r="N1809" s="1"/>
  <c r="P1809" s="1"/>
  <c r="R1809" s="1"/>
  <c r="T1809" s="1"/>
  <c r="I151" i="5"/>
  <c r="K151" s="1"/>
  <c r="M151" s="1"/>
  <c r="O151" s="1"/>
  <c r="Q151" s="1"/>
  <c r="S151" s="1"/>
  <c r="U151" s="1"/>
  <c r="I147"/>
  <c r="K147" s="1"/>
  <c r="M147" s="1"/>
  <c r="O147" s="1"/>
  <c r="Q147" s="1"/>
  <c r="S147" s="1"/>
  <c r="U147" s="1"/>
  <c r="I510"/>
  <c r="K510" s="1"/>
  <c r="M510" s="1"/>
  <c r="O510" s="1"/>
  <c r="Q510" s="1"/>
  <c r="S510" s="1"/>
  <c r="U510" s="1"/>
  <c r="F390" i="6"/>
  <c r="H390" s="1"/>
  <c r="J390" s="1"/>
  <c r="L390" s="1"/>
  <c r="N390" s="1"/>
  <c r="P390" s="1"/>
  <c r="R390" s="1"/>
  <c r="T390" s="1"/>
  <c r="G52" i="5"/>
  <c r="I52" s="1"/>
  <c r="K52" s="1"/>
  <c r="M52" s="1"/>
  <c r="O52" s="1"/>
  <c r="Q52" s="1"/>
  <c r="S52" s="1"/>
  <c r="U52" s="1"/>
  <c r="G1003"/>
  <c r="I1003" s="1"/>
  <c r="K1003" s="1"/>
  <c r="M1003" s="1"/>
  <c r="O1003" s="1"/>
  <c r="Q1003" s="1"/>
  <c r="S1003" s="1"/>
  <c r="U1003" s="1"/>
  <c r="G177"/>
  <c r="F1788" i="6"/>
  <c r="F1787" s="1"/>
  <c r="G29" i="1"/>
  <c r="H847" i="6"/>
  <c r="J847" s="1"/>
  <c r="L847" s="1"/>
  <c r="N847" s="1"/>
  <c r="P847" s="1"/>
  <c r="R847" s="1"/>
  <c r="T847" s="1"/>
  <c r="I119" i="5"/>
  <c r="K119" s="1"/>
  <c r="M119" s="1"/>
  <c r="O119" s="1"/>
  <c r="Q119" s="1"/>
  <c r="S119" s="1"/>
  <c r="U119" s="1"/>
  <c r="G224"/>
  <c r="G223" s="1"/>
  <c r="G222" s="1"/>
  <c r="H508" i="6"/>
  <c r="J508" s="1"/>
  <c r="L508" s="1"/>
  <c r="N508" s="1"/>
  <c r="P508" s="1"/>
  <c r="R508" s="1"/>
  <c r="T508" s="1"/>
  <c r="G776" i="5"/>
  <c r="I776" s="1"/>
  <c r="K776" s="1"/>
  <c r="M776" s="1"/>
  <c r="O776" s="1"/>
  <c r="Q776" s="1"/>
  <c r="S776" s="1"/>
  <c r="U776" s="1"/>
  <c r="H734" i="6"/>
  <c r="J734" s="1"/>
  <c r="L734" s="1"/>
  <c r="N734" s="1"/>
  <c r="P734" s="1"/>
  <c r="R734" s="1"/>
  <c r="T734" s="1"/>
  <c r="F99"/>
  <c r="F98" s="1"/>
  <c r="J585" i="5"/>
  <c r="J572" s="1"/>
  <c r="G44" i="1"/>
  <c r="G43" s="1"/>
  <c r="J894" i="5"/>
  <c r="H852" i="6"/>
  <c r="J852" s="1"/>
  <c r="L852" s="1"/>
  <c r="N852" s="1"/>
  <c r="P852" s="1"/>
  <c r="R852" s="1"/>
  <c r="T852" s="1"/>
  <c r="H853"/>
  <c r="J853" s="1"/>
  <c r="L853" s="1"/>
  <c r="N853" s="1"/>
  <c r="P853" s="1"/>
  <c r="R853" s="1"/>
  <c r="T853" s="1"/>
  <c r="G58" i="1"/>
  <c r="F1288" i="6"/>
  <c r="H1288" s="1"/>
  <c r="J1288" s="1"/>
  <c r="L1288" s="1"/>
  <c r="N1288" s="1"/>
  <c r="P1288" s="1"/>
  <c r="R1288" s="1"/>
  <c r="T1288" s="1"/>
  <c r="F1295"/>
  <c r="F1294" s="1"/>
  <c r="H703"/>
  <c r="J703" s="1"/>
  <c r="L703" s="1"/>
  <c r="N703" s="1"/>
  <c r="P703" s="1"/>
  <c r="R703" s="1"/>
  <c r="T703" s="1"/>
  <c r="H72"/>
  <c r="J72" s="1"/>
  <c r="L72" s="1"/>
  <c r="N72" s="1"/>
  <c r="P72" s="1"/>
  <c r="R72" s="1"/>
  <c r="T72" s="1"/>
  <c r="H61"/>
  <c r="J61" s="1"/>
  <c r="L61" s="1"/>
  <c r="N61" s="1"/>
  <c r="P61" s="1"/>
  <c r="R61" s="1"/>
  <c r="T61" s="1"/>
  <c r="F227"/>
  <c r="H227" s="1"/>
  <c r="J227" s="1"/>
  <c r="L227" s="1"/>
  <c r="N227" s="1"/>
  <c r="P227" s="1"/>
  <c r="R227" s="1"/>
  <c r="T227" s="1"/>
  <c r="F1523"/>
  <c r="H1523" s="1"/>
  <c r="J1523" s="1"/>
  <c r="L1523" s="1"/>
  <c r="N1523" s="1"/>
  <c r="P1523" s="1"/>
  <c r="R1523" s="1"/>
  <c r="T1523" s="1"/>
  <c r="I917"/>
  <c r="I906" s="1"/>
  <c r="J120"/>
  <c r="L120" s="1"/>
  <c r="N120" s="1"/>
  <c r="P120" s="1"/>
  <c r="R120" s="1"/>
  <c r="T120" s="1"/>
  <c r="I113"/>
  <c r="G1487" i="5"/>
  <c r="I1487" s="1"/>
  <c r="K1487" s="1"/>
  <c r="M1487" s="1"/>
  <c r="O1487" s="1"/>
  <c r="Q1487" s="1"/>
  <c r="S1487" s="1"/>
  <c r="U1487" s="1"/>
  <c r="I1102"/>
  <c r="K1102" s="1"/>
  <c r="M1102" s="1"/>
  <c r="O1102" s="1"/>
  <c r="Q1102" s="1"/>
  <c r="S1102" s="1"/>
  <c r="U1102" s="1"/>
  <c r="H1714"/>
  <c r="H1713" s="1"/>
  <c r="H112" i="6"/>
  <c r="G75"/>
  <c r="F1028"/>
  <c r="H1028" s="1"/>
  <c r="J1028" s="1"/>
  <c r="L1028" s="1"/>
  <c r="N1028" s="1"/>
  <c r="P1028" s="1"/>
  <c r="R1028" s="1"/>
  <c r="T1028" s="1"/>
  <c r="H1029"/>
  <c r="J1029" s="1"/>
  <c r="L1029" s="1"/>
  <c r="N1029" s="1"/>
  <c r="P1029" s="1"/>
  <c r="R1029" s="1"/>
  <c r="T1029" s="1"/>
  <c r="H110"/>
  <c r="J110" s="1"/>
  <c r="L110" s="1"/>
  <c r="N110" s="1"/>
  <c r="P110" s="1"/>
  <c r="R110" s="1"/>
  <c r="T110" s="1"/>
  <c r="F992"/>
  <c r="H992" s="1"/>
  <c r="J992" s="1"/>
  <c r="L992" s="1"/>
  <c r="N992" s="1"/>
  <c r="P992" s="1"/>
  <c r="R992" s="1"/>
  <c r="T992" s="1"/>
  <c r="H107"/>
  <c r="J107" s="1"/>
  <c r="L107" s="1"/>
  <c r="N107" s="1"/>
  <c r="P107" s="1"/>
  <c r="R107" s="1"/>
  <c r="T107" s="1"/>
  <c r="H113"/>
  <c r="H930"/>
  <c r="J930" s="1"/>
  <c r="L930" s="1"/>
  <c r="N930" s="1"/>
  <c r="P930" s="1"/>
  <c r="R930" s="1"/>
  <c r="T930" s="1"/>
  <c r="I264" i="5"/>
  <c r="K264" s="1"/>
  <c r="M264" s="1"/>
  <c r="O264" s="1"/>
  <c r="Q264" s="1"/>
  <c r="S264" s="1"/>
  <c r="U264" s="1"/>
  <c r="G1332"/>
  <c r="G1331" s="1"/>
  <c r="G1084"/>
  <c r="I1084" s="1"/>
  <c r="K1084" s="1"/>
  <c r="M1084" s="1"/>
  <c r="O1084" s="1"/>
  <c r="Q1084" s="1"/>
  <c r="S1084" s="1"/>
  <c r="U1084" s="1"/>
  <c r="G1264"/>
  <c r="G1263" s="1"/>
  <c r="H730"/>
  <c r="F654" i="6"/>
  <c r="F650" s="1"/>
  <c r="G52"/>
  <c r="H32" i="5"/>
  <c r="H31" s="1"/>
  <c r="H577" i="6"/>
  <c r="J577" s="1"/>
  <c r="L577" s="1"/>
  <c r="N577" s="1"/>
  <c r="P577" s="1"/>
  <c r="R577" s="1"/>
  <c r="T577" s="1"/>
  <c r="H846"/>
  <c r="J846" s="1"/>
  <c r="L846" s="1"/>
  <c r="N846" s="1"/>
  <c r="P846" s="1"/>
  <c r="R846" s="1"/>
  <c r="T846" s="1"/>
  <c r="G812" i="5"/>
  <c r="I812" s="1"/>
  <c r="K812" s="1"/>
  <c r="M812" s="1"/>
  <c r="O812" s="1"/>
  <c r="Q812" s="1"/>
  <c r="S812" s="1"/>
  <c r="U812" s="1"/>
  <c r="G209"/>
  <c r="G192" s="1"/>
  <c r="G186" s="1"/>
  <c r="H1236" i="6"/>
  <c r="J1236" s="1"/>
  <c r="L1236" s="1"/>
  <c r="N1236" s="1"/>
  <c r="P1236" s="1"/>
  <c r="R1236" s="1"/>
  <c r="T1236" s="1"/>
  <c r="H73"/>
  <c r="J73" s="1"/>
  <c r="L73" s="1"/>
  <c r="N73" s="1"/>
  <c r="P73" s="1"/>
  <c r="R73" s="1"/>
  <c r="T73" s="1"/>
  <c r="H1235"/>
  <c r="J1235" s="1"/>
  <c r="L1235" s="1"/>
  <c r="N1235" s="1"/>
  <c r="P1235" s="1"/>
  <c r="R1235" s="1"/>
  <c r="T1235" s="1"/>
  <c r="H108"/>
  <c r="J108" s="1"/>
  <c r="L108" s="1"/>
  <c r="N108" s="1"/>
  <c r="P108" s="1"/>
  <c r="R108" s="1"/>
  <c r="T108" s="1"/>
  <c r="H71"/>
  <c r="J71" s="1"/>
  <c r="L71" s="1"/>
  <c r="N71" s="1"/>
  <c r="P71" s="1"/>
  <c r="R71" s="1"/>
  <c r="T71" s="1"/>
  <c r="H748"/>
  <c r="J748" s="1"/>
  <c r="L748" s="1"/>
  <c r="N748" s="1"/>
  <c r="P748" s="1"/>
  <c r="R748" s="1"/>
  <c r="T748" s="1"/>
  <c r="G268" i="5"/>
  <c r="G267" s="1"/>
  <c r="G245" s="1"/>
  <c r="I1103"/>
  <c r="K1103" s="1"/>
  <c r="M1103" s="1"/>
  <c r="O1103" s="1"/>
  <c r="Q1103" s="1"/>
  <c r="S1103" s="1"/>
  <c r="U1103" s="1"/>
  <c r="J1317"/>
  <c r="E56" i="1"/>
  <c r="G398" i="5"/>
  <c r="G397" s="1"/>
  <c r="H224"/>
  <c r="H223" s="1"/>
  <c r="G74"/>
  <c r="G73" s="1"/>
  <c r="I630"/>
  <c r="K630" s="1"/>
  <c r="M630" s="1"/>
  <c r="O630" s="1"/>
  <c r="Q630" s="1"/>
  <c r="S630" s="1"/>
  <c r="U630" s="1"/>
  <c r="G380" i="6"/>
  <c r="G235" s="1"/>
  <c r="E35" i="1"/>
  <c r="H848" i="6"/>
  <c r="J848" s="1"/>
  <c r="L848" s="1"/>
  <c r="N848" s="1"/>
  <c r="P848" s="1"/>
  <c r="R848" s="1"/>
  <c r="T848" s="1"/>
  <c r="I517" i="5"/>
  <c r="K517" s="1"/>
  <c r="M517" s="1"/>
  <c r="O517" s="1"/>
  <c r="Q517" s="1"/>
  <c r="S517" s="1"/>
  <c r="U517" s="1"/>
  <c r="F478" i="6"/>
  <c r="F477" s="1"/>
  <c r="H818" i="5"/>
  <c r="F1270" i="6"/>
  <c r="H1270" s="1"/>
  <c r="J1270" s="1"/>
  <c r="L1270" s="1"/>
  <c r="N1270" s="1"/>
  <c r="P1270" s="1"/>
  <c r="R1270" s="1"/>
  <c r="T1270" s="1"/>
  <c r="F398"/>
  <c r="F397" s="1"/>
  <c r="F470"/>
  <c r="F469" s="1"/>
  <c r="G207"/>
  <c r="G206" s="1"/>
  <c r="H1375"/>
  <c r="J1375" s="1"/>
  <c r="L1375" s="1"/>
  <c r="N1375" s="1"/>
  <c r="P1375" s="1"/>
  <c r="R1375" s="1"/>
  <c r="T1375" s="1"/>
  <c r="H70"/>
  <c r="J70" s="1"/>
  <c r="L70" s="1"/>
  <c r="N70" s="1"/>
  <c r="P70" s="1"/>
  <c r="R70" s="1"/>
  <c r="T70" s="1"/>
  <c r="H1376"/>
  <c r="J1376" s="1"/>
  <c r="L1376" s="1"/>
  <c r="N1376" s="1"/>
  <c r="P1376" s="1"/>
  <c r="R1376" s="1"/>
  <c r="T1376" s="1"/>
  <c r="H509"/>
  <c r="J509" s="1"/>
  <c r="L509" s="1"/>
  <c r="N509" s="1"/>
  <c r="P509" s="1"/>
  <c r="R509" s="1"/>
  <c r="T509" s="1"/>
  <c r="H109"/>
  <c r="J109" s="1"/>
  <c r="L109" s="1"/>
  <c r="N109" s="1"/>
  <c r="P109" s="1"/>
  <c r="R109" s="1"/>
  <c r="T109" s="1"/>
  <c r="H101"/>
  <c r="J101" s="1"/>
  <c r="L101" s="1"/>
  <c r="N101" s="1"/>
  <c r="P101" s="1"/>
  <c r="R101" s="1"/>
  <c r="T101" s="1"/>
  <c r="I1253" i="5"/>
  <c r="K1253" s="1"/>
  <c r="M1253" s="1"/>
  <c r="O1253" s="1"/>
  <c r="Q1253" s="1"/>
  <c r="S1253" s="1"/>
  <c r="U1253" s="1"/>
  <c r="I77"/>
  <c r="K77" s="1"/>
  <c r="M77" s="1"/>
  <c r="O77" s="1"/>
  <c r="Q77" s="1"/>
  <c r="S77" s="1"/>
  <c r="U77" s="1"/>
  <c r="G1512"/>
  <c r="I1512" s="1"/>
  <c r="K1512" s="1"/>
  <c r="M1512" s="1"/>
  <c r="O1512" s="1"/>
  <c r="Q1512" s="1"/>
  <c r="S1512" s="1"/>
  <c r="U1512" s="1"/>
  <c r="I629"/>
  <c r="K629" s="1"/>
  <c r="M629" s="1"/>
  <c r="O629" s="1"/>
  <c r="Q629" s="1"/>
  <c r="S629" s="1"/>
  <c r="U629" s="1"/>
  <c r="I92"/>
  <c r="K92" s="1"/>
  <c r="M92" s="1"/>
  <c r="O92" s="1"/>
  <c r="Q92" s="1"/>
  <c r="S92" s="1"/>
  <c r="U92" s="1"/>
  <c r="G91"/>
  <c r="I193"/>
  <c r="K193" s="1"/>
  <c r="M193" s="1"/>
  <c r="O193" s="1"/>
  <c r="Q193" s="1"/>
  <c r="G141"/>
  <c r="H369"/>
  <c r="E64" i="1"/>
  <c r="E63" s="1"/>
  <c r="G595" i="5"/>
  <c r="I595" s="1"/>
  <c r="K595" s="1"/>
  <c r="M595" s="1"/>
  <c r="O595" s="1"/>
  <c r="Q595" s="1"/>
  <c r="S595" s="1"/>
  <c r="U595" s="1"/>
  <c r="I596"/>
  <c r="K596" s="1"/>
  <c r="M596" s="1"/>
  <c r="O596" s="1"/>
  <c r="Q596" s="1"/>
  <c r="S596" s="1"/>
  <c r="U596" s="1"/>
  <c r="G782"/>
  <c r="I783"/>
  <c r="K783" s="1"/>
  <c r="M783" s="1"/>
  <c r="O783" s="1"/>
  <c r="Q783" s="1"/>
  <c r="S783" s="1"/>
  <c r="U783" s="1"/>
  <c r="I1184"/>
  <c r="K1184" s="1"/>
  <c r="M1184" s="1"/>
  <c r="O1184" s="1"/>
  <c r="Q1184" s="1"/>
  <c r="S1184" s="1"/>
  <c r="U1184" s="1"/>
  <c r="G1181"/>
  <c r="G323"/>
  <c r="I323" s="1"/>
  <c r="K323" s="1"/>
  <c r="M323" s="1"/>
  <c r="O323" s="1"/>
  <c r="Q323" s="1"/>
  <c r="S323" s="1"/>
  <c r="U323" s="1"/>
  <c r="I324"/>
  <c r="K324" s="1"/>
  <c r="M324" s="1"/>
  <c r="O324" s="1"/>
  <c r="Q324" s="1"/>
  <c r="S324" s="1"/>
  <c r="U324" s="1"/>
  <c r="G452"/>
  <c r="I452" s="1"/>
  <c r="K452" s="1"/>
  <c r="M452" s="1"/>
  <c r="O452" s="1"/>
  <c r="Q452" s="1"/>
  <c r="S452" s="1"/>
  <c r="U452" s="1"/>
  <c r="I453"/>
  <c r="K453" s="1"/>
  <c r="M453" s="1"/>
  <c r="O453" s="1"/>
  <c r="Q453" s="1"/>
  <c r="S453" s="1"/>
  <c r="U453" s="1"/>
  <c r="I1634"/>
  <c r="K1634" s="1"/>
  <c r="M1634" s="1"/>
  <c r="O1634" s="1"/>
  <c r="Q1634" s="1"/>
  <c r="S1634" s="1"/>
  <c r="U1634" s="1"/>
  <c r="G1633"/>
  <c r="I1474"/>
  <c r="K1474" s="1"/>
  <c r="M1474" s="1"/>
  <c r="O1474" s="1"/>
  <c r="Q1474" s="1"/>
  <c r="S1474" s="1"/>
  <c r="U1474" s="1"/>
  <c r="G1471"/>
  <c r="I1471" s="1"/>
  <c r="K1471" s="1"/>
  <c r="M1471" s="1"/>
  <c r="O1471" s="1"/>
  <c r="Q1471" s="1"/>
  <c r="S1471" s="1"/>
  <c r="U1471" s="1"/>
  <c r="G1629"/>
  <c r="I1629" s="1"/>
  <c r="K1629" s="1"/>
  <c r="M1629" s="1"/>
  <c r="O1629" s="1"/>
  <c r="Q1629" s="1"/>
  <c r="S1629" s="1"/>
  <c r="U1629" s="1"/>
  <c r="I1630"/>
  <c r="K1630" s="1"/>
  <c r="M1630" s="1"/>
  <c r="O1630" s="1"/>
  <c r="Q1630" s="1"/>
  <c r="S1630" s="1"/>
  <c r="U1630" s="1"/>
  <c r="G347"/>
  <c r="I348"/>
  <c r="K348" s="1"/>
  <c r="M348" s="1"/>
  <c r="O348" s="1"/>
  <c r="Q348" s="1"/>
  <c r="S348" s="1"/>
  <c r="U348" s="1"/>
  <c r="G562"/>
  <c r="I565"/>
  <c r="K565" s="1"/>
  <c r="M565" s="1"/>
  <c r="O565" s="1"/>
  <c r="Q565" s="1"/>
  <c r="S565" s="1"/>
  <c r="U565" s="1"/>
  <c r="G828"/>
  <c r="I829"/>
  <c r="K829" s="1"/>
  <c r="M829" s="1"/>
  <c r="O829" s="1"/>
  <c r="Q829" s="1"/>
  <c r="S829" s="1"/>
  <c r="U829" s="1"/>
  <c r="G1089"/>
  <c r="I1090"/>
  <c r="K1090" s="1"/>
  <c r="M1090" s="1"/>
  <c r="O1090" s="1"/>
  <c r="Q1090" s="1"/>
  <c r="S1090" s="1"/>
  <c r="U1090" s="1"/>
  <c r="G1518"/>
  <c r="G724"/>
  <c r="I724" s="1"/>
  <c r="K724" s="1"/>
  <c r="M724" s="1"/>
  <c r="O724" s="1"/>
  <c r="Q724" s="1"/>
  <c r="S724" s="1"/>
  <c r="U724" s="1"/>
  <c r="I725"/>
  <c r="K725" s="1"/>
  <c r="M725" s="1"/>
  <c r="O725" s="1"/>
  <c r="Q725" s="1"/>
  <c r="S725" s="1"/>
  <c r="U725" s="1"/>
  <c r="G355"/>
  <c r="I355" s="1"/>
  <c r="K355" s="1"/>
  <c r="M355" s="1"/>
  <c r="O355" s="1"/>
  <c r="Q355" s="1"/>
  <c r="S355" s="1"/>
  <c r="U355" s="1"/>
  <c r="I356"/>
  <c r="K356" s="1"/>
  <c r="M356" s="1"/>
  <c r="O356" s="1"/>
  <c r="Q356" s="1"/>
  <c r="S356" s="1"/>
  <c r="U356" s="1"/>
  <c r="I1425"/>
  <c r="K1425" s="1"/>
  <c r="M1425" s="1"/>
  <c r="O1425" s="1"/>
  <c r="Q1425" s="1"/>
  <c r="S1425" s="1"/>
  <c r="U1425" s="1"/>
  <c r="G1422"/>
  <c r="G1139"/>
  <c r="I1139" s="1"/>
  <c r="K1139" s="1"/>
  <c r="M1139" s="1"/>
  <c r="O1139" s="1"/>
  <c r="Q1139" s="1"/>
  <c r="S1139" s="1"/>
  <c r="U1139" s="1"/>
  <c r="I1140"/>
  <c r="K1140" s="1"/>
  <c r="M1140" s="1"/>
  <c r="O1140" s="1"/>
  <c r="Q1140" s="1"/>
  <c r="S1140" s="1"/>
  <c r="U1140" s="1"/>
  <c r="G467"/>
  <c r="I467" s="1"/>
  <c r="K467" s="1"/>
  <c r="M467" s="1"/>
  <c r="O467" s="1"/>
  <c r="Q467" s="1"/>
  <c r="S467" s="1"/>
  <c r="U467" s="1"/>
  <c r="I468"/>
  <c r="K468" s="1"/>
  <c r="M468" s="1"/>
  <c r="O468" s="1"/>
  <c r="Q468" s="1"/>
  <c r="S468" s="1"/>
  <c r="U468" s="1"/>
  <c r="G758"/>
  <c r="I759"/>
  <c r="K759" s="1"/>
  <c r="M759" s="1"/>
  <c r="O759" s="1"/>
  <c r="Q759" s="1"/>
  <c r="S759" s="1"/>
  <c r="U759" s="1"/>
  <c r="G1347"/>
  <c r="I1351"/>
  <c r="K1351" s="1"/>
  <c r="M1351" s="1"/>
  <c r="O1351" s="1"/>
  <c r="Q1351" s="1"/>
  <c r="S1351" s="1"/>
  <c r="U1351" s="1"/>
  <c r="G643"/>
  <c r="I643" s="1"/>
  <c r="K643" s="1"/>
  <c r="M643" s="1"/>
  <c r="O643" s="1"/>
  <c r="Q643" s="1"/>
  <c r="S643" s="1"/>
  <c r="U643" s="1"/>
  <c r="I644"/>
  <c r="K644" s="1"/>
  <c r="M644" s="1"/>
  <c r="O644" s="1"/>
  <c r="Q644" s="1"/>
  <c r="S644" s="1"/>
  <c r="U644" s="1"/>
  <c r="G315"/>
  <c r="I315" s="1"/>
  <c r="K315" s="1"/>
  <c r="M315" s="1"/>
  <c r="O315" s="1"/>
  <c r="Q315" s="1"/>
  <c r="S315" s="1"/>
  <c r="U315" s="1"/>
  <c r="I316"/>
  <c r="K316" s="1"/>
  <c r="M316" s="1"/>
  <c r="O316" s="1"/>
  <c r="Q316" s="1"/>
  <c r="S316" s="1"/>
  <c r="U316" s="1"/>
  <c r="G388"/>
  <c r="I388" s="1"/>
  <c r="K388" s="1"/>
  <c r="M388" s="1"/>
  <c r="O388" s="1"/>
  <c r="Q388" s="1"/>
  <c r="S388" s="1"/>
  <c r="U388" s="1"/>
  <c r="I389"/>
  <c r="K389" s="1"/>
  <c r="M389" s="1"/>
  <c r="O389" s="1"/>
  <c r="Q389" s="1"/>
  <c r="S389" s="1"/>
  <c r="U389" s="1"/>
  <c r="I1110"/>
  <c r="K1110" s="1"/>
  <c r="M1110" s="1"/>
  <c r="O1110" s="1"/>
  <c r="Q1110" s="1"/>
  <c r="S1110" s="1"/>
  <c r="U1110" s="1"/>
  <c r="G1109"/>
  <c r="I1109" s="1"/>
  <c r="K1109" s="1"/>
  <c r="M1109" s="1"/>
  <c r="O1109" s="1"/>
  <c r="Q1109" s="1"/>
  <c r="S1109" s="1"/>
  <c r="U1109" s="1"/>
  <c r="I1492"/>
  <c r="K1492" s="1"/>
  <c r="M1492" s="1"/>
  <c r="O1492" s="1"/>
  <c r="Q1492" s="1"/>
  <c r="S1492" s="1"/>
  <c r="U1492" s="1"/>
  <c r="G1491"/>
  <c r="I1491" s="1"/>
  <c r="K1491" s="1"/>
  <c r="M1491" s="1"/>
  <c r="O1491" s="1"/>
  <c r="Q1491" s="1"/>
  <c r="S1491" s="1"/>
  <c r="U1491" s="1"/>
  <c r="G1145"/>
  <c r="I1146"/>
  <c r="K1146" s="1"/>
  <c r="M1146" s="1"/>
  <c r="O1146" s="1"/>
  <c r="Q1146" s="1"/>
  <c r="S1146" s="1"/>
  <c r="U1146" s="1"/>
  <c r="G982"/>
  <c r="I983"/>
  <c r="K983" s="1"/>
  <c r="M983" s="1"/>
  <c r="O983" s="1"/>
  <c r="Q983" s="1"/>
  <c r="S983" s="1"/>
  <c r="U983" s="1"/>
  <c r="H968"/>
  <c r="H967" s="1"/>
  <c r="E49" i="1" s="1"/>
  <c r="I771" i="5"/>
  <c r="K771" s="1"/>
  <c r="M771" s="1"/>
  <c r="O771" s="1"/>
  <c r="Q771" s="1"/>
  <c r="S771" s="1"/>
  <c r="U771" s="1"/>
  <c r="G34"/>
  <c r="G378"/>
  <c r="I743"/>
  <c r="K743" s="1"/>
  <c r="M743" s="1"/>
  <c r="O743" s="1"/>
  <c r="Q743" s="1"/>
  <c r="S743" s="1"/>
  <c r="U743" s="1"/>
  <c r="I1238"/>
  <c r="K1238" s="1"/>
  <c r="M1238" s="1"/>
  <c r="O1238" s="1"/>
  <c r="Q1238" s="1"/>
  <c r="S1238" s="1"/>
  <c r="U1238" s="1"/>
  <c r="G1237"/>
  <c r="I1450"/>
  <c r="K1450" s="1"/>
  <c r="M1450" s="1"/>
  <c r="O1450" s="1"/>
  <c r="Q1450" s="1"/>
  <c r="S1450" s="1"/>
  <c r="U1450" s="1"/>
  <c r="G1447"/>
  <c r="G1462"/>
  <c r="I1463"/>
  <c r="K1463" s="1"/>
  <c r="M1463" s="1"/>
  <c r="O1463" s="1"/>
  <c r="Q1463" s="1"/>
  <c r="S1463" s="1"/>
  <c r="U1463" s="1"/>
  <c r="G487"/>
  <c r="I488"/>
  <c r="K488" s="1"/>
  <c r="M488" s="1"/>
  <c r="O488" s="1"/>
  <c r="Q488" s="1"/>
  <c r="S488" s="1"/>
  <c r="U488" s="1"/>
  <c r="G342"/>
  <c r="I342" s="1"/>
  <c r="K342" s="1"/>
  <c r="M342" s="1"/>
  <c r="O342" s="1"/>
  <c r="Q342" s="1"/>
  <c r="S342" s="1"/>
  <c r="U342" s="1"/>
  <c r="I343"/>
  <c r="K343" s="1"/>
  <c r="M343" s="1"/>
  <c r="O343" s="1"/>
  <c r="Q343" s="1"/>
  <c r="S343" s="1"/>
  <c r="U343" s="1"/>
  <c r="G536"/>
  <c r="I537"/>
  <c r="K537" s="1"/>
  <c r="M537" s="1"/>
  <c r="O537" s="1"/>
  <c r="Q537" s="1"/>
  <c r="S537" s="1"/>
  <c r="U537" s="1"/>
  <c r="G528"/>
  <c r="I529"/>
  <c r="K529" s="1"/>
  <c r="M529" s="1"/>
  <c r="O529" s="1"/>
  <c r="Q529" s="1"/>
  <c r="S529" s="1"/>
  <c r="U529" s="1"/>
  <c r="G999"/>
  <c r="I1000"/>
  <c r="K1000" s="1"/>
  <c r="M1000" s="1"/>
  <c r="O1000" s="1"/>
  <c r="Q1000" s="1"/>
  <c r="S1000" s="1"/>
  <c r="U1000" s="1"/>
  <c r="G1303"/>
  <c r="I1303" s="1"/>
  <c r="K1303" s="1"/>
  <c r="M1303" s="1"/>
  <c r="O1303" s="1"/>
  <c r="Q1303" s="1"/>
  <c r="S1303" s="1"/>
  <c r="U1303" s="1"/>
  <c r="I1304"/>
  <c r="K1304" s="1"/>
  <c r="M1304" s="1"/>
  <c r="O1304" s="1"/>
  <c r="Q1304" s="1"/>
  <c r="S1304" s="1"/>
  <c r="U1304" s="1"/>
  <c r="G1583"/>
  <c r="G1582" s="1"/>
  <c r="G1581" s="1"/>
  <c r="G1580" s="1"/>
  <c r="I1586"/>
  <c r="K1586" s="1"/>
  <c r="M1586" s="1"/>
  <c r="O1586" s="1"/>
  <c r="Q1586" s="1"/>
  <c r="S1586" s="1"/>
  <c r="U1586" s="1"/>
  <c r="G962"/>
  <c r="I962" s="1"/>
  <c r="K962" s="1"/>
  <c r="M962" s="1"/>
  <c r="O962" s="1"/>
  <c r="Q962" s="1"/>
  <c r="S962" s="1"/>
  <c r="U962" s="1"/>
  <c r="I963"/>
  <c r="K963" s="1"/>
  <c r="M963" s="1"/>
  <c r="O963" s="1"/>
  <c r="Q963" s="1"/>
  <c r="S963" s="1"/>
  <c r="U963" s="1"/>
  <c r="G1167"/>
  <c r="I1167" s="1"/>
  <c r="K1167" s="1"/>
  <c r="M1167" s="1"/>
  <c r="O1167" s="1"/>
  <c r="Q1167" s="1"/>
  <c r="S1167" s="1"/>
  <c r="U1167" s="1"/>
  <c r="I1168"/>
  <c r="K1168" s="1"/>
  <c r="M1168" s="1"/>
  <c r="O1168" s="1"/>
  <c r="Q1168" s="1"/>
  <c r="S1168" s="1"/>
  <c r="U1168" s="1"/>
  <c r="G1496"/>
  <c r="I1497"/>
  <c r="K1497" s="1"/>
  <c r="M1497" s="1"/>
  <c r="O1497" s="1"/>
  <c r="Q1497" s="1"/>
  <c r="S1497" s="1"/>
  <c r="U1497" s="1"/>
  <c r="G833"/>
  <c r="I834"/>
  <c r="K834" s="1"/>
  <c r="M834" s="1"/>
  <c r="O834" s="1"/>
  <c r="Q834" s="1"/>
  <c r="S834" s="1"/>
  <c r="U834" s="1"/>
  <c r="I927"/>
  <c r="K927" s="1"/>
  <c r="M927" s="1"/>
  <c r="O927" s="1"/>
  <c r="Q927" s="1"/>
  <c r="S927" s="1"/>
  <c r="U927" s="1"/>
  <c r="G926"/>
  <c r="I1689"/>
  <c r="K1689" s="1"/>
  <c r="M1689" s="1"/>
  <c r="O1689" s="1"/>
  <c r="Q1689" s="1"/>
  <c r="S1689" s="1"/>
  <c r="U1689" s="1"/>
  <c r="G1688"/>
  <c r="G1071"/>
  <c r="I1071" s="1"/>
  <c r="K1071" s="1"/>
  <c r="M1071" s="1"/>
  <c r="O1071" s="1"/>
  <c r="Q1071" s="1"/>
  <c r="S1071" s="1"/>
  <c r="U1071" s="1"/>
  <c r="I1072"/>
  <c r="K1072" s="1"/>
  <c r="M1072" s="1"/>
  <c r="O1072" s="1"/>
  <c r="Q1072" s="1"/>
  <c r="S1072" s="1"/>
  <c r="U1072" s="1"/>
  <c r="G1384"/>
  <c r="I1384" s="1"/>
  <c r="K1384" s="1"/>
  <c r="M1384" s="1"/>
  <c r="O1384" s="1"/>
  <c r="Q1384" s="1"/>
  <c r="S1384" s="1"/>
  <c r="U1384" s="1"/>
  <c r="I1388"/>
  <c r="K1388" s="1"/>
  <c r="M1388" s="1"/>
  <c r="O1388" s="1"/>
  <c r="Q1388" s="1"/>
  <c r="S1388" s="1"/>
  <c r="U1388" s="1"/>
  <c r="I1410"/>
  <c r="K1410" s="1"/>
  <c r="M1410" s="1"/>
  <c r="O1410" s="1"/>
  <c r="Q1410" s="1"/>
  <c r="S1410" s="1"/>
  <c r="U1410" s="1"/>
  <c r="G1409"/>
  <c r="I1409" s="1"/>
  <c r="K1409" s="1"/>
  <c r="M1409" s="1"/>
  <c r="O1409" s="1"/>
  <c r="Q1409" s="1"/>
  <c r="S1409" s="1"/>
  <c r="U1409" s="1"/>
  <c r="I1008"/>
  <c r="K1008" s="1"/>
  <c r="M1008" s="1"/>
  <c r="O1008" s="1"/>
  <c r="Q1008" s="1"/>
  <c r="S1008" s="1"/>
  <c r="U1008" s="1"/>
  <c r="G1007"/>
  <c r="I1007" s="1"/>
  <c r="K1007" s="1"/>
  <c r="M1007" s="1"/>
  <c r="O1007" s="1"/>
  <c r="Q1007" s="1"/>
  <c r="S1007" s="1"/>
  <c r="U1007" s="1"/>
  <c r="I796"/>
  <c r="K796" s="1"/>
  <c r="M796" s="1"/>
  <c r="O796" s="1"/>
  <c r="Q796" s="1"/>
  <c r="S796" s="1"/>
  <c r="U796" s="1"/>
  <c r="G795"/>
  <c r="G1314"/>
  <c r="I1315"/>
  <c r="K1315" s="1"/>
  <c r="M1315" s="1"/>
  <c r="O1315" s="1"/>
  <c r="Q1315" s="1"/>
  <c r="S1315" s="1"/>
  <c r="U1315" s="1"/>
  <c r="G555"/>
  <c r="I556"/>
  <c r="K556" s="1"/>
  <c r="M556" s="1"/>
  <c r="O556" s="1"/>
  <c r="Q556" s="1"/>
  <c r="S556" s="1"/>
  <c r="U556" s="1"/>
  <c r="G789"/>
  <c r="I789" s="1"/>
  <c r="K789" s="1"/>
  <c r="M789" s="1"/>
  <c r="O789" s="1"/>
  <c r="Q789" s="1"/>
  <c r="S789" s="1"/>
  <c r="U789" s="1"/>
  <c r="I790"/>
  <c r="K790" s="1"/>
  <c r="M790" s="1"/>
  <c r="O790" s="1"/>
  <c r="Q790" s="1"/>
  <c r="S790" s="1"/>
  <c r="U790" s="1"/>
  <c r="I915"/>
  <c r="K915" s="1"/>
  <c r="M915" s="1"/>
  <c r="O915" s="1"/>
  <c r="Q915" s="1"/>
  <c r="S915" s="1"/>
  <c r="U915" s="1"/>
  <c r="G912"/>
  <c r="G1033"/>
  <c r="I1034"/>
  <c r="K1034" s="1"/>
  <c r="M1034" s="1"/>
  <c r="O1034" s="1"/>
  <c r="Q1034" s="1"/>
  <c r="S1034" s="1"/>
  <c r="U1034" s="1"/>
  <c r="G1098"/>
  <c r="I1099"/>
  <c r="K1099" s="1"/>
  <c r="M1099" s="1"/>
  <c r="O1099" s="1"/>
  <c r="Q1099" s="1"/>
  <c r="S1099" s="1"/>
  <c r="U1099" s="1"/>
  <c r="G1149"/>
  <c r="I1149" s="1"/>
  <c r="K1149" s="1"/>
  <c r="M1149" s="1"/>
  <c r="O1149" s="1"/>
  <c r="Q1149" s="1"/>
  <c r="S1149" s="1"/>
  <c r="U1149" s="1"/>
  <c r="I1150"/>
  <c r="K1150" s="1"/>
  <c r="M1150" s="1"/>
  <c r="O1150" s="1"/>
  <c r="Q1150" s="1"/>
  <c r="S1150" s="1"/>
  <c r="U1150" s="1"/>
  <c r="G1243"/>
  <c r="I1243" s="1"/>
  <c r="K1243" s="1"/>
  <c r="M1243" s="1"/>
  <c r="O1243" s="1"/>
  <c r="Q1243" s="1"/>
  <c r="S1243" s="1"/>
  <c r="U1243" s="1"/>
  <c r="I1244"/>
  <c r="K1244" s="1"/>
  <c r="M1244" s="1"/>
  <c r="O1244" s="1"/>
  <c r="Q1244" s="1"/>
  <c r="S1244" s="1"/>
  <c r="U1244" s="1"/>
  <c r="G1566"/>
  <c r="G1557" s="1"/>
  <c r="I1569"/>
  <c r="K1569" s="1"/>
  <c r="M1569" s="1"/>
  <c r="O1569" s="1"/>
  <c r="Q1569" s="1"/>
  <c r="S1569" s="1"/>
  <c r="U1569" s="1"/>
  <c r="G1733"/>
  <c r="I1739"/>
  <c r="K1739" s="1"/>
  <c r="M1739" s="1"/>
  <c r="O1739" s="1"/>
  <c r="Q1739" s="1"/>
  <c r="S1739" s="1"/>
  <c r="U1739" s="1"/>
  <c r="G481"/>
  <c r="I482"/>
  <c r="K482" s="1"/>
  <c r="M482" s="1"/>
  <c r="O482" s="1"/>
  <c r="Q482" s="1"/>
  <c r="S482" s="1"/>
  <c r="U482" s="1"/>
  <c r="G1049"/>
  <c r="I1050"/>
  <c r="K1050" s="1"/>
  <c r="M1050" s="1"/>
  <c r="O1050" s="1"/>
  <c r="Q1050" s="1"/>
  <c r="S1050" s="1"/>
  <c r="U1050" s="1"/>
  <c r="G1117"/>
  <c r="I1117" s="1"/>
  <c r="K1117" s="1"/>
  <c r="M1117" s="1"/>
  <c r="O1117" s="1"/>
  <c r="Q1117" s="1"/>
  <c r="S1117" s="1"/>
  <c r="U1117" s="1"/>
  <c r="I1118"/>
  <c r="K1118" s="1"/>
  <c r="M1118" s="1"/>
  <c r="O1118" s="1"/>
  <c r="Q1118" s="1"/>
  <c r="S1118" s="1"/>
  <c r="U1118" s="1"/>
  <c r="G1275"/>
  <c r="I1276"/>
  <c r="K1276" s="1"/>
  <c r="M1276" s="1"/>
  <c r="O1276" s="1"/>
  <c r="Q1276" s="1"/>
  <c r="S1276" s="1"/>
  <c r="U1276" s="1"/>
  <c r="G658"/>
  <c r="I659"/>
  <c r="K659" s="1"/>
  <c r="M659" s="1"/>
  <c r="O659" s="1"/>
  <c r="Q659" s="1"/>
  <c r="S659" s="1"/>
  <c r="U659" s="1"/>
  <c r="G865"/>
  <c r="I871"/>
  <c r="K871" s="1"/>
  <c r="M871" s="1"/>
  <c r="O871" s="1"/>
  <c r="Q871" s="1"/>
  <c r="S871" s="1"/>
  <c r="U871" s="1"/>
  <c r="G990"/>
  <c r="I990" s="1"/>
  <c r="K990" s="1"/>
  <c r="M990" s="1"/>
  <c r="O990" s="1"/>
  <c r="Q990" s="1"/>
  <c r="S990" s="1"/>
  <c r="U990" s="1"/>
  <c r="I991"/>
  <c r="K991" s="1"/>
  <c r="M991" s="1"/>
  <c r="O991" s="1"/>
  <c r="Q991" s="1"/>
  <c r="S991" s="1"/>
  <c r="U991" s="1"/>
  <c r="G1553"/>
  <c r="I1554"/>
  <c r="K1554" s="1"/>
  <c r="M1554" s="1"/>
  <c r="O1554" s="1"/>
  <c r="Q1554" s="1"/>
  <c r="S1554" s="1"/>
  <c r="U1554" s="1"/>
  <c r="E42" i="1"/>
  <c r="E40" s="1"/>
  <c r="I1247" i="5"/>
  <c r="K1247" s="1"/>
  <c r="M1247" s="1"/>
  <c r="O1247" s="1"/>
  <c r="Q1247" s="1"/>
  <c r="S1247" s="1"/>
  <c r="U1247" s="1"/>
  <c r="G442"/>
  <c r="I1644"/>
  <c r="K1644" s="1"/>
  <c r="M1644" s="1"/>
  <c r="O1644" s="1"/>
  <c r="Q1644" s="1"/>
  <c r="S1644" s="1"/>
  <c r="U1644" s="1"/>
  <c r="G1643"/>
  <c r="I552"/>
  <c r="K552" s="1"/>
  <c r="M552" s="1"/>
  <c r="O552" s="1"/>
  <c r="Q552" s="1"/>
  <c r="S552" s="1"/>
  <c r="U552" s="1"/>
  <c r="G551"/>
  <c r="I551" s="1"/>
  <c r="K551" s="1"/>
  <c r="M551" s="1"/>
  <c r="O551" s="1"/>
  <c r="Q551" s="1"/>
  <c r="S551" s="1"/>
  <c r="U551" s="1"/>
  <c r="G365"/>
  <c r="I366"/>
  <c r="K366" s="1"/>
  <c r="M366" s="1"/>
  <c r="O366" s="1"/>
  <c r="Q366" s="1"/>
  <c r="S366" s="1"/>
  <c r="U366" s="1"/>
  <c r="G651"/>
  <c r="I652"/>
  <c r="K652" s="1"/>
  <c r="M652" s="1"/>
  <c r="O652" s="1"/>
  <c r="Q652" s="1"/>
  <c r="S652" s="1"/>
  <c r="U652" s="1"/>
  <c r="I1325"/>
  <c r="K1325" s="1"/>
  <c r="M1325" s="1"/>
  <c r="O1325" s="1"/>
  <c r="Q1325" s="1"/>
  <c r="S1325" s="1"/>
  <c r="U1325" s="1"/>
  <c r="G1431"/>
  <c r="I1431" s="1"/>
  <c r="K1431" s="1"/>
  <c r="M1431" s="1"/>
  <c r="O1431" s="1"/>
  <c r="Q1431" s="1"/>
  <c r="S1431" s="1"/>
  <c r="U1431" s="1"/>
  <c r="I1435"/>
  <c r="K1435" s="1"/>
  <c r="M1435" s="1"/>
  <c r="O1435" s="1"/>
  <c r="Q1435" s="1"/>
  <c r="S1435" s="1"/>
  <c r="U1435" s="1"/>
  <c r="I768"/>
  <c r="K768" s="1"/>
  <c r="M768" s="1"/>
  <c r="O768" s="1"/>
  <c r="Q768" s="1"/>
  <c r="S768" s="1"/>
  <c r="U768" s="1"/>
  <c r="G767"/>
  <c r="G635"/>
  <c r="I636"/>
  <c r="K636" s="1"/>
  <c r="M636" s="1"/>
  <c r="O636" s="1"/>
  <c r="Q636" s="1"/>
  <c r="S636" s="1"/>
  <c r="U636" s="1"/>
  <c r="G508"/>
  <c r="I508" s="1"/>
  <c r="K508" s="1"/>
  <c r="M508" s="1"/>
  <c r="O508" s="1"/>
  <c r="Q508" s="1"/>
  <c r="S508" s="1"/>
  <c r="U508" s="1"/>
  <c r="I509"/>
  <c r="K509" s="1"/>
  <c r="M509" s="1"/>
  <c r="O509" s="1"/>
  <c r="Q509" s="1"/>
  <c r="S509" s="1"/>
  <c r="U509" s="1"/>
  <c r="G762"/>
  <c r="I762" s="1"/>
  <c r="K762" s="1"/>
  <c r="M762" s="1"/>
  <c r="O762" s="1"/>
  <c r="Q762" s="1"/>
  <c r="S762" s="1"/>
  <c r="U762" s="1"/>
  <c r="I763"/>
  <c r="K763" s="1"/>
  <c r="M763" s="1"/>
  <c r="O763" s="1"/>
  <c r="Q763" s="1"/>
  <c r="S763" s="1"/>
  <c r="U763" s="1"/>
  <c r="G1020"/>
  <c r="I1021"/>
  <c r="K1021" s="1"/>
  <c r="M1021" s="1"/>
  <c r="O1021" s="1"/>
  <c r="Q1021" s="1"/>
  <c r="S1021" s="1"/>
  <c r="U1021" s="1"/>
  <c r="G1605"/>
  <c r="I1606"/>
  <c r="K1606" s="1"/>
  <c r="M1606" s="1"/>
  <c r="O1606" s="1"/>
  <c r="Q1606" s="1"/>
  <c r="S1606" s="1"/>
  <c r="U1606" s="1"/>
  <c r="G1647"/>
  <c r="I1647" s="1"/>
  <c r="K1647" s="1"/>
  <c r="M1647" s="1"/>
  <c r="O1647" s="1"/>
  <c r="Q1647" s="1"/>
  <c r="S1647" s="1"/>
  <c r="U1647" s="1"/>
  <c r="I1648"/>
  <c r="K1648" s="1"/>
  <c r="M1648" s="1"/>
  <c r="O1648" s="1"/>
  <c r="Q1648" s="1"/>
  <c r="S1648" s="1"/>
  <c r="U1648" s="1"/>
  <c r="G821"/>
  <c r="I821" s="1"/>
  <c r="K821" s="1"/>
  <c r="M821" s="1"/>
  <c r="O821" s="1"/>
  <c r="Q821" s="1"/>
  <c r="S821" s="1"/>
  <c r="U821" s="1"/>
  <c r="I822"/>
  <c r="K822" s="1"/>
  <c r="M822" s="1"/>
  <c r="O822" s="1"/>
  <c r="Q822" s="1"/>
  <c r="S822" s="1"/>
  <c r="U822" s="1"/>
  <c r="G1309"/>
  <c r="I1309" s="1"/>
  <c r="K1309" s="1"/>
  <c r="M1309" s="1"/>
  <c r="O1309" s="1"/>
  <c r="Q1309" s="1"/>
  <c r="S1309" s="1"/>
  <c r="U1309" s="1"/>
  <c r="I1310"/>
  <c r="K1310" s="1"/>
  <c r="M1310" s="1"/>
  <c r="O1310" s="1"/>
  <c r="Q1310" s="1"/>
  <c r="S1310" s="1"/>
  <c r="U1310" s="1"/>
  <c r="I1480"/>
  <c r="K1480" s="1"/>
  <c r="M1480" s="1"/>
  <c r="O1480" s="1"/>
  <c r="Q1480" s="1"/>
  <c r="S1480" s="1"/>
  <c r="U1480" s="1"/>
  <c r="G1477"/>
  <c r="I1477" s="1"/>
  <c r="K1477" s="1"/>
  <c r="M1477" s="1"/>
  <c r="O1477" s="1"/>
  <c r="Q1477" s="1"/>
  <c r="S1477" s="1"/>
  <c r="U1477" s="1"/>
  <c r="G888"/>
  <c r="I889"/>
  <c r="K889" s="1"/>
  <c r="M889" s="1"/>
  <c r="O889" s="1"/>
  <c r="Q889" s="1"/>
  <c r="S889" s="1"/>
  <c r="U889" s="1"/>
  <c r="I1132"/>
  <c r="K1132" s="1"/>
  <c r="M1132" s="1"/>
  <c r="O1132" s="1"/>
  <c r="Q1132" s="1"/>
  <c r="S1132" s="1"/>
  <c r="U1132" s="1"/>
  <c r="G1131"/>
  <c r="I1131" s="1"/>
  <c r="K1131" s="1"/>
  <c r="M1131" s="1"/>
  <c r="O1131" s="1"/>
  <c r="Q1131" s="1"/>
  <c r="S1131" s="1"/>
  <c r="U1131" s="1"/>
  <c r="G1547"/>
  <c r="I1547" s="1"/>
  <c r="K1547" s="1"/>
  <c r="M1547" s="1"/>
  <c r="O1547" s="1"/>
  <c r="Q1547" s="1"/>
  <c r="S1547" s="1"/>
  <c r="U1547" s="1"/>
  <c r="I1548"/>
  <c r="K1548" s="1"/>
  <c r="M1548" s="1"/>
  <c r="O1548" s="1"/>
  <c r="Q1548" s="1"/>
  <c r="S1548" s="1"/>
  <c r="U1548" s="1"/>
  <c r="G336"/>
  <c r="I337"/>
  <c r="K337" s="1"/>
  <c r="M337" s="1"/>
  <c r="O337" s="1"/>
  <c r="Q337" s="1"/>
  <c r="S337" s="1"/>
  <c r="U337" s="1"/>
  <c r="G589"/>
  <c r="I590"/>
  <c r="K590" s="1"/>
  <c r="M590" s="1"/>
  <c r="O590" s="1"/>
  <c r="Q590" s="1"/>
  <c r="S590" s="1"/>
  <c r="U590" s="1"/>
  <c r="G709"/>
  <c r="I710"/>
  <c r="K710" s="1"/>
  <c r="M710" s="1"/>
  <c r="O710" s="1"/>
  <c r="Q710" s="1"/>
  <c r="S710" s="1"/>
  <c r="U710" s="1"/>
  <c r="G958"/>
  <c r="I959"/>
  <c r="K959" s="1"/>
  <c r="M959" s="1"/>
  <c r="O959" s="1"/>
  <c r="Q959" s="1"/>
  <c r="S959" s="1"/>
  <c r="U959" s="1"/>
  <c r="G1011"/>
  <c r="I1011" s="1"/>
  <c r="K1011" s="1"/>
  <c r="M1011" s="1"/>
  <c r="O1011" s="1"/>
  <c r="Q1011" s="1"/>
  <c r="S1011" s="1"/>
  <c r="U1011" s="1"/>
  <c r="I1012"/>
  <c r="K1012" s="1"/>
  <c r="M1012" s="1"/>
  <c r="O1012" s="1"/>
  <c r="Q1012" s="1"/>
  <c r="S1012" s="1"/>
  <c r="U1012" s="1"/>
  <c r="G1127"/>
  <c r="I1128"/>
  <c r="K1128" s="1"/>
  <c r="M1128" s="1"/>
  <c r="O1128" s="1"/>
  <c r="Q1128" s="1"/>
  <c r="S1128" s="1"/>
  <c r="U1128" s="1"/>
  <c r="G457"/>
  <c r="I458"/>
  <c r="K458" s="1"/>
  <c r="M458" s="1"/>
  <c r="O458" s="1"/>
  <c r="Q458" s="1"/>
  <c r="S458" s="1"/>
  <c r="U458" s="1"/>
  <c r="G852"/>
  <c r="I856"/>
  <c r="K856" s="1"/>
  <c r="M856" s="1"/>
  <c r="O856" s="1"/>
  <c r="Q856" s="1"/>
  <c r="S856" s="1"/>
  <c r="U856" s="1"/>
  <c r="I361"/>
  <c r="K361" s="1"/>
  <c r="M361" s="1"/>
  <c r="O361" s="1"/>
  <c r="Q361" s="1"/>
  <c r="S361" s="1"/>
  <c r="U361" s="1"/>
  <c r="G360"/>
  <c r="I615"/>
  <c r="K615" s="1"/>
  <c r="M615" s="1"/>
  <c r="O615" s="1"/>
  <c r="Q615" s="1"/>
  <c r="S615" s="1"/>
  <c r="U615" s="1"/>
  <c r="G614"/>
  <c r="I987"/>
  <c r="K987" s="1"/>
  <c r="M987" s="1"/>
  <c r="O987" s="1"/>
  <c r="Q987" s="1"/>
  <c r="S987" s="1"/>
  <c r="U987" s="1"/>
  <c r="G986"/>
  <c r="I986" s="1"/>
  <c r="K986" s="1"/>
  <c r="M986" s="1"/>
  <c r="O986" s="1"/>
  <c r="Q986" s="1"/>
  <c r="S986" s="1"/>
  <c r="U986" s="1"/>
  <c r="G1663"/>
  <c r="I1663" s="1"/>
  <c r="K1663" s="1"/>
  <c r="M1663" s="1"/>
  <c r="O1663" s="1"/>
  <c r="Q1663" s="1"/>
  <c r="S1663" s="1"/>
  <c r="U1663" s="1"/>
  <c r="I1664"/>
  <c r="K1664" s="1"/>
  <c r="M1664" s="1"/>
  <c r="O1664" s="1"/>
  <c r="Q1664" s="1"/>
  <c r="S1664" s="1"/>
  <c r="U1664" s="1"/>
  <c r="I713"/>
  <c r="K713" s="1"/>
  <c r="M713" s="1"/>
  <c r="O713" s="1"/>
  <c r="Q713" s="1"/>
  <c r="S713" s="1"/>
  <c r="U713" s="1"/>
  <c r="I714"/>
  <c r="K714" s="1"/>
  <c r="M714" s="1"/>
  <c r="O714" s="1"/>
  <c r="Q714" s="1"/>
  <c r="S714" s="1"/>
  <c r="U714" s="1"/>
  <c r="H333"/>
  <c r="H1445"/>
  <c r="H1444" s="1"/>
  <c r="H1407" s="1"/>
  <c r="H95"/>
  <c r="I288"/>
  <c r="K288" s="1"/>
  <c r="M288" s="1"/>
  <c r="O288" s="1"/>
  <c r="Q288" s="1"/>
  <c r="S288" s="1"/>
  <c r="U288" s="1"/>
  <c r="I84"/>
  <c r="K84" s="1"/>
  <c r="M84" s="1"/>
  <c r="O84" s="1"/>
  <c r="Q84" s="1"/>
  <c r="S84" s="1"/>
  <c r="U84" s="1"/>
  <c r="G1718"/>
  <c r="H393"/>
  <c r="H392" s="1"/>
  <c r="E21" i="1"/>
  <c r="H860" i="5"/>
  <c r="E24" i="1"/>
  <c r="G1218" i="5"/>
  <c r="I1219"/>
  <c r="K1219" s="1"/>
  <c r="M1219" s="1"/>
  <c r="O1219" s="1"/>
  <c r="Q1219" s="1"/>
  <c r="S1219" s="1"/>
  <c r="U1219" s="1"/>
  <c r="G1067"/>
  <c r="I1068"/>
  <c r="K1068" s="1"/>
  <c r="M1068" s="1"/>
  <c r="O1068" s="1"/>
  <c r="Q1068" s="1"/>
  <c r="S1068" s="1"/>
  <c r="U1068" s="1"/>
  <c r="G841"/>
  <c r="I842"/>
  <c r="K842" s="1"/>
  <c r="M842" s="1"/>
  <c r="O842" s="1"/>
  <c r="Q842" s="1"/>
  <c r="S842" s="1"/>
  <c r="U842" s="1"/>
  <c r="G698"/>
  <c r="I699"/>
  <c r="K699" s="1"/>
  <c r="M699" s="1"/>
  <c r="O699" s="1"/>
  <c r="Q699" s="1"/>
  <c r="S699" s="1"/>
  <c r="U699" s="1"/>
  <c r="G502"/>
  <c r="I503"/>
  <c r="K503" s="1"/>
  <c r="M503" s="1"/>
  <c r="O503" s="1"/>
  <c r="Q503" s="1"/>
  <c r="S503" s="1"/>
  <c r="U503" s="1"/>
  <c r="G668"/>
  <c r="I669"/>
  <c r="K669" s="1"/>
  <c r="M669" s="1"/>
  <c r="O669" s="1"/>
  <c r="Q669" s="1"/>
  <c r="S669" s="1"/>
  <c r="U669" s="1"/>
  <c r="G847"/>
  <c r="I848"/>
  <c r="K848" s="1"/>
  <c r="M848" s="1"/>
  <c r="O848" s="1"/>
  <c r="Q848" s="1"/>
  <c r="S848" s="1"/>
  <c r="U848" s="1"/>
  <c r="G1024"/>
  <c r="I1024" s="1"/>
  <c r="K1024" s="1"/>
  <c r="M1024" s="1"/>
  <c r="O1024" s="1"/>
  <c r="Q1024" s="1"/>
  <c r="S1024" s="1"/>
  <c r="U1024" s="1"/>
  <c r="I1025"/>
  <c r="K1025" s="1"/>
  <c r="M1025" s="1"/>
  <c r="O1025" s="1"/>
  <c r="Q1025" s="1"/>
  <c r="S1025" s="1"/>
  <c r="U1025" s="1"/>
  <c r="G1507"/>
  <c r="I1508"/>
  <c r="K1508" s="1"/>
  <c r="M1508" s="1"/>
  <c r="O1508" s="1"/>
  <c r="Q1508" s="1"/>
  <c r="S1508" s="1"/>
  <c r="U1508" s="1"/>
  <c r="G473"/>
  <c r="I474"/>
  <c r="K474" s="1"/>
  <c r="M474" s="1"/>
  <c r="O474" s="1"/>
  <c r="Q474" s="1"/>
  <c r="S474" s="1"/>
  <c r="U474" s="1"/>
  <c r="G1113"/>
  <c r="I1114"/>
  <c r="K1114" s="1"/>
  <c r="M1114" s="1"/>
  <c r="O1114" s="1"/>
  <c r="Q1114" s="1"/>
  <c r="S1114" s="1"/>
  <c r="U1114" s="1"/>
  <c r="G1299"/>
  <c r="I1300"/>
  <c r="K1300" s="1"/>
  <c r="M1300" s="1"/>
  <c r="O1300" s="1"/>
  <c r="Q1300" s="1"/>
  <c r="S1300" s="1"/>
  <c r="U1300" s="1"/>
  <c r="G1651"/>
  <c r="I1651" s="1"/>
  <c r="K1651" s="1"/>
  <c r="M1651" s="1"/>
  <c r="O1651" s="1"/>
  <c r="Q1651" s="1"/>
  <c r="S1651" s="1"/>
  <c r="U1651" s="1"/>
  <c r="I1652"/>
  <c r="K1652" s="1"/>
  <c r="M1652" s="1"/>
  <c r="O1652" s="1"/>
  <c r="Q1652" s="1"/>
  <c r="S1652" s="1"/>
  <c r="U1652" s="1"/>
  <c r="G1282"/>
  <c r="I1285"/>
  <c r="K1285" s="1"/>
  <c r="M1285" s="1"/>
  <c r="O1285" s="1"/>
  <c r="Q1285" s="1"/>
  <c r="S1285" s="1"/>
  <c r="U1285" s="1"/>
  <c r="I1418"/>
  <c r="K1418" s="1"/>
  <c r="M1418" s="1"/>
  <c r="O1418" s="1"/>
  <c r="Q1418" s="1"/>
  <c r="S1418" s="1"/>
  <c r="U1418" s="1"/>
  <c r="G1417"/>
  <c r="I97"/>
  <c r="K97" s="1"/>
  <c r="M97" s="1"/>
  <c r="O97" s="1"/>
  <c r="Q97" s="1"/>
  <c r="S97" s="1"/>
  <c r="U97" s="1"/>
  <c r="G96"/>
  <c r="G95" s="1"/>
  <c r="G278"/>
  <c r="I279"/>
  <c r="K279" s="1"/>
  <c r="M279" s="1"/>
  <c r="O279" s="1"/>
  <c r="Q279" s="1"/>
  <c r="S279" s="1"/>
  <c r="U279" s="1"/>
  <c r="I610"/>
  <c r="K610" s="1"/>
  <c r="M610" s="1"/>
  <c r="O610" s="1"/>
  <c r="Q610" s="1"/>
  <c r="S610" s="1"/>
  <c r="U610" s="1"/>
  <c r="G609"/>
  <c r="G970"/>
  <c r="I974"/>
  <c r="K974" s="1"/>
  <c r="M974" s="1"/>
  <c r="O974" s="1"/>
  <c r="Q974" s="1"/>
  <c r="S974" s="1"/>
  <c r="U974" s="1"/>
  <c r="G1616"/>
  <c r="I1617"/>
  <c r="K1617" s="1"/>
  <c r="M1617" s="1"/>
  <c r="O1617" s="1"/>
  <c r="Q1617" s="1"/>
  <c r="S1617" s="1"/>
  <c r="U1617" s="1"/>
  <c r="G419"/>
  <c r="I420"/>
  <c r="K420" s="1"/>
  <c r="M420" s="1"/>
  <c r="O420" s="1"/>
  <c r="Q420" s="1"/>
  <c r="S420" s="1"/>
  <c r="U420" s="1"/>
  <c r="I1081"/>
  <c r="K1081" s="1"/>
  <c r="M1081" s="1"/>
  <c r="O1081" s="1"/>
  <c r="Q1081" s="1"/>
  <c r="S1081" s="1"/>
  <c r="U1081" s="1"/>
  <c r="G1080"/>
  <c r="I1080" s="1"/>
  <c r="K1080" s="1"/>
  <c r="M1080" s="1"/>
  <c r="O1080" s="1"/>
  <c r="Q1080" s="1"/>
  <c r="S1080" s="1"/>
  <c r="U1080" s="1"/>
  <c r="G1403"/>
  <c r="I1404"/>
  <c r="K1404" s="1"/>
  <c r="M1404" s="1"/>
  <c r="O1404" s="1"/>
  <c r="Q1404" s="1"/>
  <c r="S1404" s="1"/>
  <c r="U1404" s="1"/>
  <c r="G319"/>
  <c r="I320"/>
  <c r="K320" s="1"/>
  <c r="M320" s="1"/>
  <c r="O320" s="1"/>
  <c r="Q320" s="1"/>
  <c r="S320" s="1"/>
  <c r="U320" s="1"/>
  <c r="G463"/>
  <c r="I464"/>
  <c r="K464" s="1"/>
  <c r="M464" s="1"/>
  <c r="O464" s="1"/>
  <c r="Q464" s="1"/>
  <c r="S464" s="1"/>
  <c r="U464" s="1"/>
  <c r="G543"/>
  <c r="I544"/>
  <c r="K544" s="1"/>
  <c r="M544" s="1"/>
  <c r="O544" s="1"/>
  <c r="Q544" s="1"/>
  <c r="S544" s="1"/>
  <c r="U544" s="1"/>
  <c r="G673"/>
  <c r="I674"/>
  <c r="K674" s="1"/>
  <c r="M674" s="1"/>
  <c r="O674" s="1"/>
  <c r="Q674" s="1"/>
  <c r="S674" s="1"/>
  <c r="U674" s="1"/>
  <c r="G943"/>
  <c r="I944"/>
  <c r="K944" s="1"/>
  <c r="M944" s="1"/>
  <c r="O944" s="1"/>
  <c r="Q944" s="1"/>
  <c r="S944" s="1"/>
  <c r="U944" s="1"/>
  <c r="G1062"/>
  <c r="I1063"/>
  <c r="K1063" s="1"/>
  <c r="M1063" s="1"/>
  <c r="O1063" s="1"/>
  <c r="Q1063" s="1"/>
  <c r="S1063" s="1"/>
  <c r="U1063" s="1"/>
  <c r="G1122"/>
  <c r="I1123"/>
  <c r="K1123" s="1"/>
  <c r="M1123" s="1"/>
  <c r="O1123" s="1"/>
  <c r="Q1123" s="1"/>
  <c r="S1123" s="1"/>
  <c r="U1123" s="1"/>
  <c r="G1224"/>
  <c r="I1224" s="1"/>
  <c r="K1224" s="1"/>
  <c r="M1224" s="1"/>
  <c r="O1224" s="1"/>
  <c r="Q1224" s="1"/>
  <c r="S1224" s="1"/>
  <c r="U1224" s="1"/>
  <c r="I1225"/>
  <c r="K1225" s="1"/>
  <c r="M1225" s="1"/>
  <c r="O1225" s="1"/>
  <c r="Q1225" s="1"/>
  <c r="S1225" s="1"/>
  <c r="U1225" s="1"/>
  <c r="G1339"/>
  <c r="I1343"/>
  <c r="K1343" s="1"/>
  <c r="M1343" s="1"/>
  <c r="O1343" s="1"/>
  <c r="Q1343" s="1"/>
  <c r="S1343" s="1"/>
  <c r="U1343" s="1"/>
  <c r="G1726"/>
  <c r="I1727"/>
  <c r="K1727" s="1"/>
  <c r="M1727" s="1"/>
  <c r="O1727" s="1"/>
  <c r="Q1727" s="1"/>
  <c r="S1727" s="1"/>
  <c r="U1727" s="1"/>
  <c r="G1135"/>
  <c r="I1135" s="1"/>
  <c r="K1135" s="1"/>
  <c r="M1135" s="1"/>
  <c r="O1135" s="1"/>
  <c r="Q1135" s="1"/>
  <c r="S1135" s="1"/>
  <c r="U1135" s="1"/>
  <c r="I1136"/>
  <c r="K1136" s="1"/>
  <c r="M1136" s="1"/>
  <c r="O1136" s="1"/>
  <c r="Q1136" s="1"/>
  <c r="S1136" s="1"/>
  <c r="U1136" s="1"/>
  <c r="G738"/>
  <c r="I739"/>
  <c r="K739" s="1"/>
  <c r="M739" s="1"/>
  <c r="O739" s="1"/>
  <c r="Q739" s="1"/>
  <c r="S739" s="1"/>
  <c r="U739" s="1"/>
  <c r="G1093"/>
  <c r="I1093" s="1"/>
  <c r="K1093" s="1"/>
  <c r="M1093" s="1"/>
  <c r="O1093" s="1"/>
  <c r="Q1093" s="1"/>
  <c r="S1093" s="1"/>
  <c r="U1093" s="1"/>
  <c r="I1094"/>
  <c r="K1094" s="1"/>
  <c r="M1094" s="1"/>
  <c r="O1094" s="1"/>
  <c r="Q1094" s="1"/>
  <c r="S1094" s="1"/>
  <c r="U1094" s="1"/>
  <c r="G1211"/>
  <c r="I1212"/>
  <c r="K1212" s="1"/>
  <c r="M1212" s="1"/>
  <c r="O1212" s="1"/>
  <c r="Q1212" s="1"/>
  <c r="S1212" s="1"/>
  <c r="U1212" s="1"/>
  <c r="G1363"/>
  <c r="I1367"/>
  <c r="K1367" s="1"/>
  <c r="M1367" s="1"/>
  <c r="O1367" s="1"/>
  <c r="Q1367" s="1"/>
  <c r="S1367" s="1"/>
  <c r="U1367" s="1"/>
  <c r="G748"/>
  <c r="I748" s="1"/>
  <c r="K748" s="1"/>
  <c r="M748" s="1"/>
  <c r="O748" s="1"/>
  <c r="Q748" s="1"/>
  <c r="S748" s="1"/>
  <c r="U748" s="1"/>
  <c r="I749"/>
  <c r="K749" s="1"/>
  <c r="M749" s="1"/>
  <c r="O749" s="1"/>
  <c r="Q749" s="1"/>
  <c r="S749" s="1"/>
  <c r="U749" s="1"/>
  <c r="G904"/>
  <c r="I905"/>
  <c r="K905" s="1"/>
  <c r="M905" s="1"/>
  <c r="O905" s="1"/>
  <c r="Q905" s="1"/>
  <c r="S905" s="1"/>
  <c r="U905" s="1"/>
  <c r="G1044"/>
  <c r="I1045"/>
  <c r="K1045" s="1"/>
  <c r="M1045" s="1"/>
  <c r="O1045" s="1"/>
  <c r="Q1045" s="1"/>
  <c r="S1045" s="1"/>
  <c r="U1045" s="1"/>
  <c r="G1355"/>
  <c r="I1359"/>
  <c r="K1359" s="1"/>
  <c r="M1359" s="1"/>
  <c r="O1359" s="1"/>
  <c r="Q1359" s="1"/>
  <c r="S1359" s="1"/>
  <c r="U1359" s="1"/>
  <c r="G1623"/>
  <c r="I1624"/>
  <c r="K1624" s="1"/>
  <c r="M1624" s="1"/>
  <c r="O1624" s="1"/>
  <c r="Q1624" s="1"/>
  <c r="S1624" s="1"/>
  <c r="U1624" s="1"/>
  <c r="H1060"/>
  <c r="H1059" s="1"/>
  <c r="G802"/>
  <c r="I742"/>
  <c r="K742" s="1"/>
  <c r="M742" s="1"/>
  <c r="O742" s="1"/>
  <c r="Q742" s="1"/>
  <c r="S742" s="1"/>
  <c r="U742" s="1"/>
  <c r="H1360" i="6"/>
  <c r="J1360" s="1"/>
  <c r="L1360" s="1"/>
  <c r="N1360" s="1"/>
  <c r="P1360" s="1"/>
  <c r="R1360" s="1"/>
  <c r="T1360" s="1"/>
  <c r="G583"/>
  <c r="G582" s="1"/>
  <c r="H747"/>
  <c r="J747" s="1"/>
  <c r="L747" s="1"/>
  <c r="N747" s="1"/>
  <c r="P747" s="1"/>
  <c r="R747" s="1"/>
  <c r="T747" s="1"/>
  <c r="F928"/>
  <c r="H928" s="1"/>
  <c r="J928" s="1"/>
  <c r="L928" s="1"/>
  <c r="N928" s="1"/>
  <c r="P928" s="1"/>
  <c r="R928" s="1"/>
  <c r="T928" s="1"/>
  <c r="H64"/>
  <c r="J64" s="1"/>
  <c r="L64" s="1"/>
  <c r="N64" s="1"/>
  <c r="P64" s="1"/>
  <c r="R64" s="1"/>
  <c r="T64" s="1"/>
  <c r="H63"/>
  <c r="J63" s="1"/>
  <c r="L63" s="1"/>
  <c r="N63" s="1"/>
  <c r="P63" s="1"/>
  <c r="R63" s="1"/>
  <c r="T63" s="1"/>
  <c r="H737"/>
  <c r="J737" s="1"/>
  <c r="L737" s="1"/>
  <c r="N737" s="1"/>
  <c r="P737" s="1"/>
  <c r="R737" s="1"/>
  <c r="T737" s="1"/>
  <c r="G1521"/>
  <c r="G1520" s="1"/>
  <c r="G1514" s="1"/>
  <c r="H735"/>
  <c r="J735" s="1"/>
  <c r="L735" s="1"/>
  <c r="N735" s="1"/>
  <c r="P735" s="1"/>
  <c r="R735" s="1"/>
  <c r="T735" s="1"/>
  <c r="G1419"/>
  <c r="H1419" s="1"/>
  <c r="J1419" s="1"/>
  <c r="L1419" s="1"/>
  <c r="N1419" s="1"/>
  <c r="P1419" s="1"/>
  <c r="R1419" s="1"/>
  <c r="T1419" s="1"/>
  <c r="H510"/>
  <c r="J510" s="1"/>
  <c r="L510" s="1"/>
  <c r="N510" s="1"/>
  <c r="P510" s="1"/>
  <c r="R510" s="1"/>
  <c r="T510" s="1"/>
  <c r="G500"/>
  <c r="G460" s="1"/>
  <c r="H1198" i="5"/>
  <c r="I1199"/>
  <c r="K1199" s="1"/>
  <c r="M1199" s="1"/>
  <c r="O1199" s="1"/>
  <c r="Q1199" s="1"/>
  <c r="S1199" s="1"/>
  <c r="U1199" s="1"/>
  <c r="H1424" i="6"/>
  <c r="J1424" s="1"/>
  <c r="L1424" s="1"/>
  <c r="N1424" s="1"/>
  <c r="P1424" s="1"/>
  <c r="R1424" s="1"/>
  <c r="T1424" s="1"/>
  <c r="H578"/>
  <c r="J578" s="1"/>
  <c r="L578" s="1"/>
  <c r="N578" s="1"/>
  <c r="P578" s="1"/>
  <c r="R578" s="1"/>
  <c r="T578" s="1"/>
  <c r="F1489"/>
  <c r="H1490"/>
  <c r="J1490" s="1"/>
  <c r="L1490" s="1"/>
  <c r="N1490" s="1"/>
  <c r="P1490" s="1"/>
  <c r="R1490" s="1"/>
  <c r="T1490" s="1"/>
  <c r="F1055"/>
  <c r="H1056"/>
  <c r="J1056" s="1"/>
  <c r="L1056" s="1"/>
  <c r="N1056" s="1"/>
  <c r="P1056" s="1"/>
  <c r="R1056" s="1"/>
  <c r="T1056" s="1"/>
  <c r="F1745"/>
  <c r="H1746"/>
  <c r="J1746" s="1"/>
  <c r="L1746" s="1"/>
  <c r="N1746" s="1"/>
  <c r="P1746" s="1"/>
  <c r="R1746" s="1"/>
  <c r="T1746" s="1"/>
  <c r="F1134"/>
  <c r="H1135"/>
  <c r="J1135" s="1"/>
  <c r="L1135" s="1"/>
  <c r="N1135" s="1"/>
  <c r="P1135" s="1"/>
  <c r="R1135" s="1"/>
  <c r="T1135" s="1"/>
  <c r="F1119"/>
  <c r="H1120"/>
  <c r="J1120" s="1"/>
  <c r="L1120" s="1"/>
  <c r="N1120" s="1"/>
  <c r="P1120" s="1"/>
  <c r="R1120" s="1"/>
  <c r="T1120" s="1"/>
  <c r="F1092"/>
  <c r="H1093"/>
  <c r="J1093" s="1"/>
  <c r="L1093" s="1"/>
  <c r="N1093" s="1"/>
  <c r="P1093" s="1"/>
  <c r="R1093" s="1"/>
  <c r="T1093" s="1"/>
  <c r="F763"/>
  <c r="H764"/>
  <c r="J764" s="1"/>
  <c r="L764" s="1"/>
  <c r="N764" s="1"/>
  <c r="P764" s="1"/>
  <c r="R764" s="1"/>
  <c r="T764" s="1"/>
  <c r="F464"/>
  <c r="H465"/>
  <c r="J465" s="1"/>
  <c r="L465" s="1"/>
  <c r="N465" s="1"/>
  <c r="P465" s="1"/>
  <c r="R465" s="1"/>
  <c r="T465" s="1"/>
  <c r="F1321"/>
  <c r="H1324"/>
  <c r="J1324" s="1"/>
  <c r="L1324" s="1"/>
  <c r="N1324" s="1"/>
  <c r="P1324" s="1"/>
  <c r="R1324" s="1"/>
  <c r="T1324" s="1"/>
  <c r="F432"/>
  <c r="H433"/>
  <c r="J433" s="1"/>
  <c r="L433" s="1"/>
  <c r="N433" s="1"/>
  <c r="P433" s="1"/>
  <c r="R433" s="1"/>
  <c r="T433" s="1"/>
  <c r="F322"/>
  <c r="H323"/>
  <c r="J323" s="1"/>
  <c r="L323" s="1"/>
  <c r="N323" s="1"/>
  <c r="P323" s="1"/>
  <c r="R323" s="1"/>
  <c r="T323" s="1"/>
  <c r="F174"/>
  <c r="H174" s="1"/>
  <c r="J174" s="1"/>
  <c r="L174" s="1"/>
  <c r="N174" s="1"/>
  <c r="P174" s="1"/>
  <c r="R174" s="1"/>
  <c r="T174" s="1"/>
  <c r="H175"/>
  <c r="J175" s="1"/>
  <c r="L175" s="1"/>
  <c r="N175" s="1"/>
  <c r="P175" s="1"/>
  <c r="R175" s="1"/>
  <c r="T175" s="1"/>
  <c r="F560"/>
  <c r="H561"/>
  <c r="J561" s="1"/>
  <c r="L561" s="1"/>
  <c r="N561" s="1"/>
  <c r="P561" s="1"/>
  <c r="R561" s="1"/>
  <c r="T561" s="1"/>
  <c r="F158"/>
  <c r="H159"/>
  <c r="J159" s="1"/>
  <c r="L159" s="1"/>
  <c r="N159" s="1"/>
  <c r="P159" s="1"/>
  <c r="R159" s="1"/>
  <c r="T159" s="1"/>
  <c r="F564"/>
  <c r="H565"/>
  <c r="J565" s="1"/>
  <c r="L565" s="1"/>
  <c r="N565" s="1"/>
  <c r="P565" s="1"/>
  <c r="R565" s="1"/>
  <c r="T565" s="1"/>
  <c r="F755"/>
  <c r="H756"/>
  <c r="J756" s="1"/>
  <c r="L756" s="1"/>
  <c r="N756" s="1"/>
  <c r="P756" s="1"/>
  <c r="R756" s="1"/>
  <c r="T756" s="1"/>
  <c r="F1528"/>
  <c r="H1528" s="1"/>
  <c r="J1528" s="1"/>
  <c r="L1528" s="1"/>
  <c r="N1528" s="1"/>
  <c r="P1528" s="1"/>
  <c r="R1528" s="1"/>
  <c r="T1528" s="1"/>
  <c r="H1529"/>
  <c r="J1529" s="1"/>
  <c r="L1529" s="1"/>
  <c r="N1529" s="1"/>
  <c r="P1529" s="1"/>
  <c r="R1529" s="1"/>
  <c r="T1529" s="1"/>
  <c r="F977"/>
  <c r="H978"/>
  <c r="J978" s="1"/>
  <c r="L978" s="1"/>
  <c r="N978" s="1"/>
  <c r="P978" s="1"/>
  <c r="R978" s="1"/>
  <c r="T978" s="1"/>
  <c r="F222"/>
  <c r="H223"/>
  <c r="J223" s="1"/>
  <c r="L223" s="1"/>
  <c r="N223" s="1"/>
  <c r="P223" s="1"/>
  <c r="R223" s="1"/>
  <c r="T223" s="1"/>
  <c r="H1713"/>
  <c r="J1713" s="1"/>
  <c r="L1713" s="1"/>
  <c r="N1713" s="1"/>
  <c r="P1713" s="1"/>
  <c r="R1713" s="1"/>
  <c r="T1713" s="1"/>
  <c r="F1750"/>
  <c r="H1751"/>
  <c r="J1751" s="1"/>
  <c r="L1751" s="1"/>
  <c r="N1751" s="1"/>
  <c r="P1751" s="1"/>
  <c r="R1751" s="1"/>
  <c r="T1751" s="1"/>
  <c r="F1124"/>
  <c r="H1125"/>
  <c r="J1125" s="1"/>
  <c r="L1125" s="1"/>
  <c r="N1125" s="1"/>
  <c r="P1125" s="1"/>
  <c r="R1125" s="1"/>
  <c r="T1125" s="1"/>
  <c r="F1232"/>
  <c r="H1233"/>
  <c r="J1233" s="1"/>
  <c r="L1233" s="1"/>
  <c r="N1233" s="1"/>
  <c r="P1233" s="1"/>
  <c r="R1233" s="1"/>
  <c r="T1233" s="1"/>
  <c r="F864"/>
  <c r="H865"/>
  <c r="J865" s="1"/>
  <c r="L865" s="1"/>
  <c r="N865" s="1"/>
  <c r="P865" s="1"/>
  <c r="R865" s="1"/>
  <c r="T865" s="1"/>
  <c r="F484"/>
  <c r="H485"/>
  <c r="J485" s="1"/>
  <c r="L485" s="1"/>
  <c r="N485" s="1"/>
  <c r="P485" s="1"/>
  <c r="R485" s="1"/>
  <c r="T485" s="1"/>
  <c r="F456"/>
  <c r="H457"/>
  <c r="J457" s="1"/>
  <c r="L457" s="1"/>
  <c r="N457" s="1"/>
  <c r="P457" s="1"/>
  <c r="R457" s="1"/>
  <c r="T457" s="1"/>
  <c r="F248"/>
  <c r="H249"/>
  <c r="J249" s="1"/>
  <c r="L249" s="1"/>
  <c r="N249" s="1"/>
  <c r="P249" s="1"/>
  <c r="R249" s="1"/>
  <c r="T249" s="1"/>
  <c r="F326"/>
  <c r="H326" s="1"/>
  <c r="J326" s="1"/>
  <c r="L326" s="1"/>
  <c r="N326" s="1"/>
  <c r="P326" s="1"/>
  <c r="R326" s="1"/>
  <c r="T326" s="1"/>
  <c r="H327"/>
  <c r="J327" s="1"/>
  <c r="L327" s="1"/>
  <c r="N327" s="1"/>
  <c r="P327" s="1"/>
  <c r="R327" s="1"/>
  <c r="T327" s="1"/>
  <c r="F1267"/>
  <c r="H1268"/>
  <c r="J1268" s="1"/>
  <c r="L1268" s="1"/>
  <c r="N1268" s="1"/>
  <c r="P1268" s="1"/>
  <c r="R1268" s="1"/>
  <c r="T1268" s="1"/>
  <c r="F182"/>
  <c r="H183"/>
  <c r="J183" s="1"/>
  <c r="L183" s="1"/>
  <c r="N183" s="1"/>
  <c r="P183" s="1"/>
  <c r="R183" s="1"/>
  <c r="T183" s="1"/>
  <c r="F856"/>
  <c r="H856" s="1"/>
  <c r="J856" s="1"/>
  <c r="L856" s="1"/>
  <c r="N856" s="1"/>
  <c r="P856" s="1"/>
  <c r="R856" s="1"/>
  <c r="T856" s="1"/>
  <c r="H857"/>
  <c r="J857" s="1"/>
  <c r="L857" s="1"/>
  <c r="N857" s="1"/>
  <c r="P857" s="1"/>
  <c r="R857" s="1"/>
  <c r="T857" s="1"/>
  <c r="F1043"/>
  <c r="H1044"/>
  <c r="J1044" s="1"/>
  <c r="L1044" s="1"/>
  <c r="N1044" s="1"/>
  <c r="P1044" s="1"/>
  <c r="R1044" s="1"/>
  <c r="T1044" s="1"/>
  <c r="F1461"/>
  <c r="H1462"/>
  <c r="J1462" s="1"/>
  <c r="L1462" s="1"/>
  <c r="N1462" s="1"/>
  <c r="P1462" s="1"/>
  <c r="R1462" s="1"/>
  <c r="T1462" s="1"/>
  <c r="F1219"/>
  <c r="H1220"/>
  <c r="J1220" s="1"/>
  <c r="L1220" s="1"/>
  <c r="N1220" s="1"/>
  <c r="P1220" s="1"/>
  <c r="R1220" s="1"/>
  <c r="T1220" s="1"/>
  <c r="F310"/>
  <c r="H311"/>
  <c r="J311" s="1"/>
  <c r="L311" s="1"/>
  <c r="N311" s="1"/>
  <c r="P311" s="1"/>
  <c r="R311" s="1"/>
  <c r="T311" s="1"/>
  <c r="F86"/>
  <c r="H87"/>
  <c r="J87" s="1"/>
  <c r="L87" s="1"/>
  <c r="N87" s="1"/>
  <c r="P87" s="1"/>
  <c r="R87" s="1"/>
  <c r="T87" s="1"/>
  <c r="G1742"/>
  <c r="G1741" s="1"/>
  <c r="H738"/>
  <c r="J738" s="1"/>
  <c r="L738" s="1"/>
  <c r="N738" s="1"/>
  <c r="P738" s="1"/>
  <c r="R738" s="1"/>
  <c r="T738" s="1"/>
  <c r="H1421"/>
  <c r="J1421" s="1"/>
  <c r="L1421" s="1"/>
  <c r="N1421" s="1"/>
  <c r="P1421" s="1"/>
  <c r="R1421" s="1"/>
  <c r="T1421" s="1"/>
  <c r="H736"/>
  <c r="J736" s="1"/>
  <c r="L736" s="1"/>
  <c r="N736" s="1"/>
  <c r="P736" s="1"/>
  <c r="R736" s="1"/>
  <c r="T736" s="1"/>
  <c r="G1329"/>
  <c r="G1328" s="1"/>
  <c r="H675"/>
  <c r="J675" s="1"/>
  <c r="L675" s="1"/>
  <c r="N675" s="1"/>
  <c r="P675" s="1"/>
  <c r="R675" s="1"/>
  <c r="T675" s="1"/>
  <c r="F502"/>
  <c r="H503"/>
  <c r="J503" s="1"/>
  <c r="L503" s="1"/>
  <c r="N503" s="1"/>
  <c r="P503" s="1"/>
  <c r="R503" s="1"/>
  <c r="T503" s="1"/>
  <c r="F146"/>
  <c r="H147"/>
  <c r="J147" s="1"/>
  <c r="L147" s="1"/>
  <c r="N147" s="1"/>
  <c r="P147" s="1"/>
  <c r="R147" s="1"/>
  <c r="T147" s="1"/>
  <c r="F889"/>
  <c r="H893"/>
  <c r="J893" s="1"/>
  <c r="L893" s="1"/>
  <c r="N893" s="1"/>
  <c r="P893" s="1"/>
  <c r="R893" s="1"/>
  <c r="T893" s="1"/>
  <c r="F937"/>
  <c r="H937" s="1"/>
  <c r="J937" s="1"/>
  <c r="L937" s="1"/>
  <c r="N937" s="1"/>
  <c r="P937" s="1"/>
  <c r="R937" s="1"/>
  <c r="T937" s="1"/>
  <c r="H938"/>
  <c r="J938" s="1"/>
  <c r="L938" s="1"/>
  <c r="N938" s="1"/>
  <c r="P938" s="1"/>
  <c r="R938" s="1"/>
  <c r="T938" s="1"/>
  <c r="F1666"/>
  <c r="H1667"/>
  <c r="J1667" s="1"/>
  <c r="L1667" s="1"/>
  <c r="N1667" s="1"/>
  <c r="P1667" s="1"/>
  <c r="R1667" s="1"/>
  <c r="T1667" s="1"/>
  <c r="F1568"/>
  <c r="H1568" s="1"/>
  <c r="J1568" s="1"/>
  <c r="L1568" s="1"/>
  <c r="N1568" s="1"/>
  <c r="P1568" s="1"/>
  <c r="R1568" s="1"/>
  <c r="T1568" s="1"/>
  <c r="H1569"/>
  <c r="J1569" s="1"/>
  <c r="L1569" s="1"/>
  <c r="N1569" s="1"/>
  <c r="P1569" s="1"/>
  <c r="R1569" s="1"/>
  <c r="T1569" s="1"/>
  <c r="F1152"/>
  <c r="H1153"/>
  <c r="J1153" s="1"/>
  <c r="L1153" s="1"/>
  <c r="N1153" s="1"/>
  <c r="P1153" s="1"/>
  <c r="R1153" s="1"/>
  <c r="T1153" s="1"/>
  <c r="F1086"/>
  <c r="H1087"/>
  <c r="J1087" s="1"/>
  <c r="L1087" s="1"/>
  <c r="N1087" s="1"/>
  <c r="P1087" s="1"/>
  <c r="R1087" s="1"/>
  <c r="T1087" s="1"/>
  <c r="F795"/>
  <c r="H796"/>
  <c r="J796" s="1"/>
  <c r="L796" s="1"/>
  <c r="N796" s="1"/>
  <c r="P796" s="1"/>
  <c r="R796" s="1"/>
  <c r="T796" s="1"/>
  <c r="F1609"/>
  <c r="H1610"/>
  <c r="J1610" s="1"/>
  <c r="L1610" s="1"/>
  <c r="N1610" s="1"/>
  <c r="P1610" s="1"/>
  <c r="R1610" s="1"/>
  <c r="T1610" s="1"/>
  <c r="F382"/>
  <c r="H383"/>
  <c r="J383" s="1"/>
  <c r="L383" s="1"/>
  <c r="N383" s="1"/>
  <c r="P383" s="1"/>
  <c r="R383" s="1"/>
  <c r="T383" s="1"/>
  <c r="F424"/>
  <c r="H425"/>
  <c r="J425" s="1"/>
  <c r="L425" s="1"/>
  <c r="N425" s="1"/>
  <c r="P425" s="1"/>
  <c r="R425" s="1"/>
  <c r="T425" s="1"/>
  <c r="F314"/>
  <c r="H314" s="1"/>
  <c r="J314" s="1"/>
  <c r="L314" s="1"/>
  <c r="N314" s="1"/>
  <c r="P314" s="1"/>
  <c r="R314" s="1"/>
  <c r="T314" s="1"/>
  <c r="H315"/>
  <c r="J315" s="1"/>
  <c r="L315" s="1"/>
  <c r="N315" s="1"/>
  <c r="P315" s="1"/>
  <c r="R315" s="1"/>
  <c r="T315" s="1"/>
  <c r="F1544"/>
  <c r="H1545"/>
  <c r="J1545" s="1"/>
  <c r="L1545" s="1"/>
  <c r="N1545" s="1"/>
  <c r="P1545" s="1"/>
  <c r="R1545" s="1"/>
  <c r="T1545" s="1"/>
  <c r="F134"/>
  <c r="H135"/>
  <c r="J135" s="1"/>
  <c r="L135" s="1"/>
  <c r="N135" s="1"/>
  <c r="P135" s="1"/>
  <c r="R135" s="1"/>
  <c r="T135" s="1"/>
  <c r="F1431"/>
  <c r="H1432"/>
  <c r="J1432" s="1"/>
  <c r="L1432" s="1"/>
  <c r="N1432" s="1"/>
  <c r="P1432" s="1"/>
  <c r="R1432" s="1"/>
  <c r="T1432" s="1"/>
  <c r="F1038"/>
  <c r="H1039"/>
  <c r="J1039" s="1"/>
  <c r="L1039" s="1"/>
  <c r="N1039" s="1"/>
  <c r="P1039" s="1"/>
  <c r="R1039" s="1"/>
  <c r="T1039" s="1"/>
  <c r="F958"/>
  <c r="H959"/>
  <c r="J959" s="1"/>
  <c r="L959" s="1"/>
  <c r="N959" s="1"/>
  <c r="P959" s="1"/>
  <c r="R959" s="1"/>
  <c r="T959" s="1"/>
  <c r="F1502"/>
  <c r="H1503"/>
  <c r="J1503" s="1"/>
  <c r="L1503" s="1"/>
  <c r="N1503" s="1"/>
  <c r="P1503" s="1"/>
  <c r="R1503" s="1"/>
  <c r="T1503" s="1"/>
  <c r="F1049"/>
  <c r="H1050"/>
  <c r="J1050" s="1"/>
  <c r="L1050" s="1"/>
  <c r="N1050" s="1"/>
  <c r="P1050" s="1"/>
  <c r="R1050" s="1"/>
  <c r="T1050" s="1"/>
  <c r="F970"/>
  <c r="H971"/>
  <c r="J971" s="1"/>
  <c r="L971" s="1"/>
  <c r="N971" s="1"/>
  <c r="P971" s="1"/>
  <c r="R971" s="1"/>
  <c r="T971" s="1"/>
  <c r="F1737"/>
  <c r="H1738"/>
  <c r="J1738" s="1"/>
  <c r="L1738" s="1"/>
  <c r="N1738" s="1"/>
  <c r="P1738" s="1"/>
  <c r="R1738" s="1"/>
  <c r="T1738" s="1"/>
  <c r="F1755"/>
  <c r="H1756"/>
  <c r="J1756" s="1"/>
  <c r="L1756" s="1"/>
  <c r="N1756" s="1"/>
  <c r="P1756" s="1"/>
  <c r="R1756" s="1"/>
  <c r="T1756" s="1"/>
  <c r="F767"/>
  <c r="H768"/>
  <c r="J768" s="1"/>
  <c r="L768" s="1"/>
  <c r="N768" s="1"/>
  <c r="P768" s="1"/>
  <c r="R768" s="1"/>
  <c r="T768" s="1"/>
  <c r="F1140"/>
  <c r="H1141"/>
  <c r="J1141" s="1"/>
  <c r="L1141" s="1"/>
  <c r="N1141" s="1"/>
  <c r="P1141" s="1"/>
  <c r="R1141" s="1"/>
  <c r="T1141" s="1"/>
  <c r="H1600"/>
  <c r="J1600" s="1"/>
  <c r="L1600" s="1"/>
  <c r="N1600" s="1"/>
  <c r="P1600" s="1"/>
  <c r="R1600" s="1"/>
  <c r="T1600" s="1"/>
  <c r="F1575"/>
  <c r="H1576"/>
  <c r="J1576" s="1"/>
  <c r="L1576" s="1"/>
  <c r="N1576" s="1"/>
  <c r="P1576" s="1"/>
  <c r="R1576" s="1"/>
  <c r="T1576" s="1"/>
  <c r="F1592"/>
  <c r="H1593"/>
  <c r="J1593" s="1"/>
  <c r="L1593" s="1"/>
  <c r="N1593" s="1"/>
  <c r="P1593" s="1"/>
  <c r="R1593" s="1"/>
  <c r="T1593" s="1"/>
  <c r="F552"/>
  <c r="H552" s="1"/>
  <c r="J552" s="1"/>
  <c r="L552" s="1"/>
  <c r="N552" s="1"/>
  <c r="P552" s="1"/>
  <c r="R552" s="1"/>
  <c r="T552" s="1"/>
  <c r="H553"/>
  <c r="J553" s="1"/>
  <c r="L553" s="1"/>
  <c r="N553" s="1"/>
  <c r="P553" s="1"/>
  <c r="R553" s="1"/>
  <c r="T553" s="1"/>
  <c r="F352"/>
  <c r="H353"/>
  <c r="J353" s="1"/>
  <c r="L353" s="1"/>
  <c r="N353" s="1"/>
  <c r="P353" s="1"/>
  <c r="R353" s="1"/>
  <c r="T353" s="1"/>
  <c r="F334"/>
  <c r="H335"/>
  <c r="J335" s="1"/>
  <c r="L335" s="1"/>
  <c r="N335" s="1"/>
  <c r="P335" s="1"/>
  <c r="R335" s="1"/>
  <c r="T335" s="1"/>
  <c r="F442"/>
  <c r="H443"/>
  <c r="J443" s="1"/>
  <c r="L443" s="1"/>
  <c r="N443" s="1"/>
  <c r="P443" s="1"/>
  <c r="R443" s="1"/>
  <c r="T443" s="1"/>
  <c r="F162"/>
  <c r="H163"/>
  <c r="J163" s="1"/>
  <c r="L163" s="1"/>
  <c r="N163" s="1"/>
  <c r="P163" s="1"/>
  <c r="R163" s="1"/>
  <c r="T163" s="1"/>
  <c r="F1619"/>
  <c r="H1620"/>
  <c r="J1620" s="1"/>
  <c r="L1620" s="1"/>
  <c r="N1620" s="1"/>
  <c r="P1620" s="1"/>
  <c r="R1620" s="1"/>
  <c r="T1620" s="1"/>
  <c r="F1393"/>
  <c r="H1394"/>
  <c r="J1394" s="1"/>
  <c r="L1394" s="1"/>
  <c r="N1394" s="1"/>
  <c r="P1394" s="1"/>
  <c r="R1394" s="1"/>
  <c r="T1394" s="1"/>
  <c r="F918"/>
  <c r="H919"/>
  <c r="J919" s="1"/>
  <c r="L919" s="1"/>
  <c r="N919" s="1"/>
  <c r="P919" s="1"/>
  <c r="R919" s="1"/>
  <c r="T919" s="1"/>
  <c r="F1525"/>
  <c r="H1526"/>
  <c r="J1526" s="1"/>
  <c r="L1526" s="1"/>
  <c r="N1526" s="1"/>
  <c r="P1526" s="1"/>
  <c r="R1526" s="1"/>
  <c r="T1526" s="1"/>
  <c r="F78"/>
  <c r="H79"/>
  <c r="J79" s="1"/>
  <c r="L79" s="1"/>
  <c r="N79" s="1"/>
  <c r="P79" s="1"/>
  <c r="R79" s="1"/>
  <c r="T79" s="1"/>
  <c r="F897"/>
  <c r="H898"/>
  <c r="J898" s="1"/>
  <c r="L898" s="1"/>
  <c r="N898" s="1"/>
  <c r="P898" s="1"/>
  <c r="R898" s="1"/>
  <c r="T898" s="1"/>
  <c r="F638"/>
  <c r="H638" s="1"/>
  <c r="J638" s="1"/>
  <c r="L638" s="1"/>
  <c r="N638" s="1"/>
  <c r="P638" s="1"/>
  <c r="R638" s="1"/>
  <c r="T638" s="1"/>
  <c r="H639"/>
  <c r="J639" s="1"/>
  <c r="L639" s="1"/>
  <c r="N639" s="1"/>
  <c r="P639" s="1"/>
  <c r="R639" s="1"/>
  <c r="T639" s="1"/>
  <c r="F1793"/>
  <c r="H1794"/>
  <c r="J1794" s="1"/>
  <c r="L1794" s="1"/>
  <c r="N1794" s="1"/>
  <c r="P1794" s="1"/>
  <c r="R1794" s="1"/>
  <c r="T1794" s="1"/>
  <c r="F1200"/>
  <c r="H1201"/>
  <c r="J1201" s="1"/>
  <c r="L1201" s="1"/>
  <c r="N1201" s="1"/>
  <c r="P1201" s="1"/>
  <c r="R1201" s="1"/>
  <c r="T1201" s="1"/>
  <c r="F1106"/>
  <c r="H1107"/>
  <c r="J1107" s="1"/>
  <c r="L1107" s="1"/>
  <c r="N1107" s="1"/>
  <c r="P1107" s="1"/>
  <c r="R1107" s="1"/>
  <c r="T1107" s="1"/>
  <c r="F799"/>
  <c r="H800"/>
  <c r="J800" s="1"/>
  <c r="L800" s="1"/>
  <c r="N800" s="1"/>
  <c r="P800" s="1"/>
  <c r="R800" s="1"/>
  <c r="T800" s="1"/>
  <c r="F540"/>
  <c r="H541"/>
  <c r="J541" s="1"/>
  <c r="L541" s="1"/>
  <c r="N541" s="1"/>
  <c r="P541" s="1"/>
  <c r="R541" s="1"/>
  <c r="T541" s="1"/>
  <c r="F1277"/>
  <c r="H1278"/>
  <c r="J1278" s="1"/>
  <c r="L1278" s="1"/>
  <c r="N1278" s="1"/>
  <c r="P1278" s="1"/>
  <c r="R1278" s="1"/>
  <c r="T1278" s="1"/>
  <c r="F302"/>
  <c r="H303"/>
  <c r="J303" s="1"/>
  <c r="L303" s="1"/>
  <c r="N303" s="1"/>
  <c r="P303" s="1"/>
  <c r="R303" s="1"/>
  <c r="T303" s="1"/>
  <c r="F368"/>
  <c r="H368" s="1"/>
  <c r="J368" s="1"/>
  <c r="L368" s="1"/>
  <c r="N368" s="1"/>
  <c r="P368" s="1"/>
  <c r="R368" s="1"/>
  <c r="T368" s="1"/>
  <c r="H369"/>
  <c r="J369" s="1"/>
  <c r="L369" s="1"/>
  <c r="N369" s="1"/>
  <c r="P369" s="1"/>
  <c r="R369" s="1"/>
  <c r="T369" s="1"/>
  <c r="F274"/>
  <c r="H275"/>
  <c r="J275" s="1"/>
  <c r="L275" s="1"/>
  <c r="N275" s="1"/>
  <c r="P275" s="1"/>
  <c r="R275" s="1"/>
  <c r="T275" s="1"/>
  <c r="F198"/>
  <c r="H199"/>
  <c r="J199" s="1"/>
  <c r="L199" s="1"/>
  <c r="N199" s="1"/>
  <c r="P199" s="1"/>
  <c r="R199" s="1"/>
  <c r="T199" s="1"/>
  <c r="F1068"/>
  <c r="H1069"/>
  <c r="J1069" s="1"/>
  <c r="L1069" s="1"/>
  <c r="N1069" s="1"/>
  <c r="P1069" s="1"/>
  <c r="R1069" s="1"/>
  <c r="T1069" s="1"/>
  <c r="F690"/>
  <c r="H691"/>
  <c r="J691" s="1"/>
  <c r="L691" s="1"/>
  <c r="N691" s="1"/>
  <c r="P691" s="1"/>
  <c r="R691" s="1"/>
  <c r="T691" s="1"/>
  <c r="F1723"/>
  <c r="H1724"/>
  <c r="J1724" s="1"/>
  <c r="L1724" s="1"/>
  <c r="N1724" s="1"/>
  <c r="P1724" s="1"/>
  <c r="R1724" s="1"/>
  <c r="T1724" s="1"/>
  <c r="F1656"/>
  <c r="H1657"/>
  <c r="J1657" s="1"/>
  <c r="L1657" s="1"/>
  <c r="N1657" s="1"/>
  <c r="P1657" s="1"/>
  <c r="R1657" s="1"/>
  <c r="T1657" s="1"/>
  <c r="F1215"/>
  <c r="H1216"/>
  <c r="J1216" s="1"/>
  <c r="L1216" s="1"/>
  <c r="N1216" s="1"/>
  <c r="P1216" s="1"/>
  <c r="R1216" s="1"/>
  <c r="T1216" s="1"/>
  <c r="F1554"/>
  <c r="H1555"/>
  <c r="J1555" s="1"/>
  <c r="L1555" s="1"/>
  <c r="N1555" s="1"/>
  <c r="P1555" s="1"/>
  <c r="R1555" s="1"/>
  <c r="T1555" s="1"/>
  <c r="F1098"/>
  <c r="H1099"/>
  <c r="J1099" s="1"/>
  <c r="L1099" s="1"/>
  <c r="N1099" s="1"/>
  <c r="P1099" s="1"/>
  <c r="R1099" s="1"/>
  <c r="T1099" s="1"/>
  <c r="F814"/>
  <c r="H815"/>
  <c r="J815" s="1"/>
  <c r="L815" s="1"/>
  <c r="N815" s="1"/>
  <c r="P815" s="1"/>
  <c r="R815" s="1"/>
  <c r="T815" s="1"/>
  <c r="F348"/>
  <c r="H349"/>
  <c r="J349" s="1"/>
  <c r="L349" s="1"/>
  <c r="N349" s="1"/>
  <c r="P349" s="1"/>
  <c r="R349" s="1"/>
  <c r="T349" s="1"/>
  <c r="F278"/>
  <c r="H279"/>
  <c r="J279" s="1"/>
  <c r="L279" s="1"/>
  <c r="N279" s="1"/>
  <c r="P279" s="1"/>
  <c r="R279" s="1"/>
  <c r="T279" s="1"/>
  <c r="F1585"/>
  <c r="H1586"/>
  <c r="J1586" s="1"/>
  <c r="L1586" s="1"/>
  <c r="N1586" s="1"/>
  <c r="P1586" s="1"/>
  <c r="R1586" s="1"/>
  <c r="T1586" s="1"/>
  <c r="F138"/>
  <c r="H139"/>
  <c r="J139" s="1"/>
  <c r="L139" s="1"/>
  <c r="N139" s="1"/>
  <c r="P139" s="1"/>
  <c r="R139" s="1"/>
  <c r="T139" s="1"/>
  <c r="F154"/>
  <c r="H155"/>
  <c r="J155" s="1"/>
  <c r="L155" s="1"/>
  <c r="N155" s="1"/>
  <c r="P155" s="1"/>
  <c r="R155" s="1"/>
  <c r="T155" s="1"/>
  <c r="F1018"/>
  <c r="H1019"/>
  <c r="J1019" s="1"/>
  <c r="L1019" s="1"/>
  <c r="N1019" s="1"/>
  <c r="P1019" s="1"/>
  <c r="R1019" s="1"/>
  <c r="T1019" s="1"/>
  <c r="F1614"/>
  <c r="H1615"/>
  <c r="J1615" s="1"/>
  <c r="L1615" s="1"/>
  <c r="N1615" s="1"/>
  <c r="P1615" s="1"/>
  <c r="R1615" s="1"/>
  <c r="T1615" s="1"/>
  <c r="F1451"/>
  <c r="H1452"/>
  <c r="J1452" s="1"/>
  <c r="L1452" s="1"/>
  <c r="N1452" s="1"/>
  <c r="P1452" s="1"/>
  <c r="R1452" s="1"/>
  <c r="T1452" s="1"/>
  <c r="F724"/>
  <c r="H725"/>
  <c r="J725" s="1"/>
  <c r="L725" s="1"/>
  <c r="N725" s="1"/>
  <c r="P725" s="1"/>
  <c r="R725" s="1"/>
  <c r="T725" s="1"/>
  <c r="F1517"/>
  <c r="H1518"/>
  <c r="J1518" s="1"/>
  <c r="L1518" s="1"/>
  <c r="N1518" s="1"/>
  <c r="P1518" s="1"/>
  <c r="R1518" s="1"/>
  <c r="T1518" s="1"/>
  <c r="F171"/>
  <c r="H172"/>
  <c r="J172" s="1"/>
  <c r="L172" s="1"/>
  <c r="N172" s="1"/>
  <c r="P172" s="1"/>
  <c r="R172" s="1"/>
  <c r="T172" s="1"/>
  <c r="F418"/>
  <c r="H419"/>
  <c r="J419" s="1"/>
  <c r="L419" s="1"/>
  <c r="N419" s="1"/>
  <c r="P419" s="1"/>
  <c r="R419" s="1"/>
  <c r="T419" s="1"/>
  <c r="H629"/>
  <c r="J629" s="1"/>
  <c r="L629" s="1"/>
  <c r="N629" s="1"/>
  <c r="P629" s="1"/>
  <c r="R629" s="1"/>
  <c r="T629" s="1"/>
  <c r="H628"/>
  <c r="J628" s="1"/>
  <c r="L628" s="1"/>
  <c r="N628" s="1"/>
  <c r="P628" s="1"/>
  <c r="R628" s="1"/>
  <c r="T628" s="1"/>
  <c r="H920"/>
  <c r="J920" s="1"/>
  <c r="L920" s="1"/>
  <c r="N920" s="1"/>
  <c r="P920" s="1"/>
  <c r="R920" s="1"/>
  <c r="T920" s="1"/>
  <c r="H495"/>
  <c r="J495" s="1"/>
  <c r="L495" s="1"/>
  <c r="N495" s="1"/>
  <c r="P495" s="1"/>
  <c r="R495" s="1"/>
  <c r="T495" s="1"/>
  <c r="F55"/>
  <c r="H56"/>
  <c r="J56" s="1"/>
  <c r="L56" s="1"/>
  <c r="N56" s="1"/>
  <c r="P56" s="1"/>
  <c r="R56" s="1"/>
  <c r="T56" s="1"/>
  <c r="F92"/>
  <c r="H93"/>
  <c r="J93" s="1"/>
  <c r="L93" s="1"/>
  <c r="N93" s="1"/>
  <c r="P93" s="1"/>
  <c r="R93" s="1"/>
  <c r="T93" s="1"/>
  <c r="F524"/>
  <c r="H525"/>
  <c r="J525" s="1"/>
  <c r="L525" s="1"/>
  <c r="N525" s="1"/>
  <c r="P525" s="1"/>
  <c r="R525" s="1"/>
  <c r="T525" s="1"/>
  <c r="F951"/>
  <c r="H952"/>
  <c r="J952" s="1"/>
  <c r="L952" s="1"/>
  <c r="N952" s="1"/>
  <c r="P952" s="1"/>
  <c r="R952" s="1"/>
  <c r="T952" s="1"/>
  <c r="F909"/>
  <c r="H910"/>
  <c r="J910" s="1"/>
  <c r="L910" s="1"/>
  <c r="N910" s="1"/>
  <c r="P910" s="1"/>
  <c r="R910" s="1"/>
  <c r="T910" s="1"/>
  <c r="F1778"/>
  <c r="H1779"/>
  <c r="J1779" s="1"/>
  <c r="L1779" s="1"/>
  <c r="N1779" s="1"/>
  <c r="P1779" s="1"/>
  <c r="R1779" s="1"/>
  <c r="T1779" s="1"/>
  <c r="F1770"/>
  <c r="H1771"/>
  <c r="J1771" s="1"/>
  <c r="L1771" s="1"/>
  <c r="N1771" s="1"/>
  <c r="P1771" s="1"/>
  <c r="R1771" s="1"/>
  <c r="T1771" s="1"/>
  <c r="F1783"/>
  <c r="H1784"/>
  <c r="J1784" s="1"/>
  <c r="L1784" s="1"/>
  <c r="N1784" s="1"/>
  <c r="P1784" s="1"/>
  <c r="R1784" s="1"/>
  <c r="T1784" s="1"/>
  <c r="F686"/>
  <c r="H687"/>
  <c r="J687" s="1"/>
  <c r="L687" s="1"/>
  <c r="N687" s="1"/>
  <c r="P687" s="1"/>
  <c r="R687" s="1"/>
  <c r="T687" s="1"/>
  <c r="F1146"/>
  <c r="H1147"/>
  <c r="J1147" s="1"/>
  <c r="L1147" s="1"/>
  <c r="N1147" s="1"/>
  <c r="P1147" s="1"/>
  <c r="R1147" s="1"/>
  <c r="T1147" s="1"/>
  <c r="F1602"/>
  <c r="H1602" s="1"/>
  <c r="J1602" s="1"/>
  <c r="L1602" s="1"/>
  <c r="N1602" s="1"/>
  <c r="P1602" s="1"/>
  <c r="R1602" s="1"/>
  <c r="T1602" s="1"/>
  <c r="H1603"/>
  <c r="J1603" s="1"/>
  <c r="L1603" s="1"/>
  <c r="N1603" s="1"/>
  <c r="P1603" s="1"/>
  <c r="R1603" s="1"/>
  <c r="T1603" s="1"/>
  <c r="F1081"/>
  <c r="H1082"/>
  <c r="J1082" s="1"/>
  <c r="L1082" s="1"/>
  <c r="N1082" s="1"/>
  <c r="P1082" s="1"/>
  <c r="R1082" s="1"/>
  <c r="T1082" s="1"/>
  <c r="F1578"/>
  <c r="H1578" s="1"/>
  <c r="J1578" s="1"/>
  <c r="L1578" s="1"/>
  <c r="N1578" s="1"/>
  <c r="P1578" s="1"/>
  <c r="R1578" s="1"/>
  <c r="T1578" s="1"/>
  <c r="H1579"/>
  <c r="J1579" s="1"/>
  <c r="L1579" s="1"/>
  <c r="N1579" s="1"/>
  <c r="P1579" s="1"/>
  <c r="R1579" s="1"/>
  <c r="T1579" s="1"/>
  <c r="F492"/>
  <c r="H492" s="1"/>
  <c r="J492" s="1"/>
  <c r="L492" s="1"/>
  <c r="N492" s="1"/>
  <c r="P492" s="1"/>
  <c r="R492" s="1"/>
  <c r="T492" s="1"/>
  <c r="H493"/>
  <c r="J493" s="1"/>
  <c r="L493" s="1"/>
  <c r="N493" s="1"/>
  <c r="P493" s="1"/>
  <c r="R493" s="1"/>
  <c r="T493" s="1"/>
  <c r="F1595"/>
  <c r="H1595" s="1"/>
  <c r="J1595" s="1"/>
  <c r="L1595" s="1"/>
  <c r="N1595" s="1"/>
  <c r="P1595" s="1"/>
  <c r="R1595" s="1"/>
  <c r="T1595" s="1"/>
  <c r="H1596"/>
  <c r="J1596" s="1"/>
  <c r="L1596" s="1"/>
  <c r="N1596" s="1"/>
  <c r="P1596" s="1"/>
  <c r="R1596" s="1"/>
  <c r="T1596" s="1"/>
  <c r="F660"/>
  <c r="H661"/>
  <c r="J661" s="1"/>
  <c r="L661" s="1"/>
  <c r="N661" s="1"/>
  <c r="P661" s="1"/>
  <c r="R661" s="1"/>
  <c r="T661" s="1"/>
  <c r="F266"/>
  <c r="H267"/>
  <c r="J267" s="1"/>
  <c r="L267" s="1"/>
  <c r="N267" s="1"/>
  <c r="P267" s="1"/>
  <c r="R267" s="1"/>
  <c r="T267" s="1"/>
  <c r="F364"/>
  <c r="H365"/>
  <c r="J365" s="1"/>
  <c r="L365" s="1"/>
  <c r="N365" s="1"/>
  <c r="P365" s="1"/>
  <c r="R365" s="1"/>
  <c r="T365" s="1"/>
  <c r="F237"/>
  <c r="H238"/>
  <c r="J238" s="1"/>
  <c r="L238" s="1"/>
  <c r="N238" s="1"/>
  <c r="P238" s="1"/>
  <c r="R238" s="1"/>
  <c r="T238" s="1"/>
  <c r="F548"/>
  <c r="H549"/>
  <c r="J549" s="1"/>
  <c r="L549" s="1"/>
  <c r="N549" s="1"/>
  <c r="P549" s="1"/>
  <c r="R549" s="1"/>
  <c r="T549" s="1"/>
  <c r="F1010"/>
  <c r="H1011"/>
  <c r="J1011" s="1"/>
  <c r="L1011" s="1"/>
  <c r="N1011" s="1"/>
  <c r="P1011" s="1"/>
  <c r="R1011" s="1"/>
  <c r="T1011" s="1"/>
  <c r="F1062"/>
  <c r="H1063"/>
  <c r="J1063" s="1"/>
  <c r="L1063" s="1"/>
  <c r="N1063" s="1"/>
  <c r="P1063" s="1"/>
  <c r="R1063" s="1"/>
  <c r="T1063" s="1"/>
  <c r="F1454"/>
  <c r="H1454" s="1"/>
  <c r="J1454" s="1"/>
  <c r="L1454" s="1"/>
  <c r="N1454" s="1"/>
  <c r="P1454" s="1"/>
  <c r="R1454" s="1"/>
  <c r="T1454" s="1"/>
  <c r="H1455"/>
  <c r="J1455" s="1"/>
  <c r="L1455" s="1"/>
  <c r="N1455" s="1"/>
  <c r="P1455" s="1"/>
  <c r="R1455" s="1"/>
  <c r="T1455" s="1"/>
  <c r="F664"/>
  <c r="H664" s="1"/>
  <c r="J664" s="1"/>
  <c r="L664" s="1"/>
  <c r="N664" s="1"/>
  <c r="P664" s="1"/>
  <c r="R664" s="1"/>
  <c r="T664" s="1"/>
  <c r="H665"/>
  <c r="J665" s="1"/>
  <c r="L665" s="1"/>
  <c r="N665" s="1"/>
  <c r="P665" s="1"/>
  <c r="R665" s="1"/>
  <c r="T665" s="1"/>
  <c r="F1644"/>
  <c r="H1645"/>
  <c r="J1645" s="1"/>
  <c r="L1645" s="1"/>
  <c r="N1645" s="1"/>
  <c r="P1645" s="1"/>
  <c r="R1645" s="1"/>
  <c r="T1645" s="1"/>
  <c r="F881"/>
  <c r="H881" s="1"/>
  <c r="J881" s="1"/>
  <c r="L881" s="1"/>
  <c r="N881" s="1"/>
  <c r="P881" s="1"/>
  <c r="R881" s="1"/>
  <c r="T881" s="1"/>
  <c r="H882"/>
  <c r="J882" s="1"/>
  <c r="L882" s="1"/>
  <c r="N882" s="1"/>
  <c r="P882" s="1"/>
  <c r="R882" s="1"/>
  <c r="T882" s="1"/>
  <c r="F1715"/>
  <c r="H1715" s="1"/>
  <c r="J1715" s="1"/>
  <c r="L1715" s="1"/>
  <c r="N1715" s="1"/>
  <c r="P1715" s="1"/>
  <c r="R1715" s="1"/>
  <c r="T1715" s="1"/>
  <c r="H1716"/>
  <c r="J1716" s="1"/>
  <c r="L1716" s="1"/>
  <c r="N1716" s="1"/>
  <c r="P1716" s="1"/>
  <c r="R1716" s="1"/>
  <c r="T1716" s="1"/>
  <c r="F707"/>
  <c r="H708"/>
  <c r="J708" s="1"/>
  <c r="L708" s="1"/>
  <c r="N708" s="1"/>
  <c r="P708" s="1"/>
  <c r="R708" s="1"/>
  <c r="T708" s="1"/>
  <c r="F1565"/>
  <c r="H1566"/>
  <c r="J1566" s="1"/>
  <c r="L1566" s="1"/>
  <c r="N1566" s="1"/>
  <c r="P1566" s="1"/>
  <c r="R1566" s="1"/>
  <c r="T1566" s="1"/>
  <c r="F1557"/>
  <c r="H1557" s="1"/>
  <c r="J1557" s="1"/>
  <c r="L1557" s="1"/>
  <c r="N1557" s="1"/>
  <c r="P1557" s="1"/>
  <c r="R1557" s="1"/>
  <c r="T1557" s="1"/>
  <c r="H1558"/>
  <c r="J1558" s="1"/>
  <c r="L1558" s="1"/>
  <c r="N1558" s="1"/>
  <c r="P1558" s="1"/>
  <c r="R1558" s="1"/>
  <c r="T1558" s="1"/>
  <c r="F781"/>
  <c r="H785"/>
  <c r="J785" s="1"/>
  <c r="L785" s="1"/>
  <c r="N785" s="1"/>
  <c r="P785" s="1"/>
  <c r="R785" s="1"/>
  <c r="T785" s="1"/>
  <c r="F412"/>
  <c r="H413"/>
  <c r="J413" s="1"/>
  <c r="L413" s="1"/>
  <c r="N413" s="1"/>
  <c r="P413" s="1"/>
  <c r="R413" s="1"/>
  <c r="T413" s="1"/>
  <c r="F262"/>
  <c r="H263"/>
  <c r="J263" s="1"/>
  <c r="L263" s="1"/>
  <c r="N263" s="1"/>
  <c r="P263" s="1"/>
  <c r="R263" s="1"/>
  <c r="T263" s="1"/>
  <c r="F286"/>
  <c r="H287"/>
  <c r="J287" s="1"/>
  <c r="L287" s="1"/>
  <c r="N287" s="1"/>
  <c r="P287" s="1"/>
  <c r="R287" s="1"/>
  <c r="T287" s="1"/>
  <c r="F1547"/>
  <c r="H1547" s="1"/>
  <c r="J1547" s="1"/>
  <c r="L1547" s="1"/>
  <c r="N1547" s="1"/>
  <c r="P1547" s="1"/>
  <c r="R1547" s="1"/>
  <c r="T1547" s="1"/>
  <c r="H1548"/>
  <c r="J1548" s="1"/>
  <c r="L1548" s="1"/>
  <c r="N1548" s="1"/>
  <c r="P1548" s="1"/>
  <c r="R1548" s="1"/>
  <c r="T1548" s="1"/>
  <c r="F1004"/>
  <c r="H1005"/>
  <c r="J1005" s="1"/>
  <c r="L1005" s="1"/>
  <c r="N1005" s="1"/>
  <c r="P1005" s="1"/>
  <c r="R1005" s="1"/>
  <c r="T1005" s="1"/>
  <c r="F985"/>
  <c r="H986"/>
  <c r="J986" s="1"/>
  <c r="L986" s="1"/>
  <c r="N986" s="1"/>
  <c r="P986" s="1"/>
  <c r="R986" s="1"/>
  <c r="T986" s="1"/>
  <c r="F1535"/>
  <c r="H1536"/>
  <c r="J1536" s="1"/>
  <c r="L1536" s="1"/>
  <c r="N1536" s="1"/>
  <c r="P1536" s="1"/>
  <c r="R1536" s="1"/>
  <c r="T1536" s="1"/>
  <c r="F1032"/>
  <c r="H1032" s="1"/>
  <c r="J1032" s="1"/>
  <c r="L1032" s="1"/>
  <c r="N1032" s="1"/>
  <c r="P1032" s="1"/>
  <c r="R1032" s="1"/>
  <c r="T1032" s="1"/>
  <c r="H1033"/>
  <c r="J1033" s="1"/>
  <c r="L1033" s="1"/>
  <c r="N1033" s="1"/>
  <c r="P1033" s="1"/>
  <c r="R1033" s="1"/>
  <c r="T1033" s="1"/>
  <c r="F1538"/>
  <c r="H1538" s="1"/>
  <c r="J1538" s="1"/>
  <c r="L1538" s="1"/>
  <c r="N1538" s="1"/>
  <c r="P1538" s="1"/>
  <c r="R1538" s="1"/>
  <c r="T1538" s="1"/>
  <c r="H1539"/>
  <c r="J1539" s="1"/>
  <c r="L1539" s="1"/>
  <c r="N1539" s="1"/>
  <c r="P1539" s="1"/>
  <c r="R1539" s="1"/>
  <c r="T1539" s="1"/>
  <c r="G917"/>
  <c r="G906" s="1"/>
  <c r="G759" s="1"/>
  <c r="H442" i="5"/>
  <c r="H441" s="1"/>
  <c r="H1676" i="6"/>
  <c r="J1676" s="1"/>
  <c r="L1676" s="1"/>
  <c r="N1676" s="1"/>
  <c r="P1676" s="1"/>
  <c r="R1676" s="1"/>
  <c r="T1676" s="1"/>
  <c r="G1675"/>
  <c r="H896" i="5"/>
  <c r="I897"/>
  <c r="K897" s="1"/>
  <c r="M897" s="1"/>
  <c r="O897" s="1"/>
  <c r="Q897" s="1"/>
  <c r="S897" s="1"/>
  <c r="U897" s="1"/>
  <c r="G1804" i="6"/>
  <c r="H1805"/>
  <c r="J1805" s="1"/>
  <c r="L1805" s="1"/>
  <c r="N1805" s="1"/>
  <c r="P1805" s="1"/>
  <c r="R1805" s="1"/>
  <c r="T1805" s="1"/>
  <c r="G1025"/>
  <c r="H611"/>
  <c r="J611" s="1"/>
  <c r="L611" s="1"/>
  <c r="N611" s="1"/>
  <c r="P611" s="1"/>
  <c r="R611" s="1"/>
  <c r="T611" s="1"/>
  <c r="G608"/>
  <c r="H608" s="1"/>
  <c r="J608" s="1"/>
  <c r="L608" s="1"/>
  <c r="N608" s="1"/>
  <c r="P608" s="1"/>
  <c r="R608" s="1"/>
  <c r="T608" s="1"/>
  <c r="H609"/>
  <c r="J609" s="1"/>
  <c r="L609" s="1"/>
  <c r="N609" s="1"/>
  <c r="P609" s="1"/>
  <c r="R609" s="1"/>
  <c r="T609" s="1"/>
  <c r="H610"/>
  <c r="J610" s="1"/>
  <c r="L610" s="1"/>
  <c r="N610" s="1"/>
  <c r="P610" s="1"/>
  <c r="R610" s="1"/>
  <c r="T610" s="1"/>
  <c r="G1437"/>
  <c r="H1438"/>
  <c r="J1438" s="1"/>
  <c r="L1438" s="1"/>
  <c r="N1438" s="1"/>
  <c r="P1438" s="1"/>
  <c r="R1438" s="1"/>
  <c r="T1438" s="1"/>
  <c r="H141" i="5"/>
  <c r="I307"/>
  <c r="K307" s="1"/>
  <c r="M307" s="1"/>
  <c r="O307" s="1"/>
  <c r="Q307" s="1"/>
  <c r="S307" s="1"/>
  <c r="U307" s="1"/>
  <c r="H306"/>
  <c r="I133"/>
  <c r="K133" s="1"/>
  <c r="M133" s="1"/>
  <c r="O133" s="1"/>
  <c r="Q133" s="1"/>
  <c r="S133" s="1"/>
  <c r="U133" s="1"/>
  <c r="H132"/>
  <c r="G1400" i="6"/>
  <c r="H1401"/>
  <c r="J1401" s="1"/>
  <c r="L1401" s="1"/>
  <c r="N1401" s="1"/>
  <c r="P1401" s="1"/>
  <c r="R1401" s="1"/>
  <c r="T1401" s="1"/>
  <c r="G624"/>
  <c r="H625"/>
  <c r="J625" s="1"/>
  <c r="L625" s="1"/>
  <c r="N625" s="1"/>
  <c r="P625" s="1"/>
  <c r="R625" s="1"/>
  <c r="T625" s="1"/>
  <c r="G520"/>
  <c r="G1350"/>
  <c r="H1351"/>
  <c r="J1351" s="1"/>
  <c r="L1351" s="1"/>
  <c r="N1351" s="1"/>
  <c r="P1351" s="1"/>
  <c r="R1351" s="1"/>
  <c r="T1351" s="1"/>
  <c r="G1474"/>
  <c r="H1475"/>
  <c r="J1475" s="1"/>
  <c r="L1475" s="1"/>
  <c r="N1475" s="1"/>
  <c r="P1475" s="1"/>
  <c r="R1475" s="1"/>
  <c r="T1475" s="1"/>
  <c r="G701"/>
  <c r="H702"/>
  <c r="J702" s="1"/>
  <c r="L702" s="1"/>
  <c r="N702" s="1"/>
  <c r="P702" s="1"/>
  <c r="R702" s="1"/>
  <c r="T702" s="1"/>
  <c r="H310" i="5"/>
  <c r="I310" s="1"/>
  <c r="K310" s="1"/>
  <c r="M310" s="1"/>
  <c r="O310" s="1"/>
  <c r="Q310" s="1"/>
  <c r="S310" s="1"/>
  <c r="U310" s="1"/>
  <c r="I311"/>
  <c r="K311" s="1"/>
  <c r="M311" s="1"/>
  <c r="O311" s="1"/>
  <c r="Q311" s="1"/>
  <c r="S311" s="1"/>
  <c r="U311" s="1"/>
  <c r="I257"/>
  <c r="K257" s="1"/>
  <c r="M257" s="1"/>
  <c r="O257" s="1"/>
  <c r="Q257" s="1"/>
  <c r="S257" s="1"/>
  <c r="U257" s="1"/>
  <c r="I142"/>
  <c r="K142" s="1"/>
  <c r="M142" s="1"/>
  <c r="O142" s="1"/>
  <c r="Q142" s="1"/>
  <c r="S142" s="1"/>
  <c r="U142" s="1"/>
  <c r="G644" i="6"/>
  <c r="H645"/>
  <c r="J645" s="1"/>
  <c r="L645" s="1"/>
  <c r="N645" s="1"/>
  <c r="P645" s="1"/>
  <c r="R645" s="1"/>
  <c r="T645" s="1"/>
  <c r="H209" i="5"/>
  <c r="G743" i="6"/>
  <c r="H744"/>
  <c r="J744" s="1"/>
  <c r="L744" s="1"/>
  <c r="N744" s="1"/>
  <c r="P744" s="1"/>
  <c r="R744" s="1"/>
  <c r="T744" s="1"/>
  <c r="I247" i="5"/>
  <c r="K247" s="1"/>
  <c r="M247" s="1"/>
  <c r="O247" s="1"/>
  <c r="Q247" s="1"/>
  <c r="S247" s="1"/>
  <c r="U247" s="1"/>
  <c r="I168"/>
  <c r="K168" s="1"/>
  <c r="M168" s="1"/>
  <c r="O168" s="1"/>
  <c r="Q168" s="1"/>
  <c r="S168" s="1"/>
  <c r="U168" s="1"/>
  <c r="H167"/>
  <c r="H1470" i="6"/>
  <c r="J1470" s="1"/>
  <c r="L1470" s="1"/>
  <c r="N1470" s="1"/>
  <c r="P1470" s="1"/>
  <c r="R1470" s="1"/>
  <c r="T1470" s="1"/>
  <c r="G1469"/>
  <c r="G1261"/>
  <c r="H1262"/>
  <c r="J1262" s="1"/>
  <c r="L1262" s="1"/>
  <c r="N1262" s="1"/>
  <c r="P1262" s="1"/>
  <c r="R1262" s="1"/>
  <c r="T1262" s="1"/>
  <c r="G569"/>
  <c r="H570"/>
  <c r="J570" s="1"/>
  <c r="L570" s="1"/>
  <c r="N570" s="1"/>
  <c r="P570" s="1"/>
  <c r="R570" s="1"/>
  <c r="T570" s="1"/>
  <c r="G729"/>
  <c r="H730"/>
  <c r="J730" s="1"/>
  <c r="L730" s="1"/>
  <c r="N730" s="1"/>
  <c r="P730" s="1"/>
  <c r="R730" s="1"/>
  <c r="T730" s="1"/>
  <c r="I160" i="5"/>
  <c r="K160" s="1"/>
  <c r="M160" s="1"/>
  <c r="O160" s="1"/>
  <c r="Q160" s="1"/>
  <c r="S160" s="1"/>
  <c r="U160" s="1"/>
  <c r="H159"/>
  <c r="G1406" i="6"/>
  <c r="H1407"/>
  <c r="J1407" s="1"/>
  <c r="L1407" s="1"/>
  <c r="N1407" s="1"/>
  <c r="P1407" s="1"/>
  <c r="R1407" s="1"/>
  <c r="T1407" s="1"/>
  <c r="I252" i="5"/>
  <c r="K252" s="1"/>
  <c r="M252" s="1"/>
  <c r="O252" s="1"/>
  <c r="Q252" s="1"/>
  <c r="S252" s="1"/>
  <c r="U252" s="1"/>
  <c r="H251"/>
  <c r="I251" s="1"/>
  <c r="K251" s="1"/>
  <c r="M251" s="1"/>
  <c r="O251" s="1"/>
  <c r="Q251" s="1"/>
  <c r="S251" s="1"/>
  <c r="U251" s="1"/>
  <c r="I117"/>
  <c r="K117" s="1"/>
  <c r="M117" s="1"/>
  <c r="O117" s="1"/>
  <c r="Q117" s="1"/>
  <c r="S117" s="1"/>
  <c r="U117" s="1"/>
  <c r="H116"/>
  <c r="G599" i="6"/>
  <c r="H600"/>
  <c r="J600" s="1"/>
  <c r="L600" s="1"/>
  <c r="N600" s="1"/>
  <c r="P600" s="1"/>
  <c r="R600" s="1"/>
  <c r="T600" s="1"/>
  <c r="G1442"/>
  <c r="H1443"/>
  <c r="J1443" s="1"/>
  <c r="L1443" s="1"/>
  <c r="N1443" s="1"/>
  <c r="P1443" s="1"/>
  <c r="R1443" s="1"/>
  <c r="T1443" s="1"/>
  <c r="H1626"/>
  <c r="J1626" s="1"/>
  <c r="L1626" s="1"/>
  <c r="N1626" s="1"/>
  <c r="P1626" s="1"/>
  <c r="R1626" s="1"/>
  <c r="T1626" s="1"/>
  <c r="G1625"/>
  <c r="G532"/>
  <c r="H533"/>
  <c r="J533" s="1"/>
  <c r="L533" s="1"/>
  <c r="N533" s="1"/>
  <c r="P533" s="1"/>
  <c r="R533" s="1"/>
  <c r="T533" s="1"/>
  <c r="H235" i="5"/>
  <c r="I236"/>
  <c r="K236" s="1"/>
  <c r="M236" s="1"/>
  <c r="O236" s="1"/>
  <c r="Q236" s="1"/>
  <c r="S236" s="1"/>
  <c r="U236" s="1"/>
  <c r="I178"/>
  <c r="K178" s="1"/>
  <c r="M178" s="1"/>
  <c r="O178" s="1"/>
  <c r="Q178" s="1"/>
  <c r="S178" s="1"/>
  <c r="U178" s="1"/>
  <c r="H177"/>
  <c r="H1342" i="6"/>
  <c r="J1342" s="1"/>
  <c r="L1342" s="1"/>
  <c r="N1342" s="1"/>
  <c r="P1342" s="1"/>
  <c r="R1342" s="1"/>
  <c r="T1342" s="1"/>
  <c r="G1341"/>
  <c r="H262" i="5"/>
  <c r="I262" s="1"/>
  <c r="K262" s="1"/>
  <c r="M262" s="1"/>
  <c r="O262" s="1"/>
  <c r="Q262" s="1"/>
  <c r="S262" s="1"/>
  <c r="U262" s="1"/>
  <c r="I263"/>
  <c r="K263" s="1"/>
  <c r="M263" s="1"/>
  <c r="O263" s="1"/>
  <c r="Q263" s="1"/>
  <c r="S263" s="1"/>
  <c r="U263" s="1"/>
  <c r="H127"/>
  <c r="I128"/>
  <c r="K128" s="1"/>
  <c r="M128" s="1"/>
  <c r="O128" s="1"/>
  <c r="Q128" s="1"/>
  <c r="S128" s="1"/>
  <c r="U128" s="1"/>
  <c r="G1485" i="6"/>
  <c r="H1486"/>
  <c r="J1486" s="1"/>
  <c r="L1486" s="1"/>
  <c r="N1486" s="1"/>
  <c r="P1486" s="1"/>
  <c r="R1486" s="1"/>
  <c r="T1486" s="1"/>
  <c r="G1380"/>
  <c r="H1381"/>
  <c r="J1381" s="1"/>
  <c r="L1381" s="1"/>
  <c r="N1381" s="1"/>
  <c r="P1381" s="1"/>
  <c r="R1381" s="1"/>
  <c r="T1381" s="1"/>
  <c r="H605"/>
  <c r="J605" s="1"/>
  <c r="L605" s="1"/>
  <c r="N605" s="1"/>
  <c r="P605" s="1"/>
  <c r="R605" s="1"/>
  <c r="T605" s="1"/>
  <c r="G604"/>
  <c r="I299" i="5"/>
  <c r="K299" s="1"/>
  <c r="M299" s="1"/>
  <c r="O299" s="1"/>
  <c r="Q299" s="1"/>
  <c r="S299" s="1"/>
  <c r="U299" s="1"/>
  <c r="H298"/>
  <c r="I298" s="1"/>
  <c r="K298" s="1"/>
  <c r="M298" s="1"/>
  <c r="O298" s="1"/>
  <c r="Q298" s="1"/>
  <c r="I188"/>
  <c r="K188" s="1"/>
  <c r="M188" s="1"/>
  <c r="O188" s="1"/>
  <c r="Q188" s="1"/>
  <c r="S188" s="1"/>
  <c r="U188" s="1"/>
  <c r="H187"/>
  <c r="I269"/>
  <c r="K269" s="1"/>
  <c r="M269" s="1"/>
  <c r="O269" s="1"/>
  <c r="Q269" s="1"/>
  <c r="S269" s="1"/>
  <c r="U269" s="1"/>
  <c r="H268"/>
  <c r="G1386" i="6"/>
  <c r="H1387"/>
  <c r="J1387" s="1"/>
  <c r="L1387" s="1"/>
  <c r="N1387" s="1"/>
  <c r="P1387" s="1"/>
  <c r="R1387" s="1"/>
  <c r="T1387" s="1"/>
  <c r="H73" i="5"/>
  <c r="H25"/>
  <c r="I26"/>
  <c r="K26" s="1"/>
  <c r="M26" s="1"/>
  <c r="O26" s="1"/>
  <c r="Q26" s="1"/>
  <c r="S26" s="1"/>
  <c r="U26" s="1"/>
  <c r="G1101" i="6"/>
  <c r="G149"/>
  <c r="H1557" i="5"/>
  <c r="H1582"/>
  <c r="H1620"/>
  <c r="H587"/>
  <c r="H586" s="1"/>
  <c r="H549"/>
  <c r="H548" s="1"/>
  <c r="H547" s="1"/>
  <c r="H477"/>
  <c r="S193" l="1"/>
  <c r="U193" s="1"/>
  <c r="S298"/>
  <c r="U298" s="1"/>
  <c r="I679"/>
  <c r="K679" s="1"/>
  <c r="M679" s="1"/>
  <c r="O679" s="1"/>
  <c r="Q679" s="1"/>
  <c r="S679" s="1"/>
  <c r="U679" s="1"/>
  <c r="I516"/>
  <c r="K516" s="1"/>
  <c r="M516" s="1"/>
  <c r="O516" s="1"/>
  <c r="Q516" s="1"/>
  <c r="S516" s="1"/>
  <c r="U516" s="1"/>
  <c r="I1332"/>
  <c r="K1332" s="1"/>
  <c r="M1332" s="1"/>
  <c r="O1332" s="1"/>
  <c r="Q1332" s="1"/>
  <c r="S1332" s="1"/>
  <c r="U1332" s="1"/>
  <c r="I1264"/>
  <c r="K1264" s="1"/>
  <c r="M1264" s="1"/>
  <c r="O1264" s="1"/>
  <c r="Q1264" s="1"/>
  <c r="S1264" s="1"/>
  <c r="U1264" s="1"/>
  <c r="E31" i="1"/>
  <c r="I1557" i="5"/>
  <c r="K1557" s="1"/>
  <c r="M1557" s="1"/>
  <c r="O1557" s="1"/>
  <c r="Q1557" s="1"/>
  <c r="S1557" s="1"/>
  <c r="U1557" s="1"/>
  <c r="G277"/>
  <c r="F189" i="6"/>
  <c r="H189" s="1"/>
  <c r="J189" s="1"/>
  <c r="L189" s="1"/>
  <c r="N189" s="1"/>
  <c r="P189" s="1"/>
  <c r="R189" s="1"/>
  <c r="T189" s="1"/>
  <c r="H925"/>
  <c r="J925" s="1"/>
  <c r="L925" s="1"/>
  <c r="N925" s="1"/>
  <c r="P925" s="1"/>
  <c r="R925" s="1"/>
  <c r="T925" s="1"/>
  <c r="H924"/>
  <c r="J924" s="1"/>
  <c r="L924" s="1"/>
  <c r="N924" s="1"/>
  <c r="P924" s="1"/>
  <c r="R924" s="1"/>
  <c r="T924" s="1"/>
  <c r="F1808"/>
  <c r="H1808" s="1"/>
  <c r="J1808" s="1"/>
  <c r="L1808" s="1"/>
  <c r="N1808" s="1"/>
  <c r="P1808" s="1"/>
  <c r="R1808" s="1"/>
  <c r="T1808" s="1"/>
  <c r="H1788"/>
  <c r="J1788" s="1"/>
  <c r="L1788" s="1"/>
  <c r="N1788" s="1"/>
  <c r="P1788" s="1"/>
  <c r="R1788" s="1"/>
  <c r="T1788" s="1"/>
  <c r="H211"/>
  <c r="J211" s="1"/>
  <c r="L211" s="1"/>
  <c r="N211" s="1"/>
  <c r="P211" s="1"/>
  <c r="R211" s="1"/>
  <c r="T211" s="1"/>
  <c r="I74" i="5"/>
  <c r="K74" s="1"/>
  <c r="M74" s="1"/>
  <c r="O74" s="1"/>
  <c r="Q74" s="1"/>
  <c r="S74" s="1"/>
  <c r="U74" s="1"/>
  <c r="H1295" i="6"/>
  <c r="J1295" s="1"/>
  <c r="L1295" s="1"/>
  <c r="N1295" s="1"/>
  <c r="P1295" s="1"/>
  <c r="R1295" s="1"/>
  <c r="T1295" s="1"/>
  <c r="F389"/>
  <c r="F388" s="1"/>
  <c r="H99"/>
  <c r="J99" s="1"/>
  <c r="L99" s="1"/>
  <c r="N99" s="1"/>
  <c r="P99" s="1"/>
  <c r="R99" s="1"/>
  <c r="T99" s="1"/>
  <c r="G176" i="5"/>
  <c r="D28" i="1" s="1"/>
  <c r="D27" s="1"/>
  <c r="I224" i="5"/>
  <c r="K224" s="1"/>
  <c r="M224" s="1"/>
  <c r="O224" s="1"/>
  <c r="Q224" s="1"/>
  <c r="S224" s="1"/>
  <c r="U224" s="1"/>
  <c r="I141"/>
  <c r="K141" s="1"/>
  <c r="M141" s="1"/>
  <c r="O141" s="1"/>
  <c r="Q141" s="1"/>
  <c r="S141" s="1"/>
  <c r="U141" s="1"/>
  <c r="I1566"/>
  <c r="K1566" s="1"/>
  <c r="M1566" s="1"/>
  <c r="O1566" s="1"/>
  <c r="Q1566" s="1"/>
  <c r="S1566" s="1"/>
  <c r="U1566" s="1"/>
  <c r="F1287" i="6"/>
  <c r="F1286" s="1"/>
  <c r="J893" i="5"/>
  <c r="F226" i="6"/>
  <c r="H226" s="1"/>
  <c r="J226" s="1"/>
  <c r="L226" s="1"/>
  <c r="N226" s="1"/>
  <c r="P226" s="1"/>
  <c r="R226" s="1"/>
  <c r="T226" s="1"/>
  <c r="F991"/>
  <c r="H991" s="1"/>
  <c r="J991" s="1"/>
  <c r="L991" s="1"/>
  <c r="N991" s="1"/>
  <c r="P991" s="1"/>
  <c r="R991" s="1"/>
  <c r="T991" s="1"/>
  <c r="H654"/>
  <c r="J654" s="1"/>
  <c r="L654" s="1"/>
  <c r="N654" s="1"/>
  <c r="P654" s="1"/>
  <c r="R654" s="1"/>
  <c r="T654" s="1"/>
  <c r="J113"/>
  <c r="L113" s="1"/>
  <c r="N113" s="1"/>
  <c r="P113" s="1"/>
  <c r="R113" s="1"/>
  <c r="T113" s="1"/>
  <c r="I112"/>
  <c r="G18"/>
  <c r="G628" i="5"/>
  <c r="I628" s="1"/>
  <c r="K628" s="1"/>
  <c r="M628" s="1"/>
  <c r="O628" s="1"/>
  <c r="Q628" s="1"/>
  <c r="S628" s="1"/>
  <c r="U628" s="1"/>
  <c r="I730"/>
  <c r="K730" s="1"/>
  <c r="M730" s="1"/>
  <c r="O730" s="1"/>
  <c r="Q730" s="1"/>
  <c r="S730" s="1"/>
  <c r="U730" s="1"/>
  <c r="H708"/>
  <c r="H707" s="1"/>
  <c r="E47" i="1" s="1"/>
  <c r="I651" i="5"/>
  <c r="K651" s="1"/>
  <c r="M651" s="1"/>
  <c r="O651" s="1"/>
  <c r="Q651" s="1"/>
  <c r="S651" s="1"/>
  <c r="U651" s="1"/>
  <c r="I1583"/>
  <c r="K1583" s="1"/>
  <c r="M1583" s="1"/>
  <c r="O1583" s="1"/>
  <c r="Q1583" s="1"/>
  <c r="S1583" s="1"/>
  <c r="U1583" s="1"/>
  <c r="G441"/>
  <c r="G440" s="1"/>
  <c r="I398"/>
  <c r="K398" s="1"/>
  <c r="M398" s="1"/>
  <c r="O398" s="1"/>
  <c r="Q398" s="1"/>
  <c r="S398" s="1"/>
  <c r="U398" s="1"/>
  <c r="G1511"/>
  <c r="I1511" s="1"/>
  <c r="K1511" s="1"/>
  <c r="M1511" s="1"/>
  <c r="O1511" s="1"/>
  <c r="Q1511" s="1"/>
  <c r="S1511" s="1"/>
  <c r="U1511" s="1"/>
  <c r="G53" i="1"/>
  <c r="J1288" i="5"/>
  <c r="I1513" i="6"/>
  <c r="H583"/>
  <c r="J583" s="1"/>
  <c r="L583" s="1"/>
  <c r="N583" s="1"/>
  <c r="P583" s="1"/>
  <c r="R583" s="1"/>
  <c r="T583" s="1"/>
  <c r="H478"/>
  <c r="J478" s="1"/>
  <c r="L478" s="1"/>
  <c r="N478" s="1"/>
  <c r="P478" s="1"/>
  <c r="R478" s="1"/>
  <c r="T478" s="1"/>
  <c r="H470"/>
  <c r="J470" s="1"/>
  <c r="L470" s="1"/>
  <c r="N470" s="1"/>
  <c r="P470" s="1"/>
  <c r="R470" s="1"/>
  <c r="T470" s="1"/>
  <c r="H398"/>
  <c r="J398" s="1"/>
  <c r="L398" s="1"/>
  <c r="N398" s="1"/>
  <c r="P398" s="1"/>
  <c r="R398" s="1"/>
  <c r="T398" s="1"/>
  <c r="H246" i="5"/>
  <c r="I246" s="1"/>
  <c r="K246" s="1"/>
  <c r="M246" s="1"/>
  <c r="O246" s="1"/>
  <c r="Q246" s="1"/>
  <c r="S246" s="1"/>
  <c r="U246" s="1"/>
  <c r="G90"/>
  <c r="I90" s="1"/>
  <c r="K90" s="1"/>
  <c r="M90" s="1"/>
  <c r="O90" s="1"/>
  <c r="Q90" s="1"/>
  <c r="S90" s="1"/>
  <c r="U90" s="1"/>
  <c r="I91"/>
  <c r="K91" s="1"/>
  <c r="M91" s="1"/>
  <c r="O91" s="1"/>
  <c r="Q91" s="1"/>
  <c r="S91" s="1"/>
  <c r="U91" s="1"/>
  <c r="H966"/>
  <c r="H908" s="1"/>
  <c r="E50" i="1"/>
  <c r="E48" s="1"/>
  <c r="E44"/>
  <c r="G1408" i="5"/>
  <c r="I1408" s="1"/>
  <c r="K1408" s="1"/>
  <c r="M1408" s="1"/>
  <c r="O1408" s="1"/>
  <c r="Q1408" s="1"/>
  <c r="S1408" s="1"/>
  <c r="U1408" s="1"/>
  <c r="I1417"/>
  <c r="K1417" s="1"/>
  <c r="M1417" s="1"/>
  <c r="O1417" s="1"/>
  <c r="Q1417" s="1"/>
  <c r="S1417" s="1"/>
  <c r="U1417" s="1"/>
  <c r="G456"/>
  <c r="I456" s="1"/>
  <c r="K456" s="1"/>
  <c r="M456" s="1"/>
  <c r="O456" s="1"/>
  <c r="Q456" s="1"/>
  <c r="S456" s="1"/>
  <c r="U456" s="1"/>
  <c r="I457"/>
  <c r="K457" s="1"/>
  <c r="M457" s="1"/>
  <c r="O457" s="1"/>
  <c r="Q457" s="1"/>
  <c r="S457" s="1"/>
  <c r="U457" s="1"/>
  <c r="I709"/>
  <c r="K709" s="1"/>
  <c r="M709" s="1"/>
  <c r="O709" s="1"/>
  <c r="Q709" s="1"/>
  <c r="S709" s="1"/>
  <c r="U709" s="1"/>
  <c r="G335"/>
  <c r="I336"/>
  <c r="K336" s="1"/>
  <c r="M336" s="1"/>
  <c r="O336" s="1"/>
  <c r="Q336" s="1"/>
  <c r="S336" s="1"/>
  <c r="U336" s="1"/>
  <c r="G1019"/>
  <c r="I1019" s="1"/>
  <c r="K1019" s="1"/>
  <c r="M1019" s="1"/>
  <c r="O1019" s="1"/>
  <c r="Q1019" s="1"/>
  <c r="S1019" s="1"/>
  <c r="U1019" s="1"/>
  <c r="I1020"/>
  <c r="K1020" s="1"/>
  <c r="M1020" s="1"/>
  <c r="O1020" s="1"/>
  <c r="Q1020" s="1"/>
  <c r="S1020" s="1"/>
  <c r="U1020" s="1"/>
  <c r="G1319"/>
  <c r="I1324"/>
  <c r="K1324" s="1"/>
  <c r="M1324" s="1"/>
  <c r="O1324" s="1"/>
  <c r="Q1324" s="1"/>
  <c r="S1324" s="1"/>
  <c r="U1324" s="1"/>
  <c r="G364"/>
  <c r="I364" s="1"/>
  <c r="K364" s="1"/>
  <c r="M364" s="1"/>
  <c r="O364" s="1"/>
  <c r="Q364" s="1"/>
  <c r="S364" s="1"/>
  <c r="U364" s="1"/>
  <c r="I365"/>
  <c r="K365" s="1"/>
  <c r="M365" s="1"/>
  <c r="O365" s="1"/>
  <c r="Q365" s="1"/>
  <c r="S365" s="1"/>
  <c r="U365" s="1"/>
  <c r="G657"/>
  <c r="I657" s="1"/>
  <c r="K657" s="1"/>
  <c r="M657" s="1"/>
  <c r="O657" s="1"/>
  <c r="Q657" s="1"/>
  <c r="S657" s="1"/>
  <c r="U657" s="1"/>
  <c r="I658"/>
  <c r="K658" s="1"/>
  <c r="M658" s="1"/>
  <c r="O658" s="1"/>
  <c r="Q658" s="1"/>
  <c r="S658" s="1"/>
  <c r="U658" s="1"/>
  <c r="G480"/>
  <c r="I481"/>
  <c r="K481" s="1"/>
  <c r="M481" s="1"/>
  <c r="O481" s="1"/>
  <c r="Q481" s="1"/>
  <c r="S481" s="1"/>
  <c r="U481" s="1"/>
  <c r="G1732"/>
  <c r="I1733"/>
  <c r="K1733" s="1"/>
  <c r="M1733" s="1"/>
  <c r="O1733" s="1"/>
  <c r="Q1733" s="1"/>
  <c r="S1733" s="1"/>
  <c r="U1733" s="1"/>
  <c r="G1097"/>
  <c r="I1097" s="1"/>
  <c r="K1097" s="1"/>
  <c r="M1097" s="1"/>
  <c r="O1097" s="1"/>
  <c r="Q1097" s="1"/>
  <c r="S1097" s="1"/>
  <c r="U1097" s="1"/>
  <c r="I1098"/>
  <c r="K1098" s="1"/>
  <c r="M1098" s="1"/>
  <c r="O1098" s="1"/>
  <c r="Q1098" s="1"/>
  <c r="S1098" s="1"/>
  <c r="U1098" s="1"/>
  <c r="G550"/>
  <c r="I550" s="1"/>
  <c r="K550" s="1"/>
  <c r="M550" s="1"/>
  <c r="O550" s="1"/>
  <c r="Q550" s="1"/>
  <c r="S550" s="1"/>
  <c r="U550" s="1"/>
  <c r="I555"/>
  <c r="K555" s="1"/>
  <c r="M555" s="1"/>
  <c r="O555" s="1"/>
  <c r="Q555" s="1"/>
  <c r="S555" s="1"/>
  <c r="U555" s="1"/>
  <c r="G396"/>
  <c r="I397"/>
  <c r="K397" s="1"/>
  <c r="M397" s="1"/>
  <c r="O397" s="1"/>
  <c r="Q397" s="1"/>
  <c r="S397" s="1"/>
  <c r="U397" s="1"/>
  <c r="G1495"/>
  <c r="I1496"/>
  <c r="K1496" s="1"/>
  <c r="M1496" s="1"/>
  <c r="O1496" s="1"/>
  <c r="Q1496" s="1"/>
  <c r="S1496" s="1"/>
  <c r="U1496" s="1"/>
  <c r="G527"/>
  <c r="I528"/>
  <c r="K528" s="1"/>
  <c r="M528" s="1"/>
  <c r="O528" s="1"/>
  <c r="Q528" s="1"/>
  <c r="S528" s="1"/>
  <c r="U528" s="1"/>
  <c r="G677"/>
  <c r="I677" s="1"/>
  <c r="K677" s="1"/>
  <c r="M677" s="1"/>
  <c r="O677" s="1"/>
  <c r="Q677" s="1"/>
  <c r="S677" s="1"/>
  <c r="U677" s="1"/>
  <c r="I678"/>
  <c r="K678" s="1"/>
  <c r="M678" s="1"/>
  <c r="O678" s="1"/>
  <c r="Q678" s="1"/>
  <c r="S678" s="1"/>
  <c r="U678" s="1"/>
  <c r="I487"/>
  <c r="K487" s="1"/>
  <c r="M487" s="1"/>
  <c r="O487" s="1"/>
  <c r="Q487" s="1"/>
  <c r="S487" s="1"/>
  <c r="U487" s="1"/>
  <c r="G486"/>
  <c r="I378"/>
  <c r="K378" s="1"/>
  <c r="M378" s="1"/>
  <c r="O378" s="1"/>
  <c r="Q378" s="1"/>
  <c r="S378" s="1"/>
  <c r="U378" s="1"/>
  <c r="G377"/>
  <c r="G1180"/>
  <c r="I1181"/>
  <c r="K1181" s="1"/>
  <c r="M1181" s="1"/>
  <c r="O1181" s="1"/>
  <c r="Q1181" s="1"/>
  <c r="S1181" s="1"/>
  <c r="U1181" s="1"/>
  <c r="I442"/>
  <c r="K442" s="1"/>
  <c r="M442" s="1"/>
  <c r="O442" s="1"/>
  <c r="Q442" s="1"/>
  <c r="S442" s="1"/>
  <c r="U442" s="1"/>
  <c r="I278"/>
  <c r="K278" s="1"/>
  <c r="M278" s="1"/>
  <c r="O278" s="1"/>
  <c r="Q278" s="1"/>
  <c r="S278" s="1"/>
  <c r="U278" s="1"/>
  <c r="H1317"/>
  <c r="H1288" s="1"/>
  <c r="E58" i="1"/>
  <c r="E53" s="1"/>
  <c r="G1354" i="5"/>
  <c r="I1355"/>
  <c r="K1355" s="1"/>
  <c r="M1355" s="1"/>
  <c r="O1355" s="1"/>
  <c r="Q1355" s="1"/>
  <c r="S1355" s="1"/>
  <c r="U1355" s="1"/>
  <c r="G903"/>
  <c r="I904"/>
  <c r="K904" s="1"/>
  <c r="M904" s="1"/>
  <c r="O904" s="1"/>
  <c r="Q904" s="1"/>
  <c r="S904" s="1"/>
  <c r="U904" s="1"/>
  <c r="G1362"/>
  <c r="I1362" s="1"/>
  <c r="K1362" s="1"/>
  <c r="M1362" s="1"/>
  <c r="O1362" s="1"/>
  <c r="Q1362" s="1"/>
  <c r="S1362" s="1"/>
  <c r="U1362" s="1"/>
  <c r="I1363"/>
  <c r="K1363" s="1"/>
  <c r="M1363" s="1"/>
  <c r="O1363" s="1"/>
  <c r="Q1363" s="1"/>
  <c r="S1363" s="1"/>
  <c r="U1363" s="1"/>
  <c r="G1338"/>
  <c r="I1338" s="1"/>
  <c r="K1338" s="1"/>
  <c r="M1338" s="1"/>
  <c r="O1338" s="1"/>
  <c r="Q1338" s="1"/>
  <c r="S1338" s="1"/>
  <c r="U1338" s="1"/>
  <c r="I1339"/>
  <c r="K1339" s="1"/>
  <c r="M1339" s="1"/>
  <c r="O1339" s="1"/>
  <c r="Q1339" s="1"/>
  <c r="S1339" s="1"/>
  <c r="U1339" s="1"/>
  <c r="G1121"/>
  <c r="I1121" s="1"/>
  <c r="K1121" s="1"/>
  <c r="M1121" s="1"/>
  <c r="O1121" s="1"/>
  <c r="Q1121" s="1"/>
  <c r="S1121" s="1"/>
  <c r="U1121" s="1"/>
  <c r="I1122"/>
  <c r="K1122" s="1"/>
  <c r="M1122" s="1"/>
  <c r="O1122" s="1"/>
  <c r="Q1122" s="1"/>
  <c r="S1122" s="1"/>
  <c r="U1122" s="1"/>
  <c r="G942"/>
  <c r="I943"/>
  <c r="K943" s="1"/>
  <c r="M943" s="1"/>
  <c r="O943" s="1"/>
  <c r="Q943" s="1"/>
  <c r="S943" s="1"/>
  <c r="U943" s="1"/>
  <c r="G542"/>
  <c r="I543"/>
  <c r="K543" s="1"/>
  <c r="M543" s="1"/>
  <c r="O543" s="1"/>
  <c r="Q543" s="1"/>
  <c r="S543" s="1"/>
  <c r="U543" s="1"/>
  <c r="G314"/>
  <c r="I319"/>
  <c r="K319" s="1"/>
  <c r="M319" s="1"/>
  <c r="O319" s="1"/>
  <c r="Q319" s="1"/>
  <c r="S319" s="1"/>
  <c r="U319" s="1"/>
  <c r="G1615"/>
  <c r="I1616"/>
  <c r="K1616" s="1"/>
  <c r="M1616" s="1"/>
  <c r="O1616" s="1"/>
  <c r="Q1616" s="1"/>
  <c r="S1616" s="1"/>
  <c r="U1616" s="1"/>
  <c r="G1281"/>
  <c r="I1282"/>
  <c r="K1282" s="1"/>
  <c r="M1282" s="1"/>
  <c r="O1282" s="1"/>
  <c r="Q1282" s="1"/>
  <c r="S1282" s="1"/>
  <c r="U1282" s="1"/>
  <c r="I1299"/>
  <c r="K1299" s="1"/>
  <c r="M1299" s="1"/>
  <c r="O1299" s="1"/>
  <c r="Q1299" s="1"/>
  <c r="S1299" s="1"/>
  <c r="U1299" s="1"/>
  <c r="G472"/>
  <c r="I473"/>
  <c r="K473" s="1"/>
  <c r="M473" s="1"/>
  <c r="O473" s="1"/>
  <c r="Q473" s="1"/>
  <c r="S473" s="1"/>
  <c r="U473" s="1"/>
  <c r="G667"/>
  <c r="I668"/>
  <c r="K668" s="1"/>
  <c r="M668" s="1"/>
  <c r="O668" s="1"/>
  <c r="Q668" s="1"/>
  <c r="S668" s="1"/>
  <c r="U668" s="1"/>
  <c r="G697"/>
  <c r="I698"/>
  <c r="K698" s="1"/>
  <c r="M698" s="1"/>
  <c r="O698" s="1"/>
  <c r="Q698" s="1"/>
  <c r="S698" s="1"/>
  <c r="U698" s="1"/>
  <c r="G1066"/>
  <c r="I1066" s="1"/>
  <c r="K1066" s="1"/>
  <c r="M1066" s="1"/>
  <c r="O1066" s="1"/>
  <c r="Q1066" s="1"/>
  <c r="S1066" s="1"/>
  <c r="U1066" s="1"/>
  <c r="I1067"/>
  <c r="K1067" s="1"/>
  <c r="M1067" s="1"/>
  <c r="O1067" s="1"/>
  <c r="Q1067" s="1"/>
  <c r="S1067" s="1"/>
  <c r="U1067" s="1"/>
  <c r="G359"/>
  <c r="I359" s="1"/>
  <c r="K359" s="1"/>
  <c r="M359" s="1"/>
  <c r="O359" s="1"/>
  <c r="Q359" s="1"/>
  <c r="S359" s="1"/>
  <c r="U359" s="1"/>
  <c r="I360"/>
  <c r="K360" s="1"/>
  <c r="M360" s="1"/>
  <c r="O360" s="1"/>
  <c r="Q360" s="1"/>
  <c r="S360" s="1"/>
  <c r="U360" s="1"/>
  <c r="I767"/>
  <c r="K767" s="1"/>
  <c r="M767" s="1"/>
  <c r="O767" s="1"/>
  <c r="Q767" s="1"/>
  <c r="S767" s="1"/>
  <c r="U767" s="1"/>
  <c r="G766"/>
  <c r="I766" s="1"/>
  <c r="K766" s="1"/>
  <c r="M766" s="1"/>
  <c r="O766" s="1"/>
  <c r="Q766" s="1"/>
  <c r="S766" s="1"/>
  <c r="U766" s="1"/>
  <c r="I1643"/>
  <c r="K1643" s="1"/>
  <c r="M1643" s="1"/>
  <c r="O1643" s="1"/>
  <c r="Q1643" s="1"/>
  <c r="S1643" s="1"/>
  <c r="U1643" s="1"/>
  <c r="G1642"/>
  <c r="G911"/>
  <c r="I912"/>
  <c r="K912" s="1"/>
  <c r="M912" s="1"/>
  <c r="O912" s="1"/>
  <c r="Q912" s="1"/>
  <c r="S912" s="1"/>
  <c r="U912" s="1"/>
  <c r="G921"/>
  <c r="I926"/>
  <c r="K926" s="1"/>
  <c r="M926" s="1"/>
  <c r="O926" s="1"/>
  <c r="Q926" s="1"/>
  <c r="S926" s="1"/>
  <c r="U926" s="1"/>
  <c r="G1446"/>
  <c r="I1447"/>
  <c r="K1447" s="1"/>
  <c r="M1447" s="1"/>
  <c r="O1447" s="1"/>
  <c r="Q1447" s="1"/>
  <c r="S1447" s="1"/>
  <c r="U1447" s="1"/>
  <c r="I982"/>
  <c r="K982" s="1"/>
  <c r="M982" s="1"/>
  <c r="O982" s="1"/>
  <c r="Q982" s="1"/>
  <c r="S982" s="1"/>
  <c r="U982" s="1"/>
  <c r="G981"/>
  <c r="G1088"/>
  <c r="I1088" s="1"/>
  <c r="K1088" s="1"/>
  <c r="M1088" s="1"/>
  <c r="O1088" s="1"/>
  <c r="Q1088" s="1"/>
  <c r="S1088" s="1"/>
  <c r="U1088" s="1"/>
  <c r="I1089"/>
  <c r="K1089" s="1"/>
  <c r="M1089" s="1"/>
  <c r="O1089" s="1"/>
  <c r="Q1089" s="1"/>
  <c r="S1089" s="1"/>
  <c r="U1089" s="1"/>
  <c r="G561"/>
  <c r="I562"/>
  <c r="K562" s="1"/>
  <c r="M562" s="1"/>
  <c r="O562" s="1"/>
  <c r="Q562" s="1"/>
  <c r="S562" s="1"/>
  <c r="U562" s="1"/>
  <c r="G781"/>
  <c r="I782"/>
  <c r="K782" s="1"/>
  <c r="M782" s="1"/>
  <c r="O782" s="1"/>
  <c r="Q782" s="1"/>
  <c r="S782" s="1"/>
  <c r="U782" s="1"/>
  <c r="G1486"/>
  <c r="I1486" s="1"/>
  <c r="K1486" s="1"/>
  <c r="M1486" s="1"/>
  <c r="O1486" s="1"/>
  <c r="Q1486" s="1"/>
  <c r="S1486" s="1"/>
  <c r="U1486" s="1"/>
  <c r="G1079"/>
  <c r="I1079" s="1"/>
  <c r="K1079" s="1"/>
  <c r="M1079" s="1"/>
  <c r="O1079" s="1"/>
  <c r="Q1079" s="1"/>
  <c r="S1079" s="1"/>
  <c r="U1079" s="1"/>
  <c r="G801"/>
  <c r="I802"/>
  <c r="K802" s="1"/>
  <c r="M802" s="1"/>
  <c r="O802" s="1"/>
  <c r="Q802" s="1"/>
  <c r="S802" s="1"/>
  <c r="U802" s="1"/>
  <c r="I609"/>
  <c r="K609" s="1"/>
  <c r="M609" s="1"/>
  <c r="O609" s="1"/>
  <c r="Q609" s="1"/>
  <c r="S609" s="1"/>
  <c r="U609" s="1"/>
  <c r="G608"/>
  <c r="I1718"/>
  <c r="K1718" s="1"/>
  <c r="M1718" s="1"/>
  <c r="O1718" s="1"/>
  <c r="Q1718" s="1"/>
  <c r="S1718" s="1"/>
  <c r="U1718" s="1"/>
  <c r="G1717"/>
  <c r="G1262"/>
  <c r="I1263"/>
  <c r="K1263" s="1"/>
  <c r="M1263" s="1"/>
  <c r="O1263" s="1"/>
  <c r="Q1263" s="1"/>
  <c r="S1263" s="1"/>
  <c r="U1263" s="1"/>
  <c r="G851"/>
  <c r="I851" s="1"/>
  <c r="K851" s="1"/>
  <c r="M851" s="1"/>
  <c r="O851" s="1"/>
  <c r="Q851" s="1"/>
  <c r="S851" s="1"/>
  <c r="U851" s="1"/>
  <c r="I852"/>
  <c r="K852" s="1"/>
  <c r="M852" s="1"/>
  <c r="O852" s="1"/>
  <c r="Q852" s="1"/>
  <c r="S852" s="1"/>
  <c r="U852" s="1"/>
  <c r="G1126"/>
  <c r="I1126" s="1"/>
  <c r="K1126" s="1"/>
  <c r="M1126" s="1"/>
  <c r="O1126" s="1"/>
  <c r="Q1126" s="1"/>
  <c r="S1126" s="1"/>
  <c r="U1126" s="1"/>
  <c r="I1127"/>
  <c r="K1127" s="1"/>
  <c r="M1127" s="1"/>
  <c r="O1127" s="1"/>
  <c r="Q1127" s="1"/>
  <c r="S1127" s="1"/>
  <c r="U1127" s="1"/>
  <c r="I958"/>
  <c r="K958" s="1"/>
  <c r="M958" s="1"/>
  <c r="O958" s="1"/>
  <c r="Q958" s="1"/>
  <c r="S958" s="1"/>
  <c r="U958" s="1"/>
  <c r="G957"/>
  <c r="G588"/>
  <c r="I589"/>
  <c r="K589" s="1"/>
  <c r="M589" s="1"/>
  <c r="O589" s="1"/>
  <c r="Q589" s="1"/>
  <c r="S589" s="1"/>
  <c r="U589" s="1"/>
  <c r="G887"/>
  <c r="I888"/>
  <c r="K888" s="1"/>
  <c r="M888" s="1"/>
  <c r="O888" s="1"/>
  <c r="Q888" s="1"/>
  <c r="S888" s="1"/>
  <c r="U888" s="1"/>
  <c r="G1330"/>
  <c r="I1330" s="1"/>
  <c r="K1330" s="1"/>
  <c r="M1330" s="1"/>
  <c r="O1330" s="1"/>
  <c r="Q1330" s="1"/>
  <c r="S1330" s="1"/>
  <c r="U1330" s="1"/>
  <c r="I1331"/>
  <c r="K1331" s="1"/>
  <c r="M1331" s="1"/>
  <c r="O1331" s="1"/>
  <c r="Q1331" s="1"/>
  <c r="S1331" s="1"/>
  <c r="U1331" s="1"/>
  <c r="G1604"/>
  <c r="I1605"/>
  <c r="K1605" s="1"/>
  <c r="M1605" s="1"/>
  <c r="O1605" s="1"/>
  <c r="Q1605" s="1"/>
  <c r="S1605" s="1"/>
  <c r="U1605" s="1"/>
  <c r="I635"/>
  <c r="K635" s="1"/>
  <c r="M635" s="1"/>
  <c r="O635" s="1"/>
  <c r="Q635" s="1"/>
  <c r="S635" s="1"/>
  <c r="U635" s="1"/>
  <c r="G1552"/>
  <c r="I1553"/>
  <c r="K1553" s="1"/>
  <c r="M1553" s="1"/>
  <c r="O1553" s="1"/>
  <c r="Q1553" s="1"/>
  <c r="S1553" s="1"/>
  <c r="U1553" s="1"/>
  <c r="G864"/>
  <c r="I865"/>
  <c r="K865" s="1"/>
  <c r="M865" s="1"/>
  <c r="O865" s="1"/>
  <c r="Q865" s="1"/>
  <c r="S865" s="1"/>
  <c r="U865" s="1"/>
  <c r="G1274"/>
  <c r="I1275"/>
  <c r="K1275" s="1"/>
  <c r="M1275" s="1"/>
  <c r="O1275" s="1"/>
  <c r="Q1275" s="1"/>
  <c r="S1275" s="1"/>
  <c r="U1275" s="1"/>
  <c r="G1048"/>
  <c r="I1048" s="1"/>
  <c r="K1048" s="1"/>
  <c r="M1048" s="1"/>
  <c r="O1048" s="1"/>
  <c r="Q1048" s="1"/>
  <c r="S1048" s="1"/>
  <c r="U1048" s="1"/>
  <c r="I1049"/>
  <c r="K1049" s="1"/>
  <c r="M1049" s="1"/>
  <c r="O1049" s="1"/>
  <c r="Q1049" s="1"/>
  <c r="S1049" s="1"/>
  <c r="U1049" s="1"/>
  <c r="G1032"/>
  <c r="I1032" s="1"/>
  <c r="K1032" s="1"/>
  <c r="M1032" s="1"/>
  <c r="O1032" s="1"/>
  <c r="Q1032" s="1"/>
  <c r="S1032" s="1"/>
  <c r="U1032" s="1"/>
  <c r="I1033"/>
  <c r="K1033" s="1"/>
  <c r="M1033" s="1"/>
  <c r="O1033" s="1"/>
  <c r="Q1033" s="1"/>
  <c r="S1033" s="1"/>
  <c r="U1033" s="1"/>
  <c r="G1313"/>
  <c r="I1313" s="1"/>
  <c r="K1313" s="1"/>
  <c r="M1313" s="1"/>
  <c r="O1313" s="1"/>
  <c r="Q1313" s="1"/>
  <c r="S1313" s="1"/>
  <c r="U1313" s="1"/>
  <c r="I1314"/>
  <c r="K1314" s="1"/>
  <c r="M1314" s="1"/>
  <c r="O1314" s="1"/>
  <c r="Q1314" s="1"/>
  <c r="S1314" s="1"/>
  <c r="U1314" s="1"/>
  <c r="G832"/>
  <c r="I832" s="1"/>
  <c r="K832" s="1"/>
  <c r="M832" s="1"/>
  <c r="O832" s="1"/>
  <c r="Q832" s="1"/>
  <c r="S832" s="1"/>
  <c r="U832" s="1"/>
  <c r="I833"/>
  <c r="K833" s="1"/>
  <c r="M833" s="1"/>
  <c r="O833" s="1"/>
  <c r="Q833" s="1"/>
  <c r="S833" s="1"/>
  <c r="U833" s="1"/>
  <c r="G998"/>
  <c r="I998" s="1"/>
  <c r="K998" s="1"/>
  <c r="M998" s="1"/>
  <c r="O998" s="1"/>
  <c r="Q998" s="1"/>
  <c r="S998" s="1"/>
  <c r="U998" s="1"/>
  <c r="I999"/>
  <c r="K999" s="1"/>
  <c r="M999" s="1"/>
  <c r="O999" s="1"/>
  <c r="Q999" s="1"/>
  <c r="S999" s="1"/>
  <c r="U999" s="1"/>
  <c r="G535"/>
  <c r="I536"/>
  <c r="K536" s="1"/>
  <c r="M536" s="1"/>
  <c r="O536" s="1"/>
  <c r="Q536" s="1"/>
  <c r="S536" s="1"/>
  <c r="U536" s="1"/>
  <c r="I1462"/>
  <c r="K1462" s="1"/>
  <c r="M1462" s="1"/>
  <c r="O1462" s="1"/>
  <c r="Q1462" s="1"/>
  <c r="S1462" s="1"/>
  <c r="U1462" s="1"/>
  <c r="G1459"/>
  <c r="I1459" s="1"/>
  <c r="K1459" s="1"/>
  <c r="M1459" s="1"/>
  <c r="O1459" s="1"/>
  <c r="Q1459" s="1"/>
  <c r="S1459" s="1"/>
  <c r="U1459" s="1"/>
  <c r="I1422"/>
  <c r="K1422" s="1"/>
  <c r="M1422" s="1"/>
  <c r="O1422" s="1"/>
  <c r="Q1422" s="1"/>
  <c r="S1422" s="1"/>
  <c r="U1422" s="1"/>
  <c r="G1421"/>
  <c r="I1421" s="1"/>
  <c r="K1421" s="1"/>
  <c r="M1421" s="1"/>
  <c r="O1421" s="1"/>
  <c r="Q1421" s="1"/>
  <c r="S1421" s="1"/>
  <c r="U1421" s="1"/>
  <c r="G1628"/>
  <c r="I1633"/>
  <c r="K1633" s="1"/>
  <c r="M1633" s="1"/>
  <c r="O1633" s="1"/>
  <c r="Q1633" s="1"/>
  <c r="S1633" s="1"/>
  <c r="U1633" s="1"/>
  <c r="I95"/>
  <c r="K95" s="1"/>
  <c r="M95" s="1"/>
  <c r="O95" s="1"/>
  <c r="Q95" s="1"/>
  <c r="S95" s="1"/>
  <c r="U95" s="1"/>
  <c r="G1622"/>
  <c r="I1623"/>
  <c r="K1623" s="1"/>
  <c r="M1623" s="1"/>
  <c r="O1623" s="1"/>
  <c r="Q1623" s="1"/>
  <c r="S1623" s="1"/>
  <c r="U1623" s="1"/>
  <c r="G1043"/>
  <c r="I1043" s="1"/>
  <c r="K1043" s="1"/>
  <c r="M1043" s="1"/>
  <c r="O1043" s="1"/>
  <c r="Q1043" s="1"/>
  <c r="S1043" s="1"/>
  <c r="U1043" s="1"/>
  <c r="I1044"/>
  <c r="K1044" s="1"/>
  <c r="M1044" s="1"/>
  <c r="O1044" s="1"/>
  <c r="Q1044" s="1"/>
  <c r="S1044" s="1"/>
  <c r="U1044" s="1"/>
  <c r="G1210"/>
  <c r="I1210" s="1"/>
  <c r="K1210" s="1"/>
  <c r="M1210" s="1"/>
  <c r="O1210" s="1"/>
  <c r="Q1210" s="1"/>
  <c r="S1210" s="1"/>
  <c r="U1210" s="1"/>
  <c r="I1211"/>
  <c r="K1211" s="1"/>
  <c r="M1211" s="1"/>
  <c r="O1211" s="1"/>
  <c r="Q1211" s="1"/>
  <c r="S1211" s="1"/>
  <c r="U1211" s="1"/>
  <c r="G737"/>
  <c r="I737" s="1"/>
  <c r="K737" s="1"/>
  <c r="M737" s="1"/>
  <c r="O737" s="1"/>
  <c r="Q737" s="1"/>
  <c r="S737" s="1"/>
  <c r="U737" s="1"/>
  <c r="I738"/>
  <c r="K738" s="1"/>
  <c r="M738" s="1"/>
  <c r="O738" s="1"/>
  <c r="Q738" s="1"/>
  <c r="S738" s="1"/>
  <c r="U738" s="1"/>
  <c r="G1725"/>
  <c r="I1725" s="1"/>
  <c r="K1725" s="1"/>
  <c r="M1725" s="1"/>
  <c r="O1725" s="1"/>
  <c r="Q1725" s="1"/>
  <c r="S1725" s="1"/>
  <c r="U1725" s="1"/>
  <c r="I1726"/>
  <c r="K1726" s="1"/>
  <c r="M1726" s="1"/>
  <c r="O1726" s="1"/>
  <c r="Q1726" s="1"/>
  <c r="S1726" s="1"/>
  <c r="U1726" s="1"/>
  <c r="G1061"/>
  <c r="I1062"/>
  <c r="K1062" s="1"/>
  <c r="M1062" s="1"/>
  <c r="O1062" s="1"/>
  <c r="Q1062" s="1"/>
  <c r="S1062" s="1"/>
  <c r="U1062" s="1"/>
  <c r="G672"/>
  <c r="I672" s="1"/>
  <c r="K672" s="1"/>
  <c r="M672" s="1"/>
  <c r="O672" s="1"/>
  <c r="Q672" s="1"/>
  <c r="S672" s="1"/>
  <c r="U672" s="1"/>
  <c r="I673"/>
  <c r="K673" s="1"/>
  <c r="M673" s="1"/>
  <c r="O673" s="1"/>
  <c r="Q673" s="1"/>
  <c r="S673" s="1"/>
  <c r="U673" s="1"/>
  <c r="G462"/>
  <c r="I463"/>
  <c r="K463" s="1"/>
  <c r="M463" s="1"/>
  <c r="O463" s="1"/>
  <c r="Q463" s="1"/>
  <c r="S463" s="1"/>
  <c r="U463" s="1"/>
  <c r="G1399"/>
  <c r="I1399" s="1"/>
  <c r="K1399" s="1"/>
  <c r="M1399" s="1"/>
  <c r="O1399" s="1"/>
  <c r="Q1399" s="1"/>
  <c r="S1399" s="1"/>
  <c r="U1399" s="1"/>
  <c r="I1403"/>
  <c r="K1403" s="1"/>
  <c r="M1403" s="1"/>
  <c r="O1403" s="1"/>
  <c r="Q1403" s="1"/>
  <c r="S1403" s="1"/>
  <c r="U1403" s="1"/>
  <c r="G418"/>
  <c r="I419"/>
  <c r="K419" s="1"/>
  <c r="M419" s="1"/>
  <c r="O419" s="1"/>
  <c r="Q419" s="1"/>
  <c r="S419" s="1"/>
  <c r="U419" s="1"/>
  <c r="G969"/>
  <c r="I969" s="1"/>
  <c r="K969" s="1"/>
  <c r="M969" s="1"/>
  <c r="O969" s="1"/>
  <c r="Q969" s="1"/>
  <c r="S969" s="1"/>
  <c r="U969" s="1"/>
  <c r="I970"/>
  <c r="K970" s="1"/>
  <c r="M970" s="1"/>
  <c r="O970" s="1"/>
  <c r="Q970" s="1"/>
  <c r="S970" s="1"/>
  <c r="U970" s="1"/>
  <c r="G1108"/>
  <c r="I1108" s="1"/>
  <c r="K1108" s="1"/>
  <c r="M1108" s="1"/>
  <c r="O1108" s="1"/>
  <c r="Q1108" s="1"/>
  <c r="S1108" s="1"/>
  <c r="U1108" s="1"/>
  <c r="I1113"/>
  <c r="K1113" s="1"/>
  <c r="M1113" s="1"/>
  <c r="O1113" s="1"/>
  <c r="Q1113" s="1"/>
  <c r="S1113" s="1"/>
  <c r="U1113" s="1"/>
  <c r="G1506"/>
  <c r="I1507"/>
  <c r="K1507" s="1"/>
  <c r="M1507" s="1"/>
  <c r="O1507" s="1"/>
  <c r="Q1507" s="1"/>
  <c r="S1507" s="1"/>
  <c r="U1507" s="1"/>
  <c r="G846"/>
  <c r="I847"/>
  <c r="K847" s="1"/>
  <c r="M847" s="1"/>
  <c r="O847" s="1"/>
  <c r="Q847" s="1"/>
  <c r="S847" s="1"/>
  <c r="U847" s="1"/>
  <c r="G501"/>
  <c r="I502"/>
  <c r="K502" s="1"/>
  <c r="M502" s="1"/>
  <c r="O502" s="1"/>
  <c r="Q502" s="1"/>
  <c r="S502" s="1"/>
  <c r="U502" s="1"/>
  <c r="G840"/>
  <c r="I841"/>
  <c r="K841" s="1"/>
  <c r="M841" s="1"/>
  <c r="O841" s="1"/>
  <c r="Q841" s="1"/>
  <c r="S841" s="1"/>
  <c r="U841" s="1"/>
  <c r="I1218"/>
  <c r="K1218" s="1"/>
  <c r="M1218" s="1"/>
  <c r="O1218" s="1"/>
  <c r="Q1218" s="1"/>
  <c r="S1218" s="1"/>
  <c r="U1218" s="1"/>
  <c r="G1217"/>
  <c r="I614"/>
  <c r="K614" s="1"/>
  <c r="M614" s="1"/>
  <c r="O614" s="1"/>
  <c r="Q614" s="1"/>
  <c r="S614" s="1"/>
  <c r="U614" s="1"/>
  <c r="G613"/>
  <c r="I613" s="1"/>
  <c r="K613" s="1"/>
  <c r="M613" s="1"/>
  <c r="O613" s="1"/>
  <c r="Q613" s="1"/>
  <c r="S613" s="1"/>
  <c r="U613" s="1"/>
  <c r="G794"/>
  <c r="I795"/>
  <c r="K795" s="1"/>
  <c r="M795" s="1"/>
  <c r="O795" s="1"/>
  <c r="Q795" s="1"/>
  <c r="S795" s="1"/>
  <c r="U795" s="1"/>
  <c r="G1687"/>
  <c r="I1688"/>
  <c r="K1688" s="1"/>
  <c r="M1688" s="1"/>
  <c r="O1688" s="1"/>
  <c r="Q1688" s="1"/>
  <c r="S1688" s="1"/>
  <c r="U1688" s="1"/>
  <c r="I1237"/>
  <c r="K1237" s="1"/>
  <c r="M1237" s="1"/>
  <c r="O1237" s="1"/>
  <c r="Q1237" s="1"/>
  <c r="S1237" s="1"/>
  <c r="U1237" s="1"/>
  <c r="G1232"/>
  <c r="G33"/>
  <c r="I34"/>
  <c r="K34" s="1"/>
  <c r="M34" s="1"/>
  <c r="O34" s="1"/>
  <c r="Q34" s="1"/>
  <c r="S34" s="1"/>
  <c r="U34" s="1"/>
  <c r="I1145"/>
  <c r="K1145" s="1"/>
  <c r="M1145" s="1"/>
  <c r="O1145" s="1"/>
  <c r="Q1145" s="1"/>
  <c r="S1145" s="1"/>
  <c r="U1145" s="1"/>
  <c r="G1144"/>
  <c r="G1346"/>
  <c r="I1346" s="1"/>
  <c r="K1346" s="1"/>
  <c r="M1346" s="1"/>
  <c r="O1346" s="1"/>
  <c r="Q1346" s="1"/>
  <c r="S1346" s="1"/>
  <c r="U1346" s="1"/>
  <c r="I1347"/>
  <c r="K1347" s="1"/>
  <c r="M1347" s="1"/>
  <c r="O1347" s="1"/>
  <c r="Q1347" s="1"/>
  <c r="S1347" s="1"/>
  <c r="U1347" s="1"/>
  <c r="I758"/>
  <c r="K758" s="1"/>
  <c r="M758" s="1"/>
  <c r="O758" s="1"/>
  <c r="Q758" s="1"/>
  <c r="S758" s="1"/>
  <c r="U758" s="1"/>
  <c r="G757"/>
  <c r="I757" s="1"/>
  <c r="K757" s="1"/>
  <c r="M757" s="1"/>
  <c r="O757" s="1"/>
  <c r="Q757" s="1"/>
  <c r="S757" s="1"/>
  <c r="U757" s="1"/>
  <c r="G1517"/>
  <c r="I1518"/>
  <c r="K1518" s="1"/>
  <c r="M1518" s="1"/>
  <c r="O1518" s="1"/>
  <c r="Q1518" s="1"/>
  <c r="S1518" s="1"/>
  <c r="U1518" s="1"/>
  <c r="G827"/>
  <c r="I828"/>
  <c r="K828" s="1"/>
  <c r="M828" s="1"/>
  <c r="O828" s="1"/>
  <c r="Q828" s="1"/>
  <c r="S828" s="1"/>
  <c r="U828" s="1"/>
  <c r="G346"/>
  <c r="I347"/>
  <c r="K347" s="1"/>
  <c r="M347" s="1"/>
  <c r="O347" s="1"/>
  <c r="Q347" s="1"/>
  <c r="S347" s="1"/>
  <c r="U347" s="1"/>
  <c r="G514"/>
  <c r="I515"/>
  <c r="K515" s="1"/>
  <c r="M515" s="1"/>
  <c r="O515" s="1"/>
  <c r="Q515" s="1"/>
  <c r="S515" s="1"/>
  <c r="U515" s="1"/>
  <c r="I96"/>
  <c r="K96" s="1"/>
  <c r="M96" s="1"/>
  <c r="O96" s="1"/>
  <c r="Q96" s="1"/>
  <c r="S96" s="1"/>
  <c r="U96" s="1"/>
  <c r="G1418" i="6"/>
  <c r="H1418" s="1"/>
  <c r="J1418" s="1"/>
  <c r="L1418" s="1"/>
  <c r="N1418" s="1"/>
  <c r="P1418" s="1"/>
  <c r="R1418" s="1"/>
  <c r="T1418" s="1"/>
  <c r="H1329"/>
  <c r="J1329" s="1"/>
  <c r="L1329" s="1"/>
  <c r="N1329" s="1"/>
  <c r="P1329" s="1"/>
  <c r="R1329" s="1"/>
  <c r="T1329" s="1"/>
  <c r="E60" i="1"/>
  <c r="E59" s="1"/>
  <c r="H1197" i="5"/>
  <c r="I1198"/>
  <c r="K1198" s="1"/>
  <c r="M1198" s="1"/>
  <c r="O1198" s="1"/>
  <c r="Q1198" s="1"/>
  <c r="S1198" s="1"/>
  <c r="U1198" s="1"/>
  <c r="F491" i="6"/>
  <c r="F490" s="1"/>
  <c r="H1535"/>
  <c r="J1535" s="1"/>
  <c r="L1535" s="1"/>
  <c r="N1535" s="1"/>
  <c r="P1535" s="1"/>
  <c r="R1535" s="1"/>
  <c r="T1535" s="1"/>
  <c r="F1532"/>
  <c r="F1003"/>
  <c r="H1004"/>
  <c r="J1004" s="1"/>
  <c r="L1004" s="1"/>
  <c r="N1004" s="1"/>
  <c r="P1004" s="1"/>
  <c r="R1004" s="1"/>
  <c r="T1004" s="1"/>
  <c r="F285"/>
  <c r="H286"/>
  <c r="J286" s="1"/>
  <c r="L286" s="1"/>
  <c r="N286" s="1"/>
  <c r="P286" s="1"/>
  <c r="R286" s="1"/>
  <c r="T286" s="1"/>
  <c r="F411"/>
  <c r="H412"/>
  <c r="J412" s="1"/>
  <c r="L412" s="1"/>
  <c r="N412" s="1"/>
  <c r="P412" s="1"/>
  <c r="R412" s="1"/>
  <c r="T412" s="1"/>
  <c r="F706"/>
  <c r="H707"/>
  <c r="J707" s="1"/>
  <c r="L707" s="1"/>
  <c r="N707" s="1"/>
  <c r="P707" s="1"/>
  <c r="R707" s="1"/>
  <c r="T707" s="1"/>
  <c r="F1061"/>
  <c r="H1062"/>
  <c r="J1062" s="1"/>
  <c r="L1062" s="1"/>
  <c r="N1062" s="1"/>
  <c r="P1062" s="1"/>
  <c r="R1062" s="1"/>
  <c r="T1062" s="1"/>
  <c r="F547"/>
  <c r="H548"/>
  <c r="J548" s="1"/>
  <c r="L548" s="1"/>
  <c r="N548" s="1"/>
  <c r="P548" s="1"/>
  <c r="R548" s="1"/>
  <c r="T548" s="1"/>
  <c r="F363"/>
  <c r="H364"/>
  <c r="J364" s="1"/>
  <c r="L364" s="1"/>
  <c r="N364" s="1"/>
  <c r="P364" s="1"/>
  <c r="R364" s="1"/>
  <c r="T364" s="1"/>
  <c r="F659"/>
  <c r="H659" s="1"/>
  <c r="J659" s="1"/>
  <c r="L659" s="1"/>
  <c r="N659" s="1"/>
  <c r="P659" s="1"/>
  <c r="R659" s="1"/>
  <c r="T659" s="1"/>
  <c r="H660"/>
  <c r="J660" s="1"/>
  <c r="L660" s="1"/>
  <c r="N660" s="1"/>
  <c r="P660" s="1"/>
  <c r="R660" s="1"/>
  <c r="T660" s="1"/>
  <c r="F1080"/>
  <c r="H1081"/>
  <c r="J1081" s="1"/>
  <c r="L1081" s="1"/>
  <c r="N1081" s="1"/>
  <c r="P1081" s="1"/>
  <c r="R1081" s="1"/>
  <c r="T1081" s="1"/>
  <c r="F1145"/>
  <c r="H1146"/>
  <c r="J1146" s="1"/>
  <c r="L1146" s="1"/>
  <c r="N1146" s="1"/>
  <c r="P1146" s="1"/>
  <c r="R1146" s="1"/>
  <c r="T1146" s="1"/>
  <c r="F1782"/>
  <c r="H1783"/>
  <c r="J1783" s="1"/>
  <c r="L1783" s="1"/>
  <c r="N1783" s="1"/>
  <c r="P1783" s="1"/>
  <c r="R1783" s="1"/>
  <c r="T1783" s="1"/>
  <c r="H1778"/>
  <c r="J1778" s="1"/>
  <c r="L1778" s="1"/>
  <c r="N1778" s="1"/>
  <c r="P1778" s="1"/>
  <c r="R1778" s="1"/>
  <c r="T1778" s="1"/>
  <c r="F1775"/>
  <c r="F950"/>
  <c r="H951"/>
  <c r="J951" s="1"/>
  <c r="L951" s="1"/>
  <c r="N951" s="1"/>
  <c r="P951" s="1"/>
  <c r="R951" s="1"/>
  <c r="T951" s="1"/>
  <c r="F91"/>
  <c r="H92"/>
  <c r="J92" s="1"/>
  <c r="L92" s="1"/>
  <c r="N92" s="1"/>
  <c r="P92" s="1"/>
  <c r="R92" s="1"/>
  <c r="T92" s="1"/>
  <c r="F54"/>
  <c r="H55"/>
  <c r="J55" s="1"/>
  <c r="L55" s="1"/>
  <c r="N55" s="1"/>
  <c r="P55" s="1"/>
  <c r="R55" s="1"/>
  <c r="T55" s="1"/>
  <c r="F417"/>
  <c r="H418"/>
  <c r="J418" s="1"/>
  <c r="L418" s="1"/>
  <c r="N418" s="1"/>
  <c r="P418" s="1"/>
  <c r="R418" s="1"/>
  <c r="T418" s="1"/>
  <c r="F1516"/>
  <c r="H1517"/>
  <c r="J1517" s="1"/>
  <c r="L1517" s="1"/>
  <c r="N1517" s="1"/>
  <c r="P1517" s="1"/>
  <c r="R1517" s="1"/>
  <c r="T1517" s="1"/>
  <c r="H1451"/>
  <c r="J1451" s="1"/>
  <c r="L1451" s="1"/>
  <c r="N1451" s="1"/>
  <c r="P1451" s="1"/>
  <c r="R1451" s="1"/>
  <c r="T1451" s="1"/>
  <c r="F1448"/>
  <c r="H1018"/>
  <c r="J1018" s="1"/>
  <c r="L1018" s="1"/>
  <c r="N1018" s="1"/>
  <c r="P1018" s="1"/>
  <c r="R1018" s="1"/>
  <c r="T1018" s="1"/>
  <c r="F1017"/>
  <c r="F137"/>
  <c r="H137" s="1"/>
  <c r="J137" s="1"/>
  <c r="L137" s="1"/>
  <c r="N137" s="1"/>
  <c r="P137" s="1"/>
  <c r="R137" s="1"/>
  <c r="T137" s="1"/>
  <c r="H138"/>
  <c r="J138" s="1"/>
  <c r="L138" s="1"/>
  <c r="N138" s="1"/>
  <c r="P138" s="1"/>
  <c r="R138" s="1"/>
  <c r="T138" s="1"/>
  <c r="F277"/>
  <c r="H277" s="1"/>
  <c r="J277" s="1"/>
  <c r="L277" s="1"/>
  <c r="N277" s="1"/>
  <c r="P277" s="1"/>
  <c r="R277" s="1"/>
  <c r="T277" s="1"/>
  <c r="H278"/>
  <c r="J278" s="1"/>
  <c r="L278" s="1"/>
  <c r="N278" s="1"/>
  <c r="P278" s="1"/>
  <c r="R278" s="1"/>
  <c r="T278" s="1"/>
  <c r="F813"/>
  <c r="H814"/>
  <c r="J814" s="1"/>
  <c r="L814" s="1"/>
  <c r="N814" s="1"/>
  <c r="P814" s="1"/>
  <c r="R814" s="1"/>
  <c r="T814" s="1"/>
  <c r="H1554"/>
  <c r="J1554" s="1"/>
  <c r="L1554" s="1"/>
  <c r="N1554" s="1"/>
  <c r="P1554" s="1"/>
  <c r="R1554" s="1"/>
  <c r="T1554" s="1"/>
  <c r="F1551"/>
  <c r="F1655"/>
  <c r="H1656"/>
  <c r="J1656" s="1"/>
  <c r="L1656" s="1"/>
  <c r="N1656" s="1"/>
  <c r="P1656" s="1"/>
  <c r="R1656" s="1"/>
  <c r="T1656" s="1"/>
  <c r="H690"/>
  <c r="J690" s="1"/>
  <c r="L690" s="1"/>
  <c r="N690" s="1"/>
  <c r="P690" s="1"/>
  <c r="R690" s="1"/>
  <c r="T690" s="1"/>
  <c r="F689"/>
  <c r="H689" s="1"/>
  <c r="J689" s="1"/>
  <c r="L689" s="1"/>
  <c r="N689" s="1"/>
  <c r="P689" s="1"/>
  <c r="R689" s="1"/>
  <c r="T689" s="1"/>
  <c r="H198"/>
  <c r="J198" s="1"/>
  <c r="L198" s="1"/>
  <c r="N198" s="1"/>
  <c r="P198" s="1"/>
  <c r="R198" s="1"/>
  <c r="T198" s="1"/>
  <c r="F197"/>
  <c r="F1276"/>
  <c r="H1277"/>
  <c r="J1277" s="1"/>
  <c r="L1277" s="1"/>
  <c r="N1277" s="1"/>
  <c r="P1277" s="1"/>
  <c r="R1277" s="1"/>
  <c r="T1277" s="1"/>
  <c r="F798"/>
  <c r="H798" s="1"/>
  <c r="J798" s="1"/>
  <c r="L798" s="1"/>
  <c r="N798" s="1"/>
  <c r="P798" s="1"/>
  <c r="R798" s="1"/>
  <c r="T798" s="1"/>
  <c r="H799"/>
  <c r="J799" s="1"/>
  <c r="L799" s="1"/>
  <c r="N799" s="1"/>
  <c r="P799" s="1"/>
  <c r="R799" s="1"/>
  <c r="T799" s="1"/>
  <c r="F1199"/>
  <c r="H1200"/>
  <c r="J1200" s="1"/>
  <c r="L1200" s="1"/>
  <c r="N1200" s="1"/>
  <c r="P1200" s="1"/>
  <c r="R1200" s="1"/>
  <c r="T1200" s="1"/>
  <c r="F1792"/>
  <c r="H1793"/>
  <c r="J1793" s="1"/>
  <c r="L1793" s="1"/>
  <c r="N1793" s="1"/>
  <c r="P1793" s="1"/>
  <c r="R1793" s="1"/>
  <c r="T1793" s="1"/>
  <c r="F896"/>
  <c r="H897"/>
  <c r="J897" s="1"/>
  <c r="L897" s="1"/>
  <c r="N897" s="1"/>
  <c r="P897" s="1"/>
  <c r="R897" s="1"/>
  <c r="T897" s="1"/>
  <c r="H918"/>
  <c r="J918" s="1"/>
  <c r="L918" s="1"/>
  <c r="N918" s="1"/>
  <c r="P918" s="1"/>
  <c r="R918" s="1"/>
  <c r="T918" s="1"/>
  <c r="F917"/>
  <c r="F1618"/>
  <c r="H1619"/>
  <c r="J1619" s="1"/>
  <c r="L1619" s="1"/>
  <c r="N1619" s="1"/>
  <c r="P1619" s="1"/>
  <c r="R1619" s="1"/>
  <c r="T1619" s="1"/>
  <c r="F435"/>
  <c r="H435" s="1"/>
  <c r="J435" s="1"/>
  <c r="L435" s="1"/>
  <c r="N435" s="1"/>
  <c r="P435" s="1"/>
  <c r="R435" s="1"/>
  <c r="T435" s="1"/>
  <c r="H442"/>
  <c r="J442" s="1"/>
  <c r="L442" s="1"/>
  <c r="N442" s="1"/>
  <c r="P442" s="1"/>
  <c r="R442" s="1"/>
  <c r="T442" s="1"/>
  <c r="H352"/>
  <c r="J352" s="1"/>
  <c r="L352" s="1"/>
  <c r="N352" s="1"/>
  <c r="P352" s="1"/>
  <c r="R352" s="1"/>
  <c r="T352" s="1"/>
  <c r="F351"/>
  <c r="H351" s="1"/>
  <c r="J351" s="1"/>
  <c r="L351" s="1"/>
  <c r="N351" s="1"/>
  <c r="P351" s="1"/>
  <c r="R351" s="1"/>
  <c r="T351" s="1"/>
  <c r="H1592"/>
  <c r="J1592" s="1"/>
  <c r="L1592" s="1"/>
  <c r="N1592" s="1"/>
  <c r="P1592" s="1"/>
  <c r="R1592" s="1"/>
  <c r="T1592" s="1"/>
  <c r="F1589"/>
  <c r="F766"/>
  <c r="H766" s="1"/>
  <c r="J766" s="1"/>
  <c r="L766" s="1"/>
  <c r="N766" s="1"/>
  <c r="P766" s="1"/>
  <c r="R766" s="1"/>
  <c r="T766" s="1"/>
  <c r="H767"/>
  <c r="J767" s="1"/>
  <c r="L767" s="1"/>
  <c r="N767" s="1"/>
  <c r="P767" s="1"/>
  <c r="R767" s="1"/>
  <c r="T767" s="1"/>
  <c r="H1737"/>
  <c r="J1737" s="1"/>
  <c r="L1737" s="1"/>
  <c r="N1737" s="1"/>
  <c r="P1737" s="1"/>
  <c r="R1737" s="1"/>
  <c r="T1737" s="1"/>
  <c r="F1734"/>
  <c r="F1048"/>
  <c r="H1049"/>
  <c r="J1049" s="1"/>
  <c r="L1049" s="1"/>
  <c r="N1049" s="1"/>
  <c r="P1049" s="1"/>
  <c r="R1049" s="1"/>
  <c r="T1049" s="1"/>
  <c r="F957"/>
  <c r="H958"/>
  <c r="J958" s="1"/>
  <c r="L958" s="1"/>
  <c r="N958" s="1"/>
  <c r="P958" s="1"/>
  <c r="R958" s="1"/>
  <c r="T958" s="1"/>
  <c r="F1430"/>
  <c r="H1431"/>
  <c r="J1431" s="1"/>
  <c r="L1431" s="1"/>
  <c r="N1431" s="1"/>
  <c r="P1431" s="1"/>
  <c r="R1431" s="1"/>
  <c r="T1431" s="1"/>
  <c r="H1544"/>
  <c r="J1544" s="1"/>
  <c r="L1544" s="1"/>
  <c r="N1544" s="1"/>
  <c r="P1544" s="1"/>
  <c r="R1544" s="1"/>
  <c r="T1544" s="1"/>
  <c r="F1541"/>
  <c r="H1541" s="1"/>
  <c r="J1541" s="1"/>
  <c r="L1541" s="1"/>
  <c r="N1541" s="1"/>
  <c r="P1541" s="1"/>
  <c r="R1541" s="1"/>
  <c r="T1541" s="1"/>
  <c r="F423"/>
  <c r="H424"/>
  <c r="J424" s="1"/>
  <c r="L424" s="1"/>
  <c r="N424" s="1"/>
  <c r="P424" s="1"/>
  <c r="R424" s="1"/>
  <c r="T424" s="1"/>
  <c r="H1609"/>
  <c r="J1609" s="1"/>
  <c r="L1609" s="1"/>
  <c r="N1609" s="1"/>
  <c r="P1609" s="1"/>
  <c r="R1609" s="1"/>
  <c r="T1609" s="1"/>
  <c r="F1606"/>
  <c r="F1085"/>
  <c r="H1086"/>
  <c r="J1086" s="1"/>
  <c r="L1086" s="1"/>
  <c r="N1086" s="1"/>
  <c r="P1086" s="1"/>
  <c r="R1086" s="1"/>
  <c r="T1086" s="1"/>
  <c r="F209"/>
  <c r="H210"/>
  <c r="J210" s="1"/>
  <c r="L210" s="1"/>
  <c r="N210" s="1"/>
  <c r="P210" s="1"/>
  <c r="R210" s="1"/>
  <c r="T210" s="1"/>
  <c r="F145"/>
  <c r="H146"/>
  <c r="J146" s="1"/>
  <c r="L146" s="1"/>
  <c r="N146" s="1"/>
  <c r="P146" s="1"/>
  <c r="R146" s="1"/>
  <c r="T146" s="1"/>
  <c r="F309"/>
  <c r="H310"/>
  <c r="J310" s="1"/>
  <c r="L310" s="1"/>
  <c r="N310" s="1"/>
  <c r="P310" s="1"/>
  <c r="R310" s="1"/>
  <c r="T310" s="1"/>
  <c r="F1460"/>
  <c r="H1461"/>
  <c r="J1461" s="1"/>
  <c r="L1461" s="1"/>
  <c r="N1461" s="1"/>
  <c r="P1461" s="1"/>
  <c r="R1461" s="1"/>
  <c r="T1461" s="1"/>
  <c r="H1267"/>
  <c r="J1267" s="1"/>
  <c r="L1267" s="1"/>
  <c r="N1267" s="1"/>
  <c r="P1267" s="1"/>
  <c r="R1267" s="1"/>
  <c r="T1267" s="1"/>
  <c r="F1266"/>
  <c r="F247"/>
  <c r="H248"/>
  <c r="J248" s="1"/>
  <c r="L248" s="1"/>
  <c r="N248" s="1"/>
  <c r="P248" s="1"/>
  <c r="R248" s="1"/>
  <c r="T248" s="1"/>
  <c r="F483"/>
  <c r="H483" s="1"/>
  <c r="J483" s="1"/>
  <c r="L483" s="1"/>
  <c r="N483" s="1"/>
  <c r="P483" s="1"/>
  <c r="R483" s="1"/>
  <c r="T483" s="1"/>
  <c r="H484"/>
  <c r="J484" s="1"/>
  <c r="L484" s="1"/>
  <c r="N484" s="1"/>
  <c r="P484" s="1"/>
  <c r="R484" s="1"/>
  <c r="T484" s="1"/>
  <c r="F1123"/>
  <c r="H1124"/>
  <c r="J1124" s="1"/>
  <c r="L1124" s="1"/>
  <c r="N1124" s="1"/>
  <c r="P1124" s="1"/>
  <c r="R1124" s="1"/>
  <c r="T1124" s="1"/>
  <c r="F221"/>
  <c r="H222"/>
  <c r="J222" s="1"/>
  <c r="L222" s="1"/>
  <c r="N222" s="1"/>
  <c r="P222" s="1"/>
  <c r="R222" s="1"/>
  <c r="T222" s="1"/>
  <c r="F563"/>
  <c r="H563" s="1"/>
  <c r="J563" s="1"/>
  <c r="L563" s="1"/>
  <c r="N563" s="1"/>
  <c r="P563" s="1"/>
  <c r="R563" s="1"/>
  <c r="T563" s="1"/>
  <c r="H564"/>
  <c r="J564" s="1"/>
  <c r="L564" s="1"/>
  <c r="N564" s="1"/>
  <c r="P564" s="1"/>
  <c r="R564" s="1"/>
  <c r="T564" s="1"/>
  <c r="F559"/>
  <c r="H560"/>
  <c r="J560" s="1"/>
  <c r="L560" s="1"/>
  <c r="N560" s="1"/>
  <c r="P560" s="1"/>
  <c r="R560" s="1"/>
  <c r="T560" s="1"/>
  <c r="F321"/>
  <c r="H322"/>
  <c r="J322" s="1"/>
  <c r="L322" s="1"/>
  <c r="N322" s="1"/>
  <c r="P322" s="1"/>
  <c r="R322" s="1"/>
  <c r="T322" s="1"/>
  <c r="F1320"/>
  <c r="H1321"/>
  <c r="J1321" s="1"/>
  <c r="L1321" s="1"/>
  <c r="N1321" s="1"/>
  <c r="P1321" s="1"/>
  <c r="R1321" s="1"/>
  <c r="T1321" s="1"/>
  <c r="F762"/>
  <c r="H763"/>
  <c r="J763" s="1"/>
  <c r="L763" s="1"/>
  <c r="N763" s="1"/>
  <c r="P763" s="1"/>
  <c r="R763" s="1"/>
  <c r="T763" s="1"/>
  <c r="F1118"/>
  <c r="H1119"/>
  <c r="J1119" s="1"/>
  <c r="L1119" s="1"/>
  <c r="N1119" s="1"/>
  <c r="P1119" s="1"/>
  <c r="R1119" s="1"/>
  <c r="T1119" s="1"/>
  <c r="H1745"/>
  <c r="J1745" s="1"/>
  <c r="L1745" s="1"/>
  <c r="N1745" s="1"/>
  <c r="P1745" s="1"/>
  <c r="R1745" s="1"/>
  <c r="T1745" s="1"/>
  <c r="F1742"/>
  <c r="F1488"/>
  <c r="H1489"/>
  <c r="J1489" s="1"/>
  <c r="L1489" s="1"/>
  <c r="N1489" s="1"/>
  <c r="P1489" s="1"/>
  <c r="R1489" s="1"/>
  <c r="T1489" s="1"/>
  <c r="F396"/>
  <c r="H397"/>
  <c r="J397" s="1"/>
  <c r="L397" s="1"/>
  <c r="N397" s="1"/>
  <c r="P397" s="1"/>
  <c r="R397" s="1"/>
  <c r="T397" s="1"/>
  <c r="F649"/>
  <c r="H650"/>
  <c r="J650" s="1"/>
  <c r="L650" s="1"/>
  <c r="N650" s="1"/>
  <c r="P650" s="1"/>
  <c r="R650" s="1"/>
  <c r="T650" s="1"/>
  <c r="F627"/>
  <c r="F1599"/>
  <c r="F1025"/>
  <c r="F1024" s="1"/>
  <c r="F1023" s="1"/>
  <c r="F1712"/>
  <c r="F984"/>
  <c r="H985"/>
  <c r="J985" s="1"/>
  <c r="L985" s="1"/>
  <c r="N985" s="1"/>
  <c r="P985" s="1"/>
  <c r="R985" s="1"/>
  <c r="T985" s="1"/>
  <c r="F261"/>
  <c r="H262"/>
  <c r="J262" s="1"/>
  <c r="L262" s="1"/>
  <c r="N262" s="1"/>
  <c r="P262" s="1"/>
  <c r="R262" s="1"/>
  <c r="T262" s="1"/>
  <c r="F780"/>
  <c r="H781"/>
  <c r="J781" s="1"/>
  <c r="L781" s="1"/>
  <c r="N781" s="1"/>
  <c r="P781" s="1"/>
  <c r="R781" s="1"/>
  <c r="T781" s="1"/>
  <c r="H1565"/>
  <c r="J1565" s="1"/>
  <c r="L1565" s="1"/>
  <c r="N1565" s="1"/>
  <c r="P1565" s="1"/>
  <c r="R1565" s="1"/>
  <c r="T1565" s="1"/>
  <c r="F1562"/>
  <c r="F1643"/>
  <c r="H1644"/>
  <c r="J1644" s="1"/>
  <c r="L1644" s="1"/>
  <c r="N1644" s="1"/>
  <c r="P1644" s="1"/>
  <c r="R1644" s="1"/>
  <c r="T1644" s="1"/>
  <c r="F1009"/>
  <c r="H1010"/>
  <c r="J1010" s="1"/>
  <c r="L1010" s="1"/>
  <c r="N1010" s="1"/>
  <c r="P1010" s="1"/>
  <c r="R1010" s="1"/>
  <c r="T1010" s="1"/>
  <c r="H237"/>
  <c r="J237" s="1"/>
  <c r="L237" s="1"/>
  <c r="N237" s="1"/>
  <c r="P237" s="1"/>
  <c r="R237" s="1"/>
  <c r="T237" s="1"/>
  <c r="F265"/>
  <c r="H265" s="1"/>
  <c r="J265" s="1"/>
  <c r="L265" s="1"/>
  <c r="N265" s="1"/>
  <c r="P265" s="1"/>
  <c r="R265" s="1"/>
  <c r="T265" s="1"/>
  <c r="H266"/>
  <c r="J266" s="1"/>
  <c r="L266" s="1"/>
  <c r="N266" s="1"/>
  <c r="P266" s="1"/>
  <c r="R266" s="1"/>
  <c r="T266" s="1"/>
  <c r="F685"/>
  <c r="H686"/>
  <c r="J686" s="1"/>
  <c r="L686" s="1"/>
  <c r="N686" s="1"/>
  <c r="P686" s="1"/>
  <c r="R686" s="1"/>
  <c r="T686" s="1"/>
  <c r="H1770"/>
  <c r="J1770" s="1"/>
  <c r="L1770" s="1"/>
  <c r="N1770" s="1"/>
  <c r="P1770" s="1"/>
  <c r="R1770" s="1"/>
  <c r="T1770" s="1"/>
  <c r="F1767"/>
  <c r="F908"/>
  <c r="H909"/>
  <c r="J909" s="1"/>
  <c r="L909" s="1"/>
  <c r="N909" s="1"/>
  <c r="P909" s="1"/>
  <c r="R909" s="1"/>
  <c r="T909" s="1"/>
  <c r="H524"/>
  <c r="J524" s="1"/>
  <c r="L524" s="1"/>
  <c r="N524" s="1"/>
  <c r="P524" s="1"/>
  <c r="R524" s="1"/>
  <c r="T524" s="1"/>
  <c r="F521"/>
  <c r="F1293"/>
  <c r="H1293" s="1"/>
  <c r="J1293" s="1"/>
  <c r="L1293" s="1"/>
  <c r="N1293" s="1"/>
  <c r="P1293" s="1"/>
  <c r="R1293" s="1"/>
  <c r="T1293" s="1"/>
  <c r="H1294"/>
  <c r="J1294" s="1"/>
  <c r="L1294" s="1"/>
  <c r="N1294" s="1"/>
  <c r="P1294" s="1"/>
  <c r="R1294" s="1"/>
  <c r="T1294" s="1"/>
  <c r="F170"/>
  <c r="H171"/>
  <c r="J171" s="1"/>
  <c r="L171" s="1"/>
  <c r="N171" s="1"/>
  <c r="P171" s="1"/>
  <c r="R171" s="1"/>
  <c r="T171" s="1"/>
  <c r="F723"/>
  <c r="H724"/>
  <c r="J724" s="1"/>
  <c r="L724" s="1"/>
  <c r="N724" s="1"/>
  <c r="P724" s="1"/>
  <c r="R724" s="1"/>
  <c r="T724" s="1"/>
  <c r="F1613"/>
  <c r="H1614"/>
  <c r="J1614" s="1"/>
  <c r="L1614" s="1"/>
  <c r="N1614" s="1"/>
  <c r="P1614" s="1"/>
  <c r="R1614" s="1"/>
  <c r="T1614" s="1"/>
  <c r="F153"/>
  <c r="H154"/>
  <c r="J154" s="1"/>
  <c r="L154" s="1"/>
  <c r="N154" s="1"/>
  <c r="P154" s="1"/>
  <c r="R154" s="1"/>
  <c r="T154" s="1"/>
  <c r="F1582"/>
  <c r="H1585"/>
  <c r="J1585" s="1"/>
  <c r="L1585" s="1"/>
  <c r="N1585" s="1"/>
  <c r="P1585" s="1"/>
  <c r="R1585" s="1"/>
  <c r="T1585" s="1"/>
  <c r="F347"/>
  <c r="H348"/>
  <c r="J348" s="1"/>
  <c r="L348" s="1"/>
  <c r="N348" s="1"/>
  <c r="P348" s="1"/>
  <c r="R348" s="1"/>
  <c r="T348" s="1"/>
  <c r="F1097"/>
  <c r="H1098"/>
  <c r="J1098" s="1"/>
  <c r="L1098" s="1"/>
  <c r="N1098" s="1"/>
  <c r="P1098" s="1"/>
  <c r="R1098" s="1"/>
  <c r="T1098" s="1"/>
  <c r="F1214"/>
  <c r="H1215"/>
  <c r="J1215" s="1"/>
  <c r="L1215" s="1"/>
  <c r="N1215" s="1"/>
  <c r="P1215" s="1"/>
  <c r="R1215" s="1"/>
  <c r="T1215" s="1"/>
  <c r="H1723"/>
  <c r="J1723" s="1"/>
  <c r="L1723" s="1"/>
  <c r="N1723" s="1"/>
  <c r="P1723" s="1"/>
  <c r="R1723" s="1"/>
  <c r="T1723" s="1"/>
  <c r="F1720"/>
  <c r="F1067"/>
  <c r="H1068"/>
  <c r="J1068" s="1"/>
  <c r="L1068" s="1"/>
  <c r="N1068" s="1"/>
  <c r="P1068" s="1"/>
  <c r="R1068" s="1"/>
  <c r="T1068" s="1"/>
  <c r="F273"/>
  <c r="H274"/>
  <c r="J274" s="1"/>
  <c r="L274" s="1"/>
  <c r="N274" s="1"/>
  <c r="P274" s="1"/>
  <c r="R274" s="1"/>
  <c r="T274" s="1"/>
  <c r="H302"/>
  <c r="J302" s="1"/>
  <c r="L302" s="1"/>
  <c r="N302" s="1"/>
  <c r="P302" s="1"/>
  <c r="R302" s="1"/>
  <c r="T302" s="1"/>
  <c r="H540"/>
  <c r="J540" s="1"/>
  <c r="L540" s="1"/>
  <c r="N540" s="1"/>
  <c r="P540" s="1"/>
  <c r="R540" s="1"/>
  <c r="T540" s="1"/>
  <c r="F1105"/>
  <c r="H1106"/>
  <c r="J1106" s="1"/>
  <c r="L1106" s="1"/>
  <c r="N1106" s="1"/>
  <c r="P1106" s="1"/>
  <c r="R1106" s="1"/>
  <c r="T1106" s="1"/>
  <c r="F1786"/>
  <c r="H1786" s="1"/>
  <c r="J1786" s="1"/>
  <c r="L1786" s="1"/>
  <c r="N1786" s="1"/>
  <c r="P1786" s="1"/>
  <c r="R1786" s="1"/>
  <c r="T1786" s="1"/>
  <c r="H1787"/>
  <c r="J1787" s="1"/>
  <c r="L1787" s="1"/>
  <c r="N1787" s="1"/>
  <c r="P1787" s="1"/>
  <c r="R1787" s="1"/>
  <c r="T1787" s="1"/>
  <c r="F77"/>
  <c r="H78"/>
  <c r="J78" s="1"/>
  <c r="L78" s="1"/>
  <c r="N78" s="1"/>
  <c r="P78" s="1"/>
  <c r="R78" s="1"/>
  <c r="T78" s="1"/>
  <c r="H1525"/>
  <c r="J1525" s="1"/>
  <c r="L1525" s="1"/>
  <c r="N1525" s="1"/>
  <c r="P1525" s="1"/>
  <c r="R1525" s="1"/>
  <c r="T1525" s="1"/>
  <c r="F1522"/>
  <c r="H1522" s="1"/>
  <c r="J1522" s="1"/>
  <c r="L1522" s="1"/>
  <c r="N1522" s="1"/>
  <c r="P1522" s="1"/>
  <c r="R1522" s="1"/>
  <c r="T1522" s="1"/>
  <c r="F1392"/>
  <c r="H1393"/>
  <c r="J1393" s="1"/>
  <c r="L1393" s="1"/>
  <c r="N1393" s="1"/>
  <c r="P1393" s="1"/>
  <c r="R1393" s="1"/>
  <c r="T1393" s="1"/>
  <c r="H162"/>
  <c r="J162" s="1"/>
  <c r="L162" s="1"/>
  <c r="N162" s="1"/>
  <c r="P162" s="1"/>
  <c r="R162" s="1"/>
  <c r="T162" s="1"/>
  <c r="F333"/>
  <c r="H334"/>
  <c r="J334" s="1"/>
  <c r="L334" s="1"/>
  <c r="N334" s="1"/>
  <c r="P334" s="1"/>
  <c r="R334" s="1"/>
  <c r="T334" s="1"/>
  <c r="H1575"/>
  <c r="J1575" s="1"/>
  <c r="L1575" s="1"/>
  <c r="N1575" s="1"/>
  <c r="P1575" s="1"/>
  <c r="R1575" s="1"/>
  <c r="T1575" s="1"/>
  <c r="F1572"/>
  <c r="F1139"/>
  <c r="H1140"/>
  <c r="J1140" s="1"/>
  <c r="L1140" s="1"/>
  <c r="N1140" s="1"/>
  <c r="P1140" s="1"/>
  <c r="R1140" s="1"/>
  <c r="T1140" s="1"/>
  <c r="F1754"/>
  <c r="H1755"/>
  <c r="J1755" s="1"/>
  <c r="L1755" s="1"/>
  <c r="N1755" s="1"/>
  <c r="P1755" s="1"/>
  <c r="R1755" s="1"/>
  <c r="T1755" s="1"/>
  <c r="F969"/>
  <c r="H970"/>
  <c r="J970" s="1"/>
  <c r="L970" s="1"/>
  <c r="N970" s="1"/>
  <c r="P970" s="1"/>
  <c r="R970" s="1"/>
  <c r="T970" s="1"/>
  <c r="F1501"/>
  <c r="H1502"/>
  <c r="J1502" s="1"/>
  <c r="L1502" s="1"/>
  <c r="N1502" s="1"/>
  <c r="P1502" s="1"/>
  <c r="R1502" s="1"/>
  <c r="T1502" s="1"/>
  <c r="F1037"/>
  <c r="H1038"/>
  <c r="J1038" s="1"/>
  <c r="L1038" s="1"/>
  <c r="N1038" s="1"/>
  <c r="P1038" s="1"/>
  <c r="R1038" s="1"/>
  <c r="T1038" s="1"/>
  <c r="F133"/>
  <c r="H134"/>
  <c r="J134" s="1"/>
  <c r="L134" s="1"/>
  <c r="N134" s="1"/>
  <c r="P134" s="1"/>
  <c r="R134" s="1"/>
  <c r="T134" s="1"/>
  <c r="F381"/>
  <c r="H382"/>
  <c r="J382" s="1"/>
  <c r="L382" s="1"/>
  <c r="N382" s="1"/>
  <c r="P382" s="1"/>
  <c r="R382" s="1"/>
  <c r="T382" s="1"/>
  <c r="F791"/>
  <c r="H795"/>
  <c r="J795" s="1"/>
  <c r="L795" s="1"/>
  <c r="N795" s="1"/>
  <c r="P795" s="1"/>
  <c r="R795" s="1"/>
  <c r="T795" s="1"/>
  <c r="F1151"/>
  <c r="H1152"/>
  <c r="J1152" s="1"/>
  <c r="L1152" s="1"/>
  <c r="N1152" s="1"/>
  <c r="P1152" s="1"/>
  <c r="R1152" s="1"/>
  <c r="T1152" s="1"/>
  <c r="F1665"/>
  <c r="H1666"/>
  <c r="J1666" s="1"/>
  <c r="L1666" s="1"/>
  <c r="N1666" s="1"/>
  <c r="P1666" s="1"/>
  <c r="R1666" s="1"/>
  <c r="T1666" s="1"/>
  <c r="F888"/>
  <c r="H889"/>
  <c r="J889" s="1"/>
  <c r="L889" s="1"/>
  <c r="N889" s="1"/>
  <c r="P889" s="1"/>
  <c r="R889" s="1"/>
  <c r="T889" s="1"/>
  <c r="F97"/>
  <c r="H98"/>
  <c r="J98" s="1"/>
  <c r="L98" s="1"/>
  <c r="N98" s="1"/>
  <c r="P98" s="1"/>
  <c r="R98" s="1"/>
  <c r="T98" s="1"/>
  <c r="F501"/>
  <c r="H502"/>
  <c r="J502" s="1"/>
  <c r="L502" s="1"/>
  <c r="N502" s="1"/>
  <c r="P502" s="1"/>
  <c r="R502" s="1"/>
  <c r="T502" s="1"/>
  <c r="F85"/>
  <c r="H86"/>
  <c r="J86" s="1"/>
  <c r="L86" s="1"/>
  <c r="N86" s="1"/>
  <c r="P86" s="1"/>
  <c r="R86" s="1"/>
  <c r="T86" s="1"/>
  <c r="F1218"/>
  <c r="H1218" s="1"/>
  <c r="J1218" s="1"/>
  <c r="L1218" s="1"/>
  <c r="N1218" s="1"/>
  <c r="P1218" s="1"/>
  <c r="R1218" s="1"/>
  <c r="T1218" s="1"/>
  <c r="H1219"/>
  <c r="J1219" s="1"/>
  <c r="L1219" s="1"/>
  <c r="N1219" s="1"/>
  <c r="P1219" s="1"/>
  <c r="R1219" s="1"/>
  <c r="T1219" s="1"/>
  <c r="F1042"/>
  <c r="H1043"/>
  <c r="J1043" s="1"/>
  <c r="L1043" s="1"/>
  <c r="N1043" s="1"/>
  <c r="P1043" s="1"/>
  <c r="R1043" s="1"/>
  <c r="T1043" s="1"/>
  <c r="F181"/>
  <c r="H182"/>
  <c r="J182" s="1"/>
  <c r="L182" s="1"/>
  <c r="N182" s="1"/>
  <c r="P182" s="1"/>
  <c r="R182" s="1"/>
  <c r="T182" s="1"/>
  <c r="F455"/>
  <c r="H456"/>
  <c r="J456" s="1"/>
  <c r="L456" s="1"/>
  <c r="N456" s="1"/>
  <c r="P456" s="1"/>
  <c r="R456" s="1"/>
  <c r="T456" s="1"/>
  <c r="F863"/>
  <c r="H864"/>
  <c r="J864" s="1"/>
  <c r="L864" s="1"/>
  <c r="N864" s="1"/>
  <c r="P864" s="1"/>
  <c r="R864" s="1"/>
  <c r="T864" s="1"/>
  <c r="H1232"/>
  <c r="J1232" s="1"/>
  <c r="L1232" s="1"/>
  <c r="N1232" s="1"/>
  <c r="P1232" s="1"/>
  <c r="R1232" s="1"/>
  <c r="T1232" s="1"/>
  <c r="F1229"/>
  <c r="F1749"/>
  <c r="H1750"/>
  <c r="J1750" s="1"/>
  <c r="L1750" s="1"/>
  <c r="N1750" s="1"/>
  <c r="P1750" s="1"/>
  <c r="R1750" s="1"/>
  <c r="T1750" s="1"/>
  <c r="F976"/>
  <c r="H977"/>
  <c r="J977" s="1"/>
  <c r="L977" s="1"/>
  <c r="N977" s="1"/>
  <c r="P977" s="1"/>
  <c r="R977" s="1"/>
  <c r="T977" s="1"/>
  <c r="F754"/>
  <c r="H755"/>
  <c r="J755" s="1"/>
  <c r="L755" s="1"/>
  <c r="N755" s="1"/>
  <c r="P755" s="1"/>
  <c r="R755" s="1"/>
  <c r="T755" s="1"/>
  <c r="F157"/>
  <c r="H157" s="1"/>
  <c r="J157" s="1"/>
  <c r="L157" s="1"/>
  <c r="N157" s="1"/>
  <c r="P157" s="1"/>
  <c r="R157" s="1"/>
  <c r="T157" s="1"/>
  <c r="H158"/>
  <c r="J158" s="1"/>
  <c r="L158" s="1"/>
  <c r="N158" s="1"/>
  <c r="P158" s="1"/>
  <c r="R158" s="1"/>
  <c r="T158" s="1"/>
  <c r="F431"/>
  <c r="H432"/>
  <c r="J432" s="1"/>
  <c r="L432" s="1"/>
  <c r="N432" s="1"/>
  <c r="P432" s="1"/>
  <c r="R432" s="1"/>
  <c r="T432" s="1"/>
  <c r="F463"/>
  <c r="H464"/>
  <c r="J464" s="1"/>
  <c r="L464" s="1"/>
  <c r="N464" s="1"/>
  <c r="P464" s="1"/>
  <c r="R464" s="1"/>
  <c r="T464" s="1"/>
  <c r="F1091"/>
  <c r="H1092"/>
  <c r="J1092" s="1"/>
  <c r="L1092" s="1"/>
  <c r="N1092" s="1"/>
  <c r="P1092" s="1"/>
  <c r="R1092" s="1"/>
  <c r="T1092" s="1"/>
  <c r="F1133"/>
  <c r="H1134"/>
  <c r="J1134" s="1"/>
  <c r="L1134" s="1"/>
  <c r="N1134" s="1"/>
  <c r="P1134" s="1"/>
  <c r="R1134" s="1"/>
  <c r="T1134" s="1"/>
  <c r="F1054"/>
  <c r="H1055"/>
  <c r="J1055" s="1"/>
  <c r="L1055" s="1"/>
  <c r="N1055" s="1"/>
  <c r="P1055" s="1"/>
  <c r="R1055" s="1"/>
  <c r="T1055" s="1"/>
  <c r="F468"/>
  <c r="H469"/>
  <c r="J469" s="1"/>
  <c r="L469" s="1"/>
  <c r="N469" s="1"/>
  <c r="P469" s="1"/>
  <c r="R469" s="1"/>
  <c r="T469" s="1"/>
  <c r="F476"/>
  <c r="H477"/>
  <c r="J477" s="1"/>
  <c r="L477" s="1"/>
  <c r="N477" s="1"/>
  <c r="P477" s="1"/>
  <c r="R477" s="1"/>
  <c r="T477" s="1"/>
  <c r="H1675"/>
  <c r="J1675" s="1"/>
  <c r="L1675" s="1"/>
  <c r="N1675" s="1"/>
  <c r="P1675" s="1"/>
  <c r="R1675" s="1"/>
  <c r="T1675" s="1"/>
  <c r="G1674"/>
  <c r="H895" i="5"/>
  <c r="I896"/>
  <c r="K896" s="1"/>
  <c r="M896" s="1"/>
  <c r="O896" s="1"/>
  <c r="Q896" s="1"/>
  <c r="S896" s="1"/>
  <c r="U896" s="1"/>
  <c r="G1803" i="6"/>
  <c r="H1804"/>
  <c r="J1804" s="1"/>
  <c r="L1804" s="1"/>
  <c r="N1804" s="1"/>
  <c r="P1804" s="1"/>
  <c r="R1804" s="1"/>
  <c r="T1804" s="1"/>
  <c r="H440" i="5"/>
  <c r="G1024" i="6"/>
  <c r="G581"/>
  <c r="H582"/>
  <c r="J582" s="1"/>
  <c r="L582" s="1"/>
  <c r="N582" s="1"/>
  <c r="P582" s="1"/>
  <c r="R582" s="1"/>
  <c r="T582" s="1"/>
  <c r="H1437"/>
  <c r="J1437" s="1"/>
  <c r="L1437" s="1"/>
  <c r="N1437" s="1"/>
  <c r="P1437" s="1"/>
  <c r="R1437" s="1"/>
  <c r="T1437" s="1"/>
  <c r="G1436"/>
  <c r="G1385"/>
  <c r="H1386"/>
  <c r="J1386" s="1"/>
  <c r="L1386" s="1"/>
  <c r="N1386" s="1"/>
  <c r="P1386" s="1"/>
  <c r="R1386" s="1"/>
  <c r="T1386" s="1"/>
  <c r="H1380"/>
  <c r="J1380" s="1"/>
  <c r="L1380" s="1"/>
  <c r="N1380" s="1"/>
  <c r="P1380" s="1"/>
  <c r="R1380" s="1"/>
  <c r="T1380" s="1"/>
  <c r="G1374"/>
  <c r="H126" i="5"/>
  <c r="I126" s="1"/>
  <c r="K126" s="1"/>
  <c r="M126" s="1"/>
  <c r="O126" s="1"/>
  <c r="Q126" s="1"/>
  <c r="S126" s="1"/>
  <c r="U126" s="1"/>
  <c r="I127"/>
  <c r="K127" s="1"/>
  <c r="M127" s="1"/>
  <c r="O127" s="1"/>
  <c r="Q127" s="1"/>
  <c r="S127" s="1"/>
  <c r="U127" s="1"/>
  <c r="I235"/>
  <c r="K235" s="1"/>
  <c r="M235" s="1"/>
  <c r="O235" s="1"/>
  <c r="Q235" s="1"/>
  <c r="S235" s="1"/>
  <c r="U235" s="1"/>
  <c r="H234"/>
  <c r="G1441" i="6"/>
  <c r="H1442"/>
  <c r="J1442" s="1"/>
  <c r="L1442" s="1"/>
  <c r="N1442" s="1"/>
  <c r="P1442" s="1"/>
  <c r="R1442" s="1"/>
  <c r="T1442" s="1"/>
  <c r="G1405"/>
  <c r="H1406"/>
  <c r="J1406" s="1"/>
  <c r="L1406" s="1"/>
  <c r="N1406" s="1"/>
  <c r="P1406" s="1"/>
  <c r="R1406" s="1"/>
  <c r="T1406" s="1"/>
  <c r="G728"/>
  <c r="H729"/>
  <c r="J729" s="1"/>
  <c r="L729" s="1"/>
  <c r="N729" s="1"/>
  <c r="P729" s="1"/>
  <c r="R729" s="1"/>
  <c r="T729" s="1"/>
  <c r="G1260"/>
  <c r="H1261"/>
  <c r="J1261" s="1"/>
  <c r="L1261" s="1"/>
  <c r="N1261" s="1"/>
  <c r="P1261" s="1"/>
  <c r="R1261" s="1"/>
  <c r="T1261" s="1"/>
  <c r="G742"/>
  <c r="H743"/>
  <c r="J743" s="1"/>
  <c r="L743" s="1"/>
  <c r="N743" s="1"/>
  <c r="P743" s="1"/>
  <c r="R743" s="1"/>
  <c r="T743" s="1"/>
  <c r="I209" i="5"/>
  <c r="K209" s="1"/>
  <c r="M209" s="1"/>
  <c r="O209" s="1"/>
  <c r="Q209" s="1"/>
  <c r="S209" s="1"/>
  <c r="U209" s="1"/>
  <c r="H192"/>
  <c r="I192" s="1"/>
  <c r="K192" s="1"/>
  <c r="M192" s="1"/>
  <c r="O192" s="1"/>
  <c r="Q192" s="1"/>
  <c r="S192" s="1"/>
  <c r="U192" s="1"/>
  <c r="G700" i="6"/>
  <c r="H701"/>
  <c r="J701" s="1"/>
  <c r="L701" s="1"/>
  <c r="N701" s="1"/>
  <c r="P701" s="1"/>
  <c r="R701" s="1"/>
  <c r="T701" s="1"/>
  <c r="G1473"/>
  <c r="H1473" s="1"/>
  <c r="J1473" s="1"/>
  <c r="L1473" s="1"/>
  <c r="N1473" s="1"/>
  <c r="P1473" s="1"/>
  <c r="R1473" s="1"/>
  <c r="T1473" s="1"/>
  <c r="H1474"/>
  <c r="J1474" s="1"/>
  <c r="L1474" s="1"/>
  <c r="N1474" s="1"/>
  <c r="P1474" s="1"/>
  <c r="R1474" s="1"/>
  <c r="T1474" s="1"/>
  <c r="G519"/>
  <c r="G1399"/>
  <c r="H1400"/>
  <c r="J1400" s="1"/>
  <c r="L1400" s="1"/>
  <c r="N1400" s="1"/>
  <c r="P1400" s="1"/>
  <c r="R1400" s="1"/>
  <c r="T1400" s="1"/>
  <c r="H256" i="5"/>
  <c r="I256" s="1"/>
  <c r="K256" s="1"/>
  <c r="M256" s="1"/>
  <c r="O256" s="1"/>
  <c r="Q256" s="1"/>
  <c r="S256" s="1"/>
  <c r="U256" s="1"/>
  <c r="I187"/>
  <c r="K187" s="1"/>
  <c r="M187" s="1"/>
  <c r="O187" s="1"/>
  <c r="Q187" s="1"/>
  <c r="S187" s="1"/>
  <c r="U187" s="1"/>
  <c r="I223"/>
  <c r="K223" s="1"/>
  <c r="M223" s="1"/>
  <c r="O223" s="1"/>
  <c r="Q223" s="1"/>
  <c r="S223" s="1"/>
  <c r="U223" s="1"/>
  <c r="H222"/>
  <c r="I222" s="1"/>
  <c r="K222" s="1"/>
  <c r="M222" s="1"/>
  <c r="O222" s="1"/>
  <c r="Q222" s="1"/>
  <c r="S222" s="1"/>
  <c r="U222" s="1"/>
  <c r="H1341" i="6"/>
  <c r="J1341" s="1"/>
  <c r="L1341" s="1"/>
  <c r="N1341" s="1"/>
  <c r="P1341" s="1"/>
  <c r="R1341" s="1"/>
  <c r="T1341" s="1"/>
  <c r="G1340"/>
  <c r="G1624"/>
  <c r="H1625"/>
  <c r="J1625" s="1"/>
  <c r="L1625" s="1"/>
  <c r="N1625" s="1"/>
  <c r="P1625" s="1"/>
  <c r="R1625" s="1"/>
  <c r="T1625" s="1"/>
  <c r="H115" i="5"/>
  <c r="I116"/>
  <c r="K116" s="1"/>
  <c r="M116" s="1"/>
  <c r="O116" s="1"/>
  <c r="Q116" s="1"/>
  <c r="S116" s="1"/>
  <c r="U116" s="1"/>
  <c r="H166"/>
  <c r="I167"/>
  <c r="K167" s="1"/>
  <c r="M167" s="1"/>
  <c r="O167" s="1"/>
  <c r="Q167" s="1"/>
  <c r="S167" s="1"/>
  <c r="U167" s="1"/>
  <c r="H305"/>
  <c r="I306"/>
  <c r="K306" s="1"/>
  <c r="M306" s="1"/>
  <c r="O306" s="1"/>
  <c r="Q306" s="1"/>
  <c r="S306" s="1"/>
  <c r="U306" s="1"/>
  <c r="H277"/>
  <c r="H1485" i="6"/>
  <c r="J1485" s="1"/>
  <c r="L1485" s="1"/>
  <c r="N1485" s="1"/>
  <c r="P1485" s="1"/>
  <c r="R1485" s="1"/>
  <c r="T1485" s="1"/>
  <c r="G1479"/>
  <c r="G531"/>
  <c r="H531" s="1"/>
  <c r="J531" s="1"/>
  <c r="L531" s="1"/>
  <c r="N531" s="1"/>
  <c r="P531" s="1"/>
  <c r="R531" s="1"/>
  <c r="T531" s="1"/>
  <c r="H532"/>
  <c r="J532" s="1"/>
  <c r="L532" s="1"/>
  <c r="N532" s="1"/>
  <c r="P532" s="1"/>
  <c r="R532" s="1"/>
  <c r="T532" s="1"/>
  <c r="G1327"/>
  <c r="H1328"/>
  <c r="J1328" s="1"/>
  <c r="L1328" s="1"/>
  <c r="N1328" s="1"/>
  <c r="P1328" s="1"/>
  <c r="R1328" s="1"/>
  <c r="T1328" s="1"/>
  <c r="G598"/>
  <c r="H599"/>
  <c r="J599" s="1"/>
  <c r="L599" s="1"/>
  <c r="N599" s="1"/>
  <c r="P599" s="1"/>
  <c r="R599" s="1"/>
  <c r="T599" s="1"/>
  <c r="G568"/>
  <c r="H568" s="1"/>
  <c r="J568" s="1"/>
  <c r="L568" s="1"/>
  <c r="N568" s="1"/>
  <c r="P568" s="1"/>
  <c r="R568" s="1"/>
  <c r="T568" s="1"/>
  <c r="H569"/>
  <c r="J569" s="1"/>
  <c r="L569" s="1"/>
  <c r="N569" s="1"/>
  <c r="P569" s="1"/>
  <c r="R569" s="1"/>
  <c r="T569" s="1"/>
  <c r="H644"/>
  <c r="J644" s="1"/>
  <c r="L644" s="1"/>
  <c r="N644" s="1"/>
  <c r="P644" s="1"/>
  <c r="R644" s="1"/>
  <c r="T644" s="1"/>
  <c r="G643"/>
  <c r="G1349"/>
  <c r="H1349" s="1"/>
  <c r="J1349" s="1"/>
  <c r="L1349" s="1"/>
  <c r="N1349" s="1"/>
  <c r="P1349" s="1"/>
  <c r="R1349" s="1"/>
  <c r="T1349" s="1"/>
  <c r="H1350"/>
  <c r="J1350" s="1"/>
  <c r="L1350" s="1"/>
  <c r="N1350" s="1"/>
  <c r="P1350" s="1"/>
  <c r="R1350" s="1"/>
  <c r="T1350" s="1"/>
  <c r="G623"/>
  <c r="H624"/>
  <c r="J624" s="1"/>
  <c r="L624" s="1"/>
  <c r="N624" s="1"/>
  <c r="P624" s="1"/>
  <c r="R624" s="1"/>
  <c r="T624" s="1"/>
  <c r="I268" i="5"/>
  <c r="K268" s="1"/>
  <c r="M268" s="1"/>
  <c r="O268" s="1"/>
  <c r="Q268" s="1"/>
  <c r="S268" s="1"/>
  <c r="U268" s="1"/>
  <c r="H267"/>
  <c r="I267" s="1"/>
  <c r="K267" s="1"/>
  <c r="M267" s="1"/>
  <c r="O267" s="1"/>
  <c r="Q267" s="1"/>
  <c r="S267" s="1"/>
  <c r="U267" s="1"/>
  <c r="G603" i="6"/>
  <c r="H604"/>
  <c r="J604" s="1"/>
  <c r="L604" s="1"/>
  <c r="N604" s="1"/>
  <c r="P604" s="1"/>
  <c r="R604" s="1"/>
  <c r="T604" s="1"/>
  <c r="I177" i="5"/>
  <c r="K177" s="1"/>
  <c r="M177" s="1"/>
  <c r="O177" s="1"/>
  <c r="Q177" s="1"/>
  <c r="S177" s="1"/>
  <c r="U177" s="1"/>
  <c r="H158"/>
  <c r="I158" s="1"/>
  <c r="K158" s="1"/>
  <c r="M158" s="1"/>
  <c r="O158" s="1"/>
  <c r="Q158" s="1"/>
  <c r="S158" s="1"/>
  <c r="U158" s="1"/>
  <c r="I159"/>
  <c r="K159" s="1"/>
  <c r="M159" s="1"/>
  <c r="O159" s="1"/>
  <c r="Q159" s="1"/>
  <c r="S159" s="1"/>
  <c r="U159" s="1"/>
  <c r="G1468" i="6"/>
  <c r="H1469"/>
  <c r="J1469" s="1"/>
  <c r="L1469" s="1"/>
  <c r="N1469" s="1"/>
  <c r="P1469" s="1"/>
  <c r="R1469" s="1"/>
  <c r="T1469" s="1"/>
  <c r="H131" i="5"/>
  <c r="I131" s="1"/>
  <c r="K131" s="1"/>
  <c r="M131" s="1"/>
  <c r="O131" s="1"/>
  <c r="Q131" s="1"/>
  <c r="S131" s="1"/>
  <c r="U131" s="1"/>
  <c r="I132"/>
  <c r="K132" s="1"/>
  <c r="M132" s="1"/>
  <c r="O132" s="1"/>
  <c r="Q132" s="1"/>
  <c r="S132" s="1"/>
  <c r="U132" s="1"/>
  <c r="I73"/>
  <c r="K73" s="1"/>
  <c r="M73" s="1"/>
  <c r="O73" s="1"/>
  <c r="Q73" s="1"/>
  <c r="S73" s="1"/>
  <c r="U73" s="1"/>
  <c r="G1740" i="6"/>
  <c r="H30" i="5"/>
  <c r="H24"/>
  <c r="I25"/>
  <c r="K25" s="1"/>
  <c r="M25" s="1"/>
  <c r="O25" s="1"/>
  <c r="Q25" s="1"/>
  <c r="S25" s="1"/>
  <c r="U25" s="1"/>
  <c r="H1581"/>
  <c r="I1582"/>
  <c r="K1582" s="1"/>
  <c r="M1582" s="1"/>
  <c r="O1582" s="1"/>
  <c r="Q1582" s="1"/>
  <c r="S1582" s="1"/>
  <c r="U1582" s="1"/>
  <c r="D33" i="1"/>
  <c r="G233" i="5"/>
  <c r="F188" i="6" l="1"/>
  <c r="F187" s="1"/>
  <c r="H187" s="1"/>
  <c r="J187" s="1"/>
  <c r="L187" s="1"/>
  <c r="N187" s="1"/>
  <c r="P187" s="1"/>
  <c r="R187" s="1"/>
  <c r="T187" s="1"/>
  <c r="F1807"/>
  <c r="H1807" s="1"/>
  <c r="J1807" s="1"/>
  <c r="L1807" s="1"/>
  <c r="N1807" s="1"/>
  <c r="P1807" s="1"/>
  <c r="R1807" s="1"/>
  <c r="T1807" s="1"/>
  <c r="H389"/>
  <c r="J389" s="1"/>
  <c r="L389" s="1"/>
  <c r="N389" s="1"/>
  <c r="P389" s="1"/>
  <c r="R389" s="1"/>
  <c r="T389" s="1"/>
  <c r="H1287"/>
  <c r="J1287" s="1"/>
  <c r="L1287" s="1"/>
  <c r="N1287" s="1"/>
  <c r="P1287" s="1"/>
  <c r="R1287" s="1"/>
  <c r="T1287" s="1"/>
  <c r="G175" i="5"/>
  <c r="H491" i="6"/>
  <c r="J491" s="1"/>
  <c r="L491" s="1"/>
  <c r="N491" s="1"/>
  <c r="P491" s="1"/>
  <c r="R491" s="1"/>
  <c r="T491" s="1"/>
  <c r="J892" i="5"/>
  <c r="F990" i="6"/>
  <c r="F989" s="1"/>
  <c r="I759"/>
  <c r="J112"/>
  <c r="L112" s="1"/>
  <c r="N112" s="1"/>
  <c r="P112" s="1"/>
  <c r="R112" s="1"/>
  <c r="T112" s="1"/>
  <c r="I75"/>
  <c r="G72" i="5"/>
  <c r="G708"/>
  <c r="H585"/>
  <c r="H572" s="1"/>
  <c r="I708"/>
  <c r="K708" s="1"/>
  <c r="M708" s="1"/>
  <c r="O708" s="1"/>
  <c r="Q708" s="1"/>
  <c r="S708" s="1"/>
  <c r="U708" s="1"/>
  <c r="I441"/>
  <c r="K441" s="1"/>
  <c r="M441" s="1"/>
  <c r="O441" s="1"/>
  <c r="Q441" s="1"/>
  <c r="S441" s="1"/>
  <c r="U441" s="1"/>
  <c r="G67" i="1"/>
  <c r="I1512" i="6"/>
  <c r="G1417"/>
  <c r="H1417" s="1"/>
  <c r="J1417" s="1"/>
  <c r="L1417" s="1"/>
  <c r="N1417" s="1"/>
  <c r="P1417" s="1"/>
  <c r="R1417" s="1"/>
  <c r="T1417" s="1"/>
  <c r="G430" i="5"/>
  <c r="G1231"/>
  <c r="I1232"/>
  <c r="K1232" s="1"/>
  <c r="M1232" s="1"/>
  <c r="O1232" s="1"/>
  <c r="Q1232" s="1"/>
  <c r="S1232" s="1"/>
  <c r="U1232" s="1"/>
  <c r="G341"/>
  <c r="I346"/>
  <c r="K346" s="1"/>
  <c r="M346" s="1"/>
  <c r="O346" s="1"/>
  <c r="Q346" s="1"/>
  <c r="S346" s="1"/>
  <c r="U346" s="1"/>
  <c r="G1516"/>
  <c r="I1516" s="1"/>
  <c r="K1516" s="1"/>
  <c r="M1516" s="1"/>
  <c r="O1516" s="1"/>
  <c r="Q1516" s="1"/>
  <c r="S1516" s="1"/>
  <c r="U1516" s="1"/>
  <c r="I1517"/>
  <c r="K1517" s="1"/>
  <c r="M1517" s="1"/>
  <c r="O1517" s="1"/>
  <c r="Q1517" s="1"/>
  <c r="S1517" s="1"/>
  <c r="U1517" s="1"/>
  <c r="G32"/>
  <c r="I33"/>
  <c r="K33" s="1"/>
  <c r="M33" s="1"/>
  <c r="O33" s="1"/>
  <c r="Q33" s="1"/>
  <c r="S33" s="1"/>
  <c r="U33" s="1"/>
  <c r="G1686"/>
  <c r="I1687"/>
  <c r="K1687" s="1"/>
  <c r="M1687" s="1"/>
  <c r="O1687" s="1"/>
  <c r="Q1687" s="1"/>
  <c r="S1687" s="1"/>
  <c r="U1687" s="1"/>
  <c r="G500"/>
  <c r="I501"/>
  <c r="K501" s="1"/>
  <c r="M501" s="1"/>
  <c r="O501" s="1"/>
  <c r="Q501" s="1"/>
  <c r="S501" s="1"/>
  <c r="U501" s="1"/>
  <c r="G1505"/>
  <c r="I1506"/>
  <c r="K1506" s="1"/>
  <c r="M1506" s="1"/>
  <c r="O1506" s="1"/>
  <c r="Q1506" s="1"/>
  <c r="S1506" s="1"/>
  <c r="U1506" s="1"/>
  <c r="G1621"/>
  <c r="I1622"/>
  <c r="K1622" s="1"/>
  <c r="M1622" s="1"/>
  <c r="O1622" s="1"/>
  <c r="Q1622" s="1"/>
  <c r="S1622" s="1"/>
  <c r="U1622" s="1"/>
  <c r="G956"/>
  <c r="I957"/>
  <c r="K957" s="1"/>
  <c r="M957" s="1"/>
  <c r="O957" s="1"/>
  <c r="Q957" s="1"/>
  <c r="S957" s="1"/>
  <c r="U957" s="1"/>
  <c r="G1716"/>
  <c r="I1717"/>
  <c r="K1717" s="1"/>
  <c r="M1717" s="1"/>
  <c r="O1717" s="1"/>
  <c r="Q1717" s="1"/>
  <c r="S1717" s="1"/>
  <c r="U1717" s="1"/>
  <c r="G560"/>
  <c r="I561"/>
  <c r="K561" s="1"/>
  <c r="M561" s="1"/>
  <c r="O561" s="1"/>
  <c r="Q561" s="1"/>
  <c r="S561" s="1"/>
  <c r="U561" s="1"/>
  <c r="G920"/>
  <c r="I921"/>
  <c r="K921" s="1"/>
  <c r="M921" s="1"/>
  <c r="O921" s="1"/>
  <c r="Q921" s="1"/>
  <c r="S921" s="1"/>
  <c r="U921" s="1"/>
  <c r="G692"/>
  <c r="I697"/>
  <c r="K697" s="1"/>
  <c r="M697" s="1"/>
  <c r="O697" s="1"/>
  <c r="Q697" s="1"/>
  <c r="S697" s="1"/>
  <c r="U697" s="1"/>
  <c r="G471"/>
  <c r="I471" s="1"/>
  <c r="K471" s="1"/>
  <c r="M471" s="1"/>
  <c r="O471" s="1"/>
  <c r="Q471" s="1"/>
  <c r="S471" s="1"/>
  <c r="U471" s="1"/>
  <c r="I472"/>
  <c r="K472" s="1"/>
  <c r="M472" s="1"/>
  <c r="O472" s="1"/>
  <c r="Q472" s="1"/>
  <c r="S472" s="1"/>
  <c r="U472" s="1"/>
  <c r="G1280"/>
  <c r="I1281"/>
  <c r="K1281" s="1"/>
  <c r="M1281" s="1"/>
  <c r="O1281" s="1"/>
  <c r="Q1281" s="1"/>
  <c r="S1281" s="1"/>
  <c r="U1281" s="1"/>
  <c r="I314"/>
  <c r="K314" s="1"/>
  <c r="M314" s="1"/>
  <c r="O314" s="1"/>
  <c r="Q314" s="1"/>
  <c r="S314" s="1"/>
  <c r="U314" s="1"/>
  <c r="G304"/>
  <c r="G941"/>
  <c r="I941" s="1"/>
  <c r="K941" s="1"/>
  <c r="M941" s="1"/>
  <c r="O941" s="1"/>
  <c r="Q941" s="1"/>
  <c r="S941" s="1"/>
  <c r="U941" s="1"/>
  <c r="I942"/>
  <c r="K942" s="1"/>
  <c r="M942" s="1"/>
  <c r="O942" s="1"/>
  <c r="Q942" s="1"/>
  <c r="S942" s="1"/>
  <c r="U942" s="1"/>
  <c r="G902"/>
  <c r="I903"/>
  <c r="K903" s="1"/>
  <c r="M903" s="1"/>
  <c r="O903" s="1"/>
  <c r="Q903" s="1"/>
  <c r="S903" s="1"/>
  <c r="U903" s="1"/>
  <c r="G1179"/>
  <c r="I1180"/>
  <c r="K1180" s="1"/>
  <c r="M1180" s="1"/>
  <c r="O1180" s="1"/>
  <c r="Q1180" s="1"/>
  <c r="S1180" s="1"/>
  <c r="U1180" s="1"/>
  <c r="I527"/>
  <c r="K527" s="1"/>
  <c r="M527" s="1"/>
  <c r="O527" s="1"/>
  <c r="Q527" s="1"/>
  <c r="S527" s="1"/>
  <c r="U527" s="1"/>
  <c r="G526"/>
  <c r="I526" s="1"/>
  <c r="K526" s="1"/>
  <c r="M526" s="1"/>
  <c r="O526" s="1"/>
  <c r="Q526" s="1"/>
  <c r="S526" s="1"/>
  <c r="U526" s="1"/>
  <c r="G395"/>
  <c r="I396"/>
  <c r="K396" s="1"/>
  <c r="M396" s="1"/>
  <c r="O396" s="1"/>
  <c r="Q396" s="1"/>
  <c r="S396" s="1"/>
  <c r="U396" s="1"/>
  <c r="G479"/>
  <c r="I480"/>
  <c r="K480" s="1"/>
  <c r="M480" s="1"/>
  <c r="O480" s="1"/>
  <c r="Q480" s="1"/>
  <c r="S480" s="1"/>
  <c r="U480" s="1"/>
  <c r="G1209"/>
  <c r="I1217"/>
  <c r="K1217" s="1"/>
  <c r="M1217" s="1"/>
  <c r="O1217" s="1"/>
  <c r="Q1217" s="1"/>
  <c r="S1217" s="1"/>
  <c r="U1217" s="1"/>
  <c r="G534"/>
  <c r="I535"/>
  <c r="K535" s="1"/>
  <c r="M535" s="1"/>
  <c r="O535" s="1"/>
  <c r="Q535" s="1"/>
  <c r="S535" s="1"/>
  <c r="U535" s="1"/>
  <c r="G863"/>
  <c r="I864"/>
  <c r="K864" s="1"/>
  <c r="M864" s="1"/>
  <c r="O864" s="1"/>
  <c r="Q864" s="1"/>
  <c r="S864" s="1"/>
  <c r="U864" s="1"/>
  <c r="I588"/>
  <c r="K588" s="1"/>
  <c r="M588" s="1"/>
  <c r="O588" s="1"/>
  <c r="Q588" s="1"/>
  <c r="S588" s="1"/>
  <c r="U588" s="1"/>
  <c r="D61" i="1"/>
  <c r="F61" s="1"/>
  <c r="H61" s="1"/>
  <c r="J61" s="1"/>
  <c r="L61" s="1"/>
  <c r="N61" s="1"/>
  <c r="P61" s="1"/>
  <c r="R61" s="1"/>
  <c r="I1262" i="5"/>
  <c r="K1262" s="1"/>
  <c r="M1262" s="1"/>
  <c r="O1262" s="1"/>
  <c r="Q1262" s="1"/>
  <c r="S1262" s="1"/>
  <c r="U1262" s="1"/>
  <c r="G968"/>
  <c r="I981"/>
  <c r="K981" s="1"/>
  <c r="M981" s="1"/>
  <c r="O981" s="1"/>
  <c r="Q981" s="1"/>
  <c r="S981" s="1"/>
  <c r="U981" s="1"/>
  <c r="G1641"/>
  <c r="I1642"/>
  <c r="K1642" s="1"/>
  <c r="M1642" s="1"/>
  <c r="O1642" s="1"/>
  <c r="Q1642" s="1"/>
  <c r="S1642" s="1"/>
  <c r="U1642" s="1"/>
  <c r="G485"/>
  <c r="I485" s="1"/>
  <c r="K485" s="1"/>
  <c r="M485" s="1"/>
  <c r="O485" s="1"/>
  <c r="Q485" s="1"/>
  <c r="S485" s="1"/>
  <c r="U485" s="1"/>
  <c r="I486"/>
  <c r="K486" s="1"/>
  <c r="M486" s="1"/>
  <c r="O486" s="1"/>
  <c r="Q486" s="1"/>
  <c r="S486" s="1"/>
  <c r="U486" s="1"/>
  <c r="G513"/>
  <c r="I514"/>
  <c r="K514" s="1"/>
  <c r="M514" s="1"/>
  <c r="O514" s="1"/>
  <c r="Q514" s="1"/>
  <c r="S514" s="1"/>
  <c r="U514" s="1"/>
  <c r="G826"/>
  <c r="I827"/>
  <c r="K827" s="1"/>
  <c r="M827" s="1"/>
  <c r="O827" s="1"/>
  <c r="Q827" s="1"/>
  <c r="S827" s="1"/>
  <c r="U827" s="1"/>
  <c r="G793"/>
  <c r="I793" s="1"/>
  <c r="K793" s="1"/>
  <c r="M793" s="1"/>
  <c r="O793" s="1"/>
  <c r="Q793" s="1"/>
  <c r="S793" s="1"/>
  <c r="U793" s="1"/>
  <c r="I794"/>
  <c r="K794" s="1"/>
  <c r="M794" s="1"/>
  <c r="O794" s="1"/>
  <c r="Q794" s="1"/>
  <c r="S794" s="1"/>
  <c r="U794" s="1"/>
  <c r="I840"/>
  <c r="K840" s="1"/>
  <c r="M840" s="1"/>
  <c r="O840" s="1"/>
  <c r="Q840" s="1"/>
  <c r="S840" s="1"/>
  <c r="U840" s="1"/>
  <c r="G845"/>
  <c r="I845" s="1"/>
  <c r="K845" s="1"/>
  <c r="M845" s="1"/>
  <c r="O845" s="1"/>
  <c r="Q845" s="1"/>
  <c r="S845" s="1"/>
  <c r="U845" s="1"/>
  <c r="I846"/>
  <c r="K846" s="1"/>
  <c r="M846" s="1"/>
  <c r="O846" s="1"/>
  <c r="Q846" s="1"/>
  <c r="S846" s="1"/>
  <c r="U846" s="1"/>
  <c r="G417"/>
  <c r="I418"/>
  <c r="K418" s="1"/>
  <c r="M418" s="1"/>
  <c r="O418" s="1"/>
  <c r="Q418" s="1"/>
  <c r="S418" s="1"/>
  <c r="U418" s="1"/>
  <c r="I462"/>
  <c r="K462" s="1"/>
  <c r="M462" s="1"/>
  <c r="O462" s="1"/>
  <c r="Q462" s="1"/>
  <c r="S462" s="1"/>
  <c r="U462" s="1"/>
  <c r="I1061"/>
  <c r="K1061" s="1"/>
  <c r="M1061" s="1"/>
  <c r="O1061" s="1"/>
  <c r="Q1061" s="1"/>
  <c r="S1061" s="1"/>
  <c r="U1061" s="1"/>
  <c r="G1060"/>
  <c r="G607"/>
  <c r="I607" s="1"/>
  <c r="K607" s="1"/>
  <c r="M607" s="1"/>
  <c r="O607" s="1"/>
  <c r="Q607" s="1"/>
  <c r="S607" s="1"/>
  <c r="U607" s="1"/>
  <c r="I608"/>
  <c r="K608" s="1"/>
  <c r="M608" s="1"/>
  <c r="O608" s="1"/>
  <c r="Q608" s="1"/>
  <c r="S608" s="1"/>
  <c r="U608" s="1"/>
  <c r="G780"/>
  <c r="I780" s="1"/>
  <c r="K780" s="1"/>
  <c r="M780" s="1"/>
  <c r="O780" s="1"/>
  <c r="Q780" s="1"/>
  <c r="S780" s="1"/>
  <c r="U780" s="1"/>
  <c r="I781"/>
  <c r="K781" s="1"/>
  <c r="M781" s="1"/>
  <c r="O781" s="1"/>
  <c r="Q781" s="1"/>
  <c r="S781" s="1"/>
  <c r="U781" s="1"/>
  <c r="G1445"/>
  <c r="I1446"/>
  <c r="K1446" s="1"/>
  <c r="M1446" s="1"/>
  <c r="O1446" s="1"/>
  <c r="Q1446" s="1"/>
  <c r="S1446" s="1"/>
  <c r="U1446" s="1"/>
  <c r="G910"/>
  <c r="I911"/>
  <c r="K911" s="1"/>
  <c r="M911" s="1"/>
  <c r="O911" s="1"/>
  <c r="Q911" s="1"/>
  <c r="S911" s="1"/>
  <c r="U911" s="1"/>
  <c r="I667"/>
  <c r="K667" s="1"/>
  <c r="M667" s="1"/>
  <c r="O667" s="1"/>
  <c r="Q667" s="1"/>
  <c r="S667" s="1"/>
  <c r="U667" s="1"/>
  <c r="G666"/>
  <c r="I666" s="1"/>
  <c r="K666" s="1"/>
  <c r="M666" s="1"/>
  <c r="O666" s="1"/>
  <c r="Q666" s="1"/>
  <c r="S666" s="1"/>
  <c r="U666" s="1"/>
  <c r="G1614"/>
  <c r="I1615"/>
  <c r="K1615" s="1"/>
  <c r="M1615" s="1"/>
  <c r="O1615" s="1"/>
  <c r="Q1615" s="1"/>
  <c r="S1615" s="1"/>
  <c r="U1615" s="1"/>
  <c r="G541"/>
  <c r="I542"/>
  <c r="K542" s="1"/>
  <c r="M542" s="1"/>
  <c r="O542" s="1"/>
  <c r="Q542" s="1"/>
  <c r="S542" s="1"/>
  <c r="U542" s="1"/>
  <c r="G1337"/>
  <c r="I1354"/>
  <c r="K1354" s="1"/>
  <c r="M1354" s="1"/>
  <c r="O1354" s="1"/>
  <c r="Q1354" s="1"/>
  <c r="S1354" s="1"/>
  <c r="U1354" s="1"/>
  <c r="G1485"/>
  <c r="I1495"/>
  <c r="K1495" s="1"/>
  <c r="M1495" s="1"/>
  <c r="O1495" s="1"/>
  <c r="Q1495" s="1"/>
  <c r="G1731"/>
  <c r="I1732"/>
  <c r="K1732" s="1"/>
  <c r="M1732" s="1"/>
  <c r="O1732" s="1"/>
  <c r="Q1732" s="1"/>
  <c r="S1732" s="1"/>
  <c r="U1732" s="1"/>
  <c r="G1318"/>
  <c r="I1319"/>
  <c r="K1319" s="1"/>
  <c r="M1319" s="1"/>
  <c r="O1319" s="1"/>
  <c r="Q1319" s="1"/>
  <c r="S1319" s="1"/>
  <c r="U1319" s="1"/>
  <c r="G334"/>
  <c r="I335"/>
  <c r="K335" s="1"/>
  <c r="M335" s="1"/>
  <c r="O335" s="1"/>
  <c r="Q335" s="1"/>
  <c r="S335" s="1"/>
  <c r="U335" s="1"/>
  <c r="G1298"/>
  <c r="G1143"/>
  <c r="I1143" s="1"/>
  <c r="K1143" s="1"/>
  <c r="M1143" s="1"/>
  <c r="O1143" s="1"/>
  <c r="Q1143" s="1"/>
  <c r="S1143" s="1"/>
  <c r="U1143" s="1"/>
  <c r="I1144"/>
  <c r="K1144" s="1"/>
  <c r="M1144" s="1"/>
  <c r="O1144" s="1"/>
  <c r="Q1144" s="1"/>
  <c r="S1144" s="1"/>
  <c r="U1144" s="1"/>
  <c r="G1627"/>
  <c r="I1627" s="1"/>
  <c r="K1627" s="1"/>
  <c r="M1627" s="1"/>
  <c r="O1627" s="1"/>
  <c r="Q1627" s="1"/>
  <c r="S1627" s="1"/>
  <c r="U1627" s="1"/>
  <c r="I1628"/>
  <c r="K1628" s="1"/>
  <c r="M1628" s="1"/>
  <c r="O1628" s="1"/>
  <c r="Q1628" s="1"/>
  <c r="S1628" s="1"/>
  <c r="U1628" s="1"/>
  <c r="D23" i="1"/>
  <c r="F23" s="1"/>
  <c r="H23" s="1"/>
  <c r="J23" s="1"/>
  <c r="L23" s="1"/>
  <c r="N23" s="1"/>
  <c r="P23" s="1"/>
  <c r="R23" s="1"/>
  <c r="I1274" i="5"/>
  <c r="K1274" s="1"/>
  <c r="M1274" s="1"/>
  <c r="O1274" s="1"/>
  <c r="Q1274" s="1"/>
  <c r="S1274" s="1"/>
  <c r="U1274" s="1"/>
  <c r="G1546"/>
  <c r="I1552"/>
  <c r="K1552" s="1"/>
  <c r="M1552" s="1"/>
  <c r="O1552" s="1"/>
  <c r="Q1552" s="1"/>
  <c r="S1552" s="1"/>
  <c r="U1552" s="1"/>
  <c r="G1603"/>
  <c r="I1604"/>
  <c r="K1604" s="1"/>
  <c r="M1604" s="1"/>
  <c r="O1604" s="1"/>
  <c r="Q1604" s="1"/>
  <c r="S1604" s="1"/>
  <c r="U1604" s="1"/>
  <c r="G886"/>
  <c r="I887"/>
  <c r="K887" s="1"/>
  <c r="M887" s="1"/>
  <c r="O887" s="1"/>
  <c r="Q887" s="1"/>
  <c r="S887" s="1"/>
  <c r="U887" s="1"/>
  <c r="G800"/>
  <c r="I801"/>
  <c r="K801" s="1"/>
  <c r="M801" s="1"/>
  <c r="O801" s="1"/>
  <c r="Q801" s="1"/>
  <c r="S801" s="1"/>
  <c r="U801" s="1"/>
  <c r="G370"/>
  <c r="I377"/>
  <c r="K377" s="1"/>
  <c r="M377" s="1"/>
  <c r="O377" s="1"/>
  <c r="Q377" s="1"/>
  <c r="S377" s="1"/>
  <c r="U377" s="1"/>
  <c r="H1196"/>
  <c r="I1197"/>
  <c r="K1197" s="1"/>
  <c r="M1197" s="1"/>
  <c r="O1197" s="1"/>
  <c r="Q1197" s="1"/>
  <c r="S1197" s="1"/>
  <c r="U1197" s="1"/>
  <c r="H1025" i="6"/>
  <c r="J1025" s="1"/>
  <c r="L1025" s="1"/>
  <c r="N1025" s="1"/>
  <c r="P1025" s="1"/>
  <c r="R1025" s="1"/>
  <c r="T1025" s="1"/>
  <c r="F1090"/>
  <c r="H1091"/>
  <c r="J1091" s="1"/>
  <c r="L1091" s="1"/>
  <c r="N1091" s="1"/>
  <c r="P1091" s="1"/>
  <c r="R1091" s="1"/>
  <c r="T1091" s="1"/>
  <c r="F1571"/>
  <c r="H1571" s="1"/>
  <c r="J1571" s="1"/>
  <c r="L1571" s="1"/>
  <c r="N1571" s="1"/>
  <c r="P1571" s="1"/>
  <c r="R1571" s="1"/>
  <c r="T1571" s="1"/>
  <c r="H1572"/>
  <c r="J1572" s="1"/>
  <c r="L1572" s="1"/>
  <c r="N1572" s="1"/>
  <c r="P1572" s="1"/>
  <c r="R1572" s="1"/>
  <c r="T1572" s="1"/>
  <c r="F1719"/>
  <c r="H1720"/>
  <c r="J1720" s="1"/>
  <c r="L1720" s="1"/>
  <c r="N1720" s="1"/>
  <c r="P1720" s="1"/>
  <c r="R1720" s="1"/>
  <c r="T1720" s="1"/>
  <c r="F467"/>
  <c r="H467" s="1"/>
  <c r="J467" s="1"/>
  <c r="L467" s="1"/>
  <c r="N467" s="1"/>
  <c r="P467" s="1"/>
  <c r="R467" s="1"/>
  <c r="T467" s="1"/>
  <c r="H468"/>
  <c r="J468" s="1"/>
  <c r="L468" s="1"/>
  <c r="N468" s="1"/>
  <c r="P468" s="1"/>
  <c r="R468" s="1"/>
  <c r="T468" s="1"/>
  <c r="F1132"/>
  <c r="H1132" s="1"/>
  <c r="J1132" s="1"/>
  <c r="L1132" s="1"/>
  <c r="N1132" s="1"/>
  <c r="P1132" s="1"/>
  <c r="R1132" s="1"/>
  <c r="T1132" s="1"/>
  <c r="H1133"/>
  <c r="J1133" s="1"/>
  <c r="L1133" s="1"/>
  <c r="N1133" s="1"/>
  <c r="P1133" s="1"/>
  <c r="R1133" s="1"/>
  <c r="T1133" s="1"/>
  <c r="F462"/>
  <c r="H463"/>
  <c r="J463" s="1"/>
  <c r="L463" s="1"/>
  <c r="N463" s="1"/>
  <c r="P463" s="1"/>
  <c r="R463" s="1"/>
  <c r="T463" s="1"/>
  <c r="F975"/>
  <c r="H976"/>
  <c r="J976" s="1"/>
  <c r="L976" s="1"/>
  <c r="N976" s="1"/>
  <c r="P976" s="1"/>
  <c r="R976" s="1"/>
  <c r="T976" s="1"/>
  <c r="F454"/>
  <c r="H454" s="1"/>
  <c r="J454" s="1"/>
  <c r="L454" s="1"/>
  <c r="N454" s="1"/>
  <c r="P454" s="1"/>
  <c r="R454" s="1"/>
  <c r="T454" s="1"/>
  <c r="H455"/>
  <c r="J455" s="1"/>
  <c r="L455" s="1"/>
  <c r="N455" s="1"/>
  <c r="P455" s="1"/>
  <c r="R455" s="1"/>
  <c r="T455" s="1"/>
  <c r="F1041"/>
  <c r="H1041" s="1"/>
  <c r="J1041" s="1"/>
  <c r="L1041" s="1"/>
  <c r="N1041" s="1"/>
  <c r="P1041" s="1"/>
  <c r="R1041" s="1"/>
  <c r="T1041" s="1"/>
  <c r="H1042"/>
  <c r="J1042" s="1"/>
  <c r="L1042" s="1"/>
  <c r="N1042" s="1"/>
  <c r="P1042" s="1"/>
  <c r="R1042" s="1"/>
  <c r="T1042" s="1"/>
  <c r="F84"/>
  <c r="H84" s="1"/>
  <c r="J84" s="1"/>
  <c r="L84" s="1"/>
  <c r="N84" s="1"/>
  <c r="P84" s="1"/>
  <c r="R84" s="1"/>
  <c r="T84" s="1"/>
  <c r="H85"/>
  <c r="J85" s="1"/>
  <c r="L85" s="1"/>
  <c r="N85" s="1"/>
  <c r="P85" s="1"/>
  <c r="R85" s="1"/>
  <c r="T85" s="1"/>
  <c r="F96"/>
  <c r="H96" s="1"/>
  <c r="J96" s="1"/>
  <c r="L96" s="1"/>
  <c r="N96" s="1"/>
  <c r="P96" s="1"/>
  <c r="R96" s="1"/>
  <c r="T96" s="1"/>
  <c r="H97"/>
  <c r="J97" s="1"/>
  <c r="L97" s="1"/>
  <c r="N97" s="1"/>
  <c r="P97" s="1"/>
  <c r="R97" s="1"/>
  <c r="T97" s="1"/>
  <c r="F887"/>
  <c r="H887" s="1"/>
  <c r="J887" s="1"/>
  <c r="L887" s="1"/>
  <c r="N887" s="1"/>
  <c r="P887" s="1"/>
  <c r="R887" s="1"/>
  <c r="T887" s="1"/>
  <c r="H888"/>
  <c r="J888" s="1"/>
  <c r="L888" s="1"/>
  <c r="N888" s="1"/>
  <c r="P888" s="1"/>
  <c r="R888" s="1"/>
  <c r="T888" s="1"/>
  <c r="F1150"/>
  <c r="H1151"/>
  <c r="J1151" s="1"/>
  <c r="L1151" s="1"/>
  <c r="N1151" s="1"/>
  <c r="P1151" s="1"/>
  <c r="R1151" s="1"/>
  <c r="T1151" s="1"/>
  <c r="H381"/>
  <c r="J381" s="1"/>
  <c r="L381" s="1"/>
  <c r="N381" s="1"/>
  <c r="P381" s="1"/>
  <c r="R381" s="1"/>
  <c r="T381" s="1"/>
  <c r="F1036"/>
  <c r="H1037"/>
  <c r="J1037" s="1"/>
  <c r="L1037" s="1"/>
  <c r="N1037" s="1"/>
  <c r="P1037" s="1"/>
  <c r="R1037" s="1"/>
  <c r="T1037" s="1"/>
  <c r="F968"/>
  <c r="H969"/>
  <c r="J969" s="1"/>
  <c r="L969" s="1"/>
  <c r="N969" s="1"/>
  <c r="P969" s="1"/>
  <c r="R969" s="1"/>
  <c r="T969" s="1"/>
  <c r="F1138"/>
  <c r="H1139"/>
  <c r="J1139" s="1"/>
  <c r="L1139" s="1"/>
  <c r="N1139" s="1"/>
  <c r="P1139" s="1"/>
  <c r="R1139" s="1"/>
  <c r="T1139" s="1"/>
  <c r="F332"/>
  <c r="H332" s="1"/>
  <c r="J332" s="1"/>
  <c r="L332" s="1"/>
  <c r="N332" s="1"/>
  <c r="P332" s="1"/>
  <c r="R332" s="1"/>
  <c r="T332" s="1"/>
  <c r="H333"/>
  <c r="J333" s="1"/>
  <c r="L333" s="1"/>
  <c r="N333" s="1"/>
  <c r="P333" s="1"/>
  <c r="R333" s="1"/>
  <c r="T333" s="1"/>
  <c r="F1391"/>
  <c r="H1392"/>
  <c r="J1392" s="1"/>
  <c r="L1392" s="1"/>
  <c r="N1392" s="1"/>
  <c r="P1392" s="1"/>
  <c r="R1392" s="1"/>
  <c r="T1392" s="1"/>
  <c r="F76"/>
  <c r="H77"/>
  <c r="J77" s="1"/>
  <c r="L77" s="1"/>
  <c r="N77" s="1"/>
  <c r="P77" s="1"/>
  <c r="R77" s="1"/>
  <c r="T77" s="1"/>
  <c r="F1104"/>
  <c r="H1105"/>
  <c r="J1105" s="1"/>
  <c r="L1105" s="1"/>
  <c r="N1105" s="1"/>
  <c r="P1105" s="1"/>
  <c r="R1105" s="1"/>
  <c r="T1105" s="1"/>
  <c r="F1066"/>
  <c r="H1067"/>
  <c r="J1067" s="1"/>
  <c r="L1067" s="1"/>
  <c r="N1067" s="1"/>
  <c r="P1067" s="1"/>
  <c r="R1067" s="1"/>
  <c r="T1067" s="1"/>
  <c r="H1214"/>
  <c r="J1214" s="1"/>
  <c r="L1214" s="1"/>
  <c r="N1214" s="1"/>
  <c r="P1214" s="1"/>
  <c r="R1214" s="1"/>
  <c r="T1214" s="1"/>
  <c r="F1213"/>
  <c r="F346"/>
  <c r="H347"/>
  <c r="J347" s="1"/>
  <c r="L347" s="1"/>
  <c r="N347" s="1"/>
  <c r="P347" s="1"/>
  <c r="R347" s="1"/>
  <c r="T347" s="1"/>
  <c r="F152"/>
  <c r="H153"/>
  <c r="J153" s="1"/>
  <c r="L153" s="1"/>
  <c r="N153" s="1"/>
  <c r="P153" s="1"/>
  <c r="R153" s="1"/>
  <c r="T153" s="1"/>
  <c r="F722"/>
  <c r="H723"/>
  <c r="J723" s="1"/>
  <c r="L723" s="1"/>
  <c r="N723" s="1"/>
  <c r="P723" s="1"/>
  <c r="R723" s="1"/>
  <c r="T723" s="1"/>
  <c r="F489"/>
  <c r="H489" s="1"/>
  <c r="J489" s="1"/>
  <c r="L489" s="1"/>
  <c r="N489" s="1"/>
  <c r="P489" s="1"/>
  <c r="R489" s="1"/>
  <c r="T489" s="1"/>
  <c r="H490"/>
  <c r="J490" s="1"/>
  <c r="L490" s="1"/>
  <c r="N490" s="1"/>
  <c r="P490" s="1"/>
  <c r="R490" s="1"/>
  <c r="T490" s="1"/>
  <c r="F1008"/>
  <c r="H1009"/>
  <c r="J1009" s="1"/>
  <c r="L1009" s="1"/>
  <c r="N1009" s="1"/>
  <c r="P1009" s="1"/>
  <c r="R1009" s="1"/>
  <c r="T1009" s="1"/>
  <c r="F260"/>
  <c r="H261"/>
  <c r="J261" s="1"/>
  <c r="L261" s="1"/>
  <c r="N261" s="1"/>
  <c r="P261" s="1"/>
  <c r="R261" s="1"/>
  <c r="T261" s="1"/>
  <c r="F643"/>
  <c r="H643" s="1"/>
  <c r="J643" s="1"/>
  <c r="L643" s="1"/>
  <c r="N643" s="1"/>
  <c r="P643" s="1"/>
  <c r="R643" s="1"/>
  <c r="T643" s="1"/>
  <c r="H649"/>
  <c r="J649" s="1"/>
  <c r="L649" s="1"/>
  <c r="N649" s="1"/>
  <c r="P649" s="1"/>
  <c r="R649" s="1"/>
  <c r="T649" s="1"/>
  <c r="F395"/>
  <c r="H395" s="1"/>
  <c r="J395" s="1"/>
  <c r="L395" s="1"/>
  <c r="N395" s="1"/>
  <c r="P395" s="1"/>
  <c r="R395" s="1"/>
  <c r="T395" s="1"/>
  <c r="H396"/>
  <c r="J396" s="1"/>
  <c r="L396" s="1"/>
  <c r="N396" s="1"/>
  <c r="P396" s="1"/>
  <c r="R396" s="1"/>
  <c r="T396" s="1"/>
  <c r="F761"/>
  <c r="H762"/>
  <c r="J762" s="1"/>
  <c r="L762" s="1"/>
  <c r="N762" s="1"/>
  <c r="P762" s="1"/>
  <c r="R762" s="1"/>
  <c r="T762" s="1"/>
  <c r="F320"/>
  <c r="H320" s="1"/>
  <c r="J320" s="1"/>
  <c r="L320" s="1"/>
  <c r="N320" s="1"/>
  <c r="P320" s="1"/>
  <c r="R320" s="1"/>
  <c r="T320" s="1"/>
  <c r="H321"/>
  <c r="J321" s="1"/>
  <c r="L321" s="1"/>
  <c r="N321" s="1"/>
  <c r="P321" s="1"/>
  <c r="R321" s="1"/>
  <c r="T321" s="1"/>
  <c r="F1122"/>
  <c r="H1122" s="1"/>
  <c r="J1122" s="1"/>
  <c r="L1122" s="1"/>
  <c r="N1122" s="1"/>
  <c r="P1122" s="1"/>
  <c r="R1122" s="1"/>
  <c r="T1122" s="1"/>
  <c r="H1123"/>
  <c r="J1123" s="1"/>
  <c r="L1123" s="1"/>
  <c r="N1123" s="1"/>
  <c r="P1123" s="1"/>
  <c r="R1123" s="1"/>
  <c r="T1123" s="1"/>
  <c r="F308"/>
  <c r="H309"/>
  <c r="J309" s="1"/>
  <c r="L309" s="1"/>
  <c r="N309" s="1"/>
  <c r="P309" s="1"/>
  <c r="R309" s="1"/>
  <c r="T309" s="1"/>
  <c r="F144"/>
  <c r="H145"/>
  <c r="J145" s="1"/>
  <c r="L145" s="1"/>
  <c r="N145" s="1"/>
  <c r="P145" s="1"/>
  <c r="R145" s="1"/>
  <c r="T145" s="1"/>
  <c r="F1084"/>
  <c r="H1084" s="1"/>
  <c r="J1084" s="1"/>
  <c r="L1084" s="1"/>
  <c r="N1084" s="1"/>
  <c r="P1084" s="1"/>
  <c r="R1084" s="1"/>
  <c r="T1084" s="1"/>
  <c r="H1085"/>
  <c r="J1085" s="1"/>
  <c r="L1085" s="1"/>
  <c r="N1085" s="1"/>
  <c r="P1085" s="1"/>
  <c r="R1085" s="1"/>
  <c r="T1085" s="1"/>
  <c r="F422"/>
  <c r="H422" s="1"/>
  <c r="J422" s="1"/>
  <c r="L422" s="1"/>
  <c r="N422" s="1"/>
  <c r="P422" s="1"/>
  <c r="R422" s="1"/>
  <c r="T422" s="1"/>
  <c r="H423"/>
  <c r="J423" s="1"/>
  <c r="L423" s="1"/>
  <c r="N423" s="1"/>
  <c r="P423" s="1"/>
  <c r="R423" s="1"/>
  <c r="T423" s="1"/>
  <c r="F1429"/>
  <c r="H1430"/>
  <c r="J1430" s="1"/>
  <c r="L1430" s="1"/>
  <c r="N1430" s="1"/>
  <c r="P1430" s="1"/>
  <c r="R1430" s="1"/>
  <c r="T1430" s="1"/>
  <c r="F1047"/>
  <c r="H1048"/>
  <c r="J1048" s="1"/>
  <c r="L1048" s="1"/>
  <c r="N1048" s="1"/>
  <c r="P1048" s="1"/>
  <c r="R1048" s="1"/>
  <c r="T1048" s="1"/>
  <c r="F1617"/>
  <c r="H1617" s="1"/>
  <c r="J1617" s="1"/>
  <c r="L1617" s="1"/>
  <c r="N1617" s="1"/>
  <c r="P1617" s="1"/>
  <c r="R1617" s="1"/>
  <c r="T1617" s="1"/>
  <c r="H1618"/>
  <c r="J1618" s="1"/>
  <c r="L1618" s="1"/>
  <c r="N1618" s="1"/>
  <c r="P1618" s="1"/>
  <c r="R1618" s="1"/>
  <c r="T1618" s="1"/>
  <c r="F387"/>
  <c r="H387" s="1"/>
  <c r="J387" s="1"/>
  <c r="L387" s="1"/>
  <c r="N387" s="1"/>
  <c r="P387" s="1"/>
  <c r="R387" s="1"/>
  <c r="T387" s="1"/>
  <c r="H388"/>
  <c r="J388" s="1"/>
  <c r="L388" s="1"/>
  <c r="N388" s="1"/>
  <c r="P388" s="1"/>
  <c r="R388" s="1"/>
  <c r="T388" s="1"/>
  <c r="F1791"/>
  <c r="H1791" s="1"/>
  <c r="J1791" s="1"/>
  <c r="L1791" s="1"/>
  <c r="N1791" s="1"/>
  <c r="P1791" s="1"/>
  <c r="R1791" s="1"/>
  <c r="T1791" s="1"/>
  <c r="H1792"/>
  <c r="J1792" s="1"/>
  <c r="L1792" s="1"/>
  <c r="N1792" s="1"/>
  <c r="P1792" s="1"/>
  <c r="R1792" s="1"/>
  <c r="T1792" s="1"/>
  <c r="F1654"/>
  <c r="H1655"/>
  <c r="J1655" s="1"/>
  <c r="L1655" s="1"/>
  <c r="N1655" s="1"/>
  <c r="P1655" s="1"/>
  <c r="R1655" s="1"/>
  <c r="T1655" s="1"/>
  <c r="F812"/>
  <c r="H812" s="1"/>
  <c r="J812" s="1"/>
  <c r="L812" s="1"/>
  <c r="N812" s="1"/>
  <c r="P812" s="1"/>
  <c r="R812" s="1"/>
  <c r="T812" s="1"/>
  <c r="H813"/>
  <c r="J813" s="1"/>
  <c r="L813" s="1"/>
  <c r="N813" s="1"/>
  <c r="P813" s="1"/>
  <c r="R813" s="1"/>
  <c r="T813" s="1"/>
  <c r="F416"/>
  <c r="H416" s="1"/>
  <c r="J416" s="1"/>
  <c r="L416" s="1"/>
  <c r="N416" s="1"/>
  <c r="P416" s="1"/>
  <c r="R416" s="1"/>
  <c r="T416" s="1"/>
  <c r="H417"/>
  <c r="J417" s="1"/>
  <c r="L417" s="1"/>
  <c r="N417" s="1"/>
  <c r="P417" s="1"/>
  <c r="R417" s="1"/>
  <c r="T417" s="1"/>
  <c r="F90"/>
  <c r="H90" s="1"/>
  <c r="J90" s="1"/>
  <c r="L90" s="1"/>
  <c r="N90" s="1"/>
  <c r="P90" s="1"/>
  <c r="R90" s="1"/>
  <c r="T90" s="1"/>
  <c r="H91"/>
  <c r="J91" s="1"/>
  <c r="L91" s="1"/>
  <c r="N91" s="1"/>
  <c r="P91" s="1"/>
  <c r="R91" s="1"/>
  <c r="T91" s="1"/>
  <c r="F1144"/>
  <c r="H1145"/>
  <c r="J1145" s="1"/>
  <c r="L1145" s="1"/>
  <c r="N1145" s="1"/>
  <c r="P1145" s="1"/>
  <c r="R1145" s="1"/>
  <c r="T1145" s="1"/>
  <c r="H547"/>
  <c r="J547" s="1"/>
  <c r="L547" s="1"/>
  <c r="N547" s="1"/>
  <c r="P547" s="1"/>
  <c r="R547" s="1"/>
  <c r="T547" s="1"/>
  <c r="F546"/>
  <c r="H706"/>
  <c r="J706" s="1"/>
  <c r="L706" s="1"/>
  <c r="N706" s="1"/>
  <c r="P706" s="1"/>
  <c r="R706" s="1"/>
  <c r="T706" s="1"/>
  <c r="F700"/>
  <c r="H700" s="1"/>
  <c r="J700" s="1"/>
  <c r="L700" s="1"/>
  <c r="N700" s="1"/>
  <c r="P700" s="1"/>
  <c r="R700" s="1"/>
  <c r="T700" s="1"/>
  <c r="F284"/>
  <c r="H285"/>
  <c r="J285" s="1"/>
  <c r="L285" s="1"/>
  <c r="N285" s="1"/>
  <c r="P285" s="1"/>
  <c r="R285" s="1"/>
  <c r="T285" s="1"/>
  <c r="F1228"/>
  <c r="H1229"/>
  <c r="J1229" s="1"/>
  <c r="L1229" s="1"/>
  <c r="N1229" s="1"/>
  <c r="P1229" s="1"/>
  <c r="R1229" s="1"/>
  <c r="T1229" s="1"/>
  <c r="F520"/>
  <c r="H521"/>
  <c r="J521" s="1"/>
  <c r="L521" s="1"/>
  <c r="N521" s="1"/>
  <c r="P521" s="1"/>
  <c r="R521" s="1"/>
  <c r="T521" s="1"/>
  <c r="F1766"/>
  <c r="H1767"/>
  <c r="J1767" s="1"/>
  <c r="L1767" s="1"/>
  <c r="N1767" s="1"/>
  <c r="P1767" s="1"/>
  <c r="R1767" s="1"/>
  <c r="T1767" s="1"/>
  <c r="F1561"/>
  <c r="H1561" s="1"/>
  <c r="J1561" s="1"/>
  <c r="L1561" s="1"/>
  <c r="N1561" s="1"/>
  <c r="P1561" s="1"/>
  <c r="R1561" s="1"/>
  <c r="T1561" s="1"/>
  <c r="H1562"/>
  <c r="J1562" s="1"/>
  <c r="L1562" s="1"/>
  <c r="N1562" s="1"/>
  <c r="P1562" s="1"/>
  <c r="R1562" s="1"/>
  <c r="T1562" s="1"/>
  <c r="F1711"/>
  <c r="H1712"/>
  <c r="J1712" s="1"/>
  <c r="L1712" s="1"/>
  <c r="N1712" s="1"/>
  <c r="P1712" s="1"/>
  <c r="R1712" s="1"/>
  <c r="T1712" s="1"/>
  <c r="F1741"/>
  <c r="H1742"/>
  <c r="J1742" s="1"/>
  <c r="L1742" s="1"/>
  <c r="N1742" s="1"/>
  <c r="P1742" s="1"/>
  <c r="R1742" s="1"/>
  <c r="T1742" s="1"/>
  <c r="F1265"/>
  <c r="H1266"/>
  <c r="J1266" s="1"/>
  <c r="L1266" s="1"/>
  <c r="N1266" s="1"/>
  <c r="P1266" s="1"/>
  <c r="R1266" s="1"/>
  <c r="T1266" s="1"/>
  <c r="F196"/>
  <c r="H197"/>
  <c r="J197" s="1"/>
  <c r="L197" s="1"/>
  <c r="N197" s="1"/>
  <c r="P197" s="1"/>
  <c r="R197" s="1"/>
  <c r="T197" s="1"/>
  <c r="F1447"/>
  <c r="H1448"/>
  <c r="J1448" s="1"/>
  <c r="L1448" s="1"/>
  <c r="N1448" s="1"/>
  <c r="P1448" s="1"/>
  <c r="R1448" s="1"/>
  <c r="T1448" s="1"/>
  <c r="F1774"/>
  <c r="H1775"/>
  <c r="J1775" s="1"/>
  <c r="L1775" s="1"/>
  <c r="N1775" s="1"/>
  <c r="P1775" s="1"/>
  <c r="R1775" s="1"/>
  <c r="T1775" s="1"/>
  <c r="F1521"/>
  <c r="H1532"/>
  <c r="J1532" s="1"/>
  <c r="L1532" s="1"/>
  <c r="N1532" s="1"/>
  <c r="P1532" s="1"/>
  <c r="R1532" s="1"/>
  <c r="T1532" s="1"/>
  <c r="F475"/>
  <c r="H475" s="1"/>
  <c r="J475" s="1"/>
  <c r="L475" s="1"/>
  <c r="N475" s="1"/>
  <c r="P475" s="1"/>
  <c r="R475" s="1"/>
  <c r="T475" s="1"/>
  <c r="H476"/>
  <c r="J476" s="1"/>
  <c r="L476" s="1"/>
  <c r="N476" s="1"/>
  <c r="P476" s="1"/>
  <c r="R476" s="1"/>
  <c r="T476" s="1"/>
  <c r="F1053"/>
  <c r="H1054"/>
  <c r="J1054" s="1"/>
  <c r="L1054" s="1"/>
  <c r="N1054" s="1"/>
  <c r="P1054" s="1"/>
  <c r="R1054" s="1"/>
  <c r="T1054" s="1"/>
  <c r="F430"/>
  <c r="H431"/>
  <c r="J431" s="1"/>
  <c r="L431" s="1"/>
  <c r="N431" s="1"/>
  <c r="P431" s="1"/>
  <c r="R431" s="1"/>
  <c r="T431" s="1"/>
  <c r="F753"/>
  <c r="H754"/>
  <c r="J754" s="1"/>
  <c r="L754" s="1"/>
  <c r="N754" s="1"/>
  <c r="P754" s="1"/>
  <c r="R754" s="1"/>
  <c r="T754" s="1"/>
  <c r="F1748"/>
  <c r="H1748" s="1"/>
  <c r="J1748" s="1"/>
  <c r="L1748" s="1"/>
  <c r="N1748" s="1"/>
  <c r="P1748" s="1"/>
  <c r="R1748" s="1"/>
  <c r="T1748" s="1"/>
  <c r="H1749"/>
  <c r="J1749" s="1"/>
  <c r="L1749" s="1"/>
  <c r="N1749" s="1"/>
  <c r="P1749" s="1"/>
  <c r="R1749" s="1"/>
  <c r="T1749" s="1"/>
  <c r="F862"/>
  <c r="H862" s="1"/>
  <c r="J862" s="1"/>
  <c r="L862" s="1"/>
  <c r="N862" s="1"/>
  <c r="P862" s="1"/>
  <c r="R862" s="1"/>
  <c r="T862" s="1"/>
  <c r="H863"/>
  <c r="J863" s="1"/>
  <c r="L863" s="1"/>
  <c r="N863" s="1"/>
  <c r="P863" s="1"/>
  <c r="R863" s="1"/>
  <c r="T863" s="1"/>
  <c r="F180"/>
  <c r="H180" s="1"/>
  <c r="J180" s="1"/>
  <c r="L180" s="1"/>
  <c r="N180" s="1"/>
  <c r="P180" s="1"/>
  <c r="R180" s="1"/>
  <c r="T180" s="1"/>
  <c r="H181"/>
  <c r="J181" s="1"/>
  <c r="L181" s="1"/>
  <c r="N181" s="1"/>
  <c r="P181" s="1"/>
  <c r="R181" s="1"/>
  <c r="T181" s="1"/>
  <c r="H501"/>
  <c r="J501" s="1"/>
  <c r="L501" s="1"/>
  <c r="N501" s="1"/>
  <c r="P501" s="1"/>
  <c r="R501" s="1"/>
  <c r="T501" s="1"/>
  <c r="F500"/>
  <c r="F1664"/>
  <c r="H1664" s="1"/>
  <c r="J1664" s="1"/>
  <c r="L1664" s="1"/>
  <c r="N1664" s="1"/>
  <c r="P1664" s="1"/>
  <c r="R1664" s="1"/>
  <c r="T1664" s="1"/>
  <c r="H1665"/>
  <c r="J1665" s="1"/>
  <c r="L1665" s="1"/>
  <c r="N1665" s="1"/>
  <c r="P1665" s="1"/>
  <c r="R1665" s="1"/>
  <c r="T1665" s="1"/>
  <c r="F790"/>
  <c r="H791"/>
  <c r="J791" s="1"/>
  <c r="L791" s="1"/>
  <c r="N791" s="1"/>
  <c r="P791" s="1"/>
  <c r="R791" s="1"/>
  <c r="T791" s="1"/>
  <c r="F132"/>
  <c r="H133"/>
  <c r="J133" s="1"/>
  <c r="L133" s="1"/>
  <c r="N133" s="1"/>
  <c r="P133" s="1"/>
  <c r="R133" s="1"/>
  <c r="T133" s="1"/>
  <c r="F1500"/>
  <c r="H1501"/>
  <c r="J1501" s="1"/>
  <c r="L1501" s="1"/>
  <c r="N1501" s="1"/>
  <c r="P1501" s="1"/>
  <c r="R1501" s="1"/>
  <c r="T1501" s="1"/>
  <c r="F1753"/>
  <c r="H1753" s="1"/>
  <c r="J1753" s="1"/>
  <c r="L1753" s="1"/>
  <c r="N1753" s="1"/>
  <c r="P1753" s="1"/>
  <c r="R1753" s="1"/>
  <c r="T1753" s="1"/>
  <c r="H1754"/>
  <c r="J1754" s="1"/>
  <c r="L1754" s="1"/>
  <c r="N1754" s="1"/>
  <c r="P1754" s="1"/>
  <c r="R1754" s="1"/>
  <c r="T1754" s="1"/>
  <c r="F272"/>
  <c r="H273"/>
  <c r="J273" s="1"/>
  <c r="L273" s="1"/>
  <c r="N273" s="1"/>
  <c r="P273" s="1"/>
  <c r="R273" s="1"/>
  <c r="T273" s="1"/>
  <c r="F1096"/>
  <c r="H1097"/>
  <c r="J1097" s="1"/>
  <c r="L1097" s="1"/>
  <c r="N1097" s="1"/>
  <c r="P1097" s="1"/>
  <c r="R1097" s="1"/>
  <c r="T1097" s="1"/>
  <c r="F1581"/>
  <c r="H1581" s="1"/>
  <c r="J1581" s="1"/>
  <c r="L1581" s="1"/>
  <c r="N1581" s="1"/>
  <c r="P1581" s="1"/>
  <c r="R1581" s="1"/>
  <c r="T1581" s="1"/>
  <c r="H1582"/>
  <c r="J1582" s="1"/>
  <c r="L1582" s="1"/>
  <c r="N1582" s="1"/>
  <c r="P1582" s="1"/>
  <c r="R1582" s="1"/>
  <c r="T1582" s="1"/>
  <c r="F1612"/>
  <c r="H1612" s="1"/>
  <c r="J1612" s="1"/>
  <c r="L1612" s="1"/>
  <c r="N1612" s="1"/>
  <c r="P1612" s="1"/>
  <c r="R1612" s="1"/>
  <c r="T1612" s="1"/>
  <c r="H1613"/>
  <c r="J1613" s="1"/>
  <c r="L1613" s="1"/>
  <c r="N1613" s="1"/>
  <c r="P1613" s="1"/>
  <c r="R1613" s="1"/>
  <c r="T1613" s="1"/>
  <c r="F169"/>
  <c r="H170"/>
  <c r="J170" s="1"/>
  <c r="L170" s="1"/>
  <c r="N170" s="1"/>
  <c r="P170" s="1"/>
  <c r="R170" s="1"/>
  <c r="T170" s="1"/>
  <c r="F907"/>
  <c r="H907" s="1"/>
  <c r="J907" s="1"/>
  <c r="L907" s="1"/>
  <c r="N907" s="1"/>
  <c r="P907" s="1"/>
  <c r="R907" s="1"/>
  <c r="T907" s="1"/>
  <c r="H908"/>
  <c r="J908" s="1"/>
  <c r="L908" s="1"/>
  <c r="N908" s="1"/>
  <c r="P908" s="1"/>
  <c r="R908" s="1"/>
  <c r="T908" s="1"/>
  <c r="F684"/>
  <c r="H685"/>
  <c r="J685" s="1"/>
  <c r="L685" s="1"/>
  <c r="N685" s="1"/>
  <c r="P685" s="1"/>
  <c r="R685" s="1"/>
  <c r="T685" s="1"/>
  <c r="F1642"/>
  <c r="H1643"/>
  <c r="J1643" s="1"/>
  <c r="L1643" s="1"/>
  <c r="N1643" s="1"/>
  <c r="P1643" s="1"/>
  <c r="R1643" s="1"/>
  <c r="T1643" s="1"/>
  <c r="F779"/>
  <c r="H780"/>
  <c r="J780" s="1"/>
  <c r="L780" s="1"/>
  <c r="N780" s="1"/>
  <c r="P780" s="1"/>
  <c r="R780" s="1"/>
  <c r="T780" s="1"/>
  <c r="F983"/>
  <c r="H984"/>
  <c r="J984" s="1"/>
  <c r="L984" s="1"/>
  <c r="N984" s="1"/>
  <c r="P984" s="1"/>
  <c r="R984" s="1"/>
  <c r="T984" s="1"/>
  <c r="H627"/>
  <c r="J627" s="1"/>
  <c r="L627" s="1"/>
  <c r="N627" s="1"/>
  <c r="P627" s="1"/>
  <c r="R627" s="1"/>
  <c r="T627" s="1"/>
  <c r="F1285"/>
  <c r="H1285" s="1"/>
  <c r="J1285" s="1"/>
  <c r="L1285" s="1"/>
  <c r="N1285" s="1"/>
  <c r="P1285" s="1"/>
  <c r="R1285" s="1"/>
  <c r="T1285" s="1"/>
  <c r="H1286"/>
  <c r="J1286" s="1"/>
  <c r="L1286" s="1"/>
  <c r="N1286" s="1"/>
  <c r="P1286" s="1"/>
  <c r="R1286" s="1"/>
  <c r="T1286" s="1"/>
  <c r="H1488"/>
  <c r="J1488" s="1"/>
  <c r="L1488" s="1"/>
  <c r="N1488" s="1"/>
  <c r="P1488" s="1"/>
  <c r="R1488" s="1"/>
  <c r="T1488" s="1"/>
  <c r="F1472"/>
  <c r="F1465" s="1"/>
  <c r="F1117"/>
  <c r="H1117" s="1"/>
  <c r="J1117" s="1"/>
  <c r="L1117" s="1"/>
  <c r="N1117" s="1"/>
  <c r="P1117" s="1"/>
  <c r="R1117" s="1"/>
  <c r="T1117" s="1"/>
  <c r="H1118"/>
  <c r="J1118" s="1"/>
  <c r="L1118" s="1"/>
  <c r="N1118" s="1"/>
  <c r="P1118" s="1"/>
  <c r="R1118" s="1"/>
  <c r="T1118" s="1"/>
  <c r="F1319"/>
  <c r="H1320"/>
  <c r="J1320" s="1"/>
  <c r="L1320" s="1"/>
  <c r="N1320" s="1"/>
  <c r="P1320" s="1"/>
  <c r="R1320" s="1"/>
  <c r="T1320" s="1"/>
  <c r="F558"/>
  <c r="H559"/>
  <c r="J559" s="1"/>
  <c r="L559" s="1"/>
  <c r="N559" s="1"/>
  <c r="P559" s="1"/>
  <c r="R559" s="1"/>
  <c r="T559" s="1"/>
  <c r="F220"/>
  <c r="H220" s="1"/>
  <c r="J220" s="1"/>
  <c r="L220" s="1"/>
  <c r="N220" s="1"/>
  <c r="P220" s="1"/>
  <c r="R220" s="1"/>
  <c r="T220" s="1"/>
  <c r="H221"/>
  <c r="J221" s="1"/>
  <c r="L221" s="1"/>
  <c r="N221" s="1"/>
  <c r="P221" s="1"/>
  <c r="R221" s="1"/>
  <c r="T221" s="1"/>
  <c r="F246"/>
  <c r="H247"/>
  <c r="J247" s="1"/>
  <c r="L247" s="1"/>
  <c r="N247" s="1"/>
  <c r="P247" s="1"/>
  <c r="R247" s="1"/>
  <c r="T247" s="1"/>
  <c r="F1459"/>
  <c r="H1460"/>
  <c r="J1460" s="1"/>
  <c r="L1460" s="1"/>
  <c r="N1460" s="1"/>
  <c r="P1460" s="1"/>
  <c r="R1460" s="1"/>
  <c r="T1460" s="1"/>
  <c r="H209"/>
  <c r="J209" s="1"/>
  <c r="L209" s="1"/>
  <c r="N209" s="1"/>
  <c r="P209" s="1"/>
  <c r="R209" s="1"/>
  <c r="T209" s="1"/>
  <c r="F208"/>
  <c r="F956"/>
  <c r="H957"/>
  <c r="J957" s="1"/>
  <c r="L957" s="1"/>
  <c r="N957" s="1"/>
  <c r="P957" s="1"/>
  <c r="R957" s="1"/>
  <c r="T957" s="1"/>
  <c r="H896"/>
  <c r="J896" s="1"/>
  <c r="L896" s="1"/>
  <c r="N896" s="1"/>
  <c r="P896" s="1"/>
  <c r="R896" s="1"/>
  <c r="T896" s="1"/>
  <c r="F1198"/>
  <c r="H1198" s="1"/>
  <c r="J1198" s="1"/>
  <c r="L1198" s="1"/>
  <c r="N1198" s="1"/>
  <c r="P1198" s="1"/>
  <c r="R1198" s="1"/>
  <c r="T1198" s="1"/>
  <c r="H1199"/>
  <c r="J1199" s="1"/>
  <c r="L1199" s="1"/>
  <c r="N1199" s="1"/>
  <c r="P1199" s="1"/>
  <c r="R1199" s="1"/>
  <c r="T1199" s="1"/>
  <c r="F1275"/>
  <c r="H1275" s="1"/>
  <c r="J1275" s="1"/>
  <c r="L1275" s="1"/>
  <c r="N1275" s="1"/>
  <c r="P1275" s="1"/>
  <c r="R1275" s="1"/>
  <c r="T1275" s="1"/>
  <c r="H1276"/>
  <c r="J1276" s="1"/>
  <c r="L1276" s="1"/>
  <c r="N1276" s="1"/>
  <c r="P1276" s="1"/>
  <c r="R1276" s="1"/>
  <c r="T1276" s="1"/>
  <c r="F1515"/>
  <c r="H1515" s="1"/>
  <c r="J1515" s="1"/>
  <c r="L1515" s="1"/>
  <c r="N1515" s="1"/>
  <c r="P1515" s="1"/>
  <c r="R1515" s="1"/>
  <c r="T1515" s="1"/>
  <c r="H1516"/>
  <c r="J1516" s="1"/>
  <c r="L1516" s="1"/>
  <c r="N1516" s="1"/>
  <c r="P1516" s="1"/>
  <c r="R1516" s="1"/>
  <c r="T1516" s="1"/>
  <c r="F53"/>
  <c r="H54"/>
  <c r="J54" s="1"/>
  <c r="L54" s="1"/>
  <c r="N54" s="1"/>
  <c r="P54" s="1"/>
  <c r="R54" s="1"/>
  <c r="T54" s="1"/>
  <c r="F949"/>
  <c r="H950"/>
  <c r="J950" s="1"/>
  <c r="L950" s="1"/>
  <c r="N950" s="1"/>
  <c r="P950" s="1"/>
  <c r="R950" s="1"/>
  <c r="T950" s="1"/>
  <c r="F1781"/>
  <c r="H1781" s="1"/>
  <c r="J1781" s="1"/>
  <c r="L1781" s="1"/>
  <c r="N1781" s="1"/>
  <c r="P1781" s="1"/>
  <c r="R1781" s="1"/>
  <c r="T1781" s="1"/>
  <c r="H1782"/>
  <c r="J1782" s="1"/>
  <c r="L1782" s="1"/>
  <c r="N1782" s="1"/>
  <c r="P1782" s="1"/>
  <c r="R1782" s="1"/>
  <c r="T1782" s="1"/>
  <c r="F1079"/>
  <c r="H1080"/>
  <c r="J1080" s="1"/>
  <c r="L1080" s="1"/>
  <c r="N1080" s="1"/>
  <c r="P1080" s="1"/>
  <c r="R1080" s="1"/>
  <c r="T1080" s="1"/>
  <c r="F362"/>
  <c r="H362" s="1"/>
  <c r="J362" s="1"/>
  <c r="L362" s="1"/>
  <c r="N362" s="1"/>
  <c r="P362" s="1"/>
  <c r="R362" s="1"/>
  <c r="T362" s="1"/>
  <c r="H363"/>
  <c r="J363" s="1"/>
  <c r="L363" s="1"/>
  <c r="N363" s="1"/>
  <c r="P363" s="1"/>
  <c r="R363" s="1"/>
  <c r="T363" s="1"/>
  <c r="F1060"/>
  <c r="H1061"/>
  <c r="J1061" s="1"/>
  <c r="L1061" s="1"/>
  <c r="N1061" s="1"/>
  <c r="P1061" s="1"/>
  <c r="R1061" s="1"/>
  <c r="T1061" s="1"/>
  <c r="F410"/>
  <c r="H411"/>
  <c r="J411" s="1"/>
  <c r="L411" s="1"/>
  <c r="N411" s="1"/>
  <c r="P411" s="1"/>
  <c r="R411" s="1"/>
  <c r="T411" s="1"/>
  <c r="F1002"/>
  <c r="H1003"/>
  <c r="J1003" s="1"/>
  <c r="L1003" s="1"/>
  <c r="N1003" s="1"/>
  <c r="P1003" s="1"/>
  <c r="R1003" s="1"/>
  <c r="T1003" s="1"/>
  <c r="F1598"/>
  <c r="H1598" s="1"/>
  <c r="J1598" s="1"/>
  <c r="L1598" s="1"/>
  <c r="N1598" s="1"/>
  <c r="P1598" s="1"/>
  <c r="R1598" s="1"/>
  <c r="T1598" s="1"/>
  <c r="H1599"/>
  <c r="J1599" s="1"/>
  <c r="L1599" s="1"/>
  <c r="N1599" s="1"/>
  <c r="P1599" s="1"/>
  <c r="R1599" s="1"/>
  <c r="T1599" s="1"/>
  <c r="F1605"/>
  <c r="H1605" s="1"/>
  <c r="J1605" s="1"/>
  <c r="L1605" s="1"/>
  <c r="N1605" s="1"/>
  <c r="P1605" s="1"/>
  <c r="R1605" s="1"/>
  <c r="T1605" s="1"/>
  <c r="H1606"/>
  <c r="J1606" s="1"/>
  <c r="L1606" s="1"/>
  <c r="N1606" s="1"/>
  <c r="P1606" s="1"/>
  <c r="R1606" s="1"/>
  <c r="T1606" s="1"/>
  <c r="F1733"/>
  <c r="H1734"/>
  <c r="J1734" s="1"/>
  <c r="L1734" s="1"/>
  <c r="N1734" s="1"/>
  <c r="P1734" s="1"/>
  <c r="R1734" s="1"/>
  <c r="T1734" s="1"/>
  <c r="F1588"/>
  <c r="H1588" s="1"/>
  <c r="J1588" s="1"/>
  <c r="L1588" s="1"/>
  <c r="N1588" s="1"/>
  <c r="P1588" s="1"/>
  <c r="R1588" s="1"/>
  <c r="T1588" s="1"/>
  <c r="H1589"/>
  <c r="J1589" s="1"/>
  <c r="L1589" s="1"/>
  <c r="N1589" s="1"/>
  <c r="P1589" s="1"/>
  <c r="R1589" s="1"/>
  <c r="T1589" s="1"/>
  <c r="H917"/>
  <c r="J917" s="1"/>
  <c r="L917" s="1"/>
  <c r="N917" s="1"/>
  <c r="P917" s="1"/>
  <c r="R917" s="1"/>
  <c r="T917" s="1"/>
  <c r="F1550"/>
  <c r="H1550" s="1"/>
  <c r="J1550" s="1"/>
  <c r="L1550" s="1"/>
  <c r="N1550" s="1"/>
  <c r="P1550" s="1"/>
  <c r="R1550" s="1"/>
  <c r="T1550" s="1"/>
  <c r="H1551"/>
  <c r="J1551" s="1"/>
  <c r="L1551" s="1"/>
  <c r="N1551" s="1"/>
  <c r="P1551" s="1"/>
  <c r="R1551" s="1"/>
  <c r="T1551" s="1"/>
  <c r="F1016"/>
  <c r="H1017"/>
  <c r="J1017" s="1"/>
  <c r="L1017" s="1"/>
  <c r="N1017" s="1"/>
  <c r="P1017" s="1"/>
  <c r="R1017" s="1"/>
  <c r="T1017" s="1"/>
  <c r="G1673"/>
  <c r="H1674"/>
  <c r="J1674" s="1"/>
  <c r="L1674" s="1"/>
  <c r="N1674" s="1"/>
  <c r="P1674" s="1"/>
  <c r="R1674" s="1"/>
  <c r="T1674" s="1"/>
  <c r="H894" i="5"/>
  <c r="I895"/>
  <c r="K895" s="1"/>
  <c r="M895" s="1"/>
  <c r="O895" s="1"/>
  <c r="Q895" s="1"/>
  <c r="S895" s="1"/>
  <c r="U895" s="1"/>
  <c r="G1802" i="6"/>
  <c r="H1803"/>
  <c r="J1803" s="1"/>
  <c r="L1803" s="1"/>
  <c r="N1803" s="1"/>
  <c r="P1803" s="1"/>
  <c r="R1803" s="1"/>
  <c r="T1803" s="1"/>
  <c r="G1023"/>
  <c r="H1024"/>
  <c r="J1024" s="1"/>
  <c r="L1024" s="1"/>
  <c r="N1024" s="1"/>
  <c r="P1024" s="1"/>
  <c r="R1024" s="1"/>
  <c r="T1024" s="1"/>
  <c r="H430" i="5"/>
  <c r="H423" s="1"/>
  <c r="I440"/>
  <c r="K440" s="1"/>
  <c r="M440" s="1"/>
  <c r="O440" s="1"/>
  <c r="Q440" s="1"/>
  <c r="S440" s="1"/>
  <c r="U440" s="1"/>
  <c r="H581" i="6"/>
  <c r="J581" s="1"/>
  <c r="L581" s="1"/>
  <c r="N581" s="1"/>
  <c r="P581" s="1"/>
  <c r="R581" s="1"/>
  <c r="T581" s="1"/>
  <c r="G575"/>
  <c r="H575" s="1"/>
  <c r="J575" s="1"/>
  <c r="L575" s="1"/>
  <c r="N575" s="1"/>
  <c r="P575" s="1"/>
  <c r="R575" s="1"/>
  <c r="T575" s="1"/>
  <c r="H186" i="5"/>
  <c r="I186" s="1"/>
  <c r="K186" s="1"/>
  <c r="M186" s="1"/>
  <c r="O186" s="1"/>
  <c r="Q186" s="1"/>
  <c r="S186" s="1"/>
  <c r="U186" s="1"/>
  <c r="G1435" i="6"/>
  <c r="H1436"/>
  <c r="J1436" s="1"/>
  <c r="L1436" s="1"/>
  <c r="N1436" s="1"/>
  <c r="P1436" s="1"/>
  <c r="R1436" s="1"/>
  <c r="T1436" s="1"/>
  <c r="G1467"/>
  <c r="H1468"/>
  <c r="J1468" s="1"/>
  <c r="L1468" s="1"/>
  <c r="N1468" s="1"/>
  <c r="P1468" s="1"/>
  <c r="R1468" s="1"/>
  <c r="T1468" s="1"/>
  <c r="H1327"/>
  <c r="J1327" s="1"/>
  <c r="L1327" s="1"/>
  <c r="N1327" s="1"/>
  <c r="P1327" s="1"/>
  <c r="R1327" s="1"/>
  <c r="T1327" s="1"/>
  <c r="H1260"/>
  <c r="J1260" s="1"/>
  <c r="L1260" s="1"/>
  <c r="N1260" s="1"/>
  <c r="P1260" s="1"/>
  <c r="R1260" s="1"/>
  <c r="T1260" s="1"/>
  <c r="G1259"/>
  <c r="G602"/>
  <c r="H602" s="1"/>
  <c r="J602" s="1"/>
  <c r="L602" s="1"/>
  <c r="N602" s="1"/>
  <c r="P602" s="1"/>
  <c r="R602" s="1"/>
  <c r="T602" s="1"/>
  <c r="H603"/>
  <c r="J603" s="1"/>
  <c r="L603" s="1"/>
  <c r="N603" s="1"/>
  <c r="P603" s="1"/>
  <c r="R603" s="1"/>
  <c r="T603" s="1"/>
  <c r="G622"/>
  <c r="H623"/>
  <c r="J623" s="1"/>
  <c r="L623" s="1"/>
  <c r="N623" s="1"/>
  <c r="P623" s="1"/>
  <c r="R623" s="1"/>
  <c r="T623" s="1"/>
  <c r="G597"/>
  <c r="H598"/>
  <c r="J598" s="1"/>
  <c r="L598" s="1"/>
  <c r="N598" s="1"/>
  <c r="P598" s="1"/>
  <c r="R598" s="1"/>
  <c r="T598" s="1"/>
  <c r="G1339"/>
  <c r="H1340"/>
  <c r="J1340" s="1"/>
  <c r="L1340" s="1"/>
  <c r="N1340" s="1"/>
  <c r="P1340" s="1"/>
  <c r="R1340" s="1"/>
  <c r="T1340" s="1"/>
  <c r="G1398"/>
  <c r="H1399"/>
  <c r="J1399" s="1"/>
  <c r="L1399" s="1"/>
  <c r="N1399" s="1"/>
  <c r="P1399" s="1"/>
  <c r="R1399" s="1"/>
  <c r="T1399" s="1"/>
  <c r="G741"/>
  <c r="H742"/>
  <c r="J742" s="1"/>
  <c r="L742" s="1"/>
  <c r="N742" s="1"/>
  <c r="P742" s="1"/>
  <c r="R742" s="1"/>
  <c r="T742" s="1"/>
  <c r="G727"/>
  <c r="H727" s="1"/>
  <c r="J727" s="1"/>
  <c r="L727" s="1"/>
  <c r="N727" s="1"/>
  <c r="P727" s="1"/>
  <c r="R727" s="1"/>
  <c r="T727" s="1"/>
  <c r="H728"/>
  <c r="J728" s="1"/>
  <c r="L728" s="1"/>
  <c r="N728" s="1"/>
  <c r="P728" s="1"/>
  <c r="R728" s="1"/>
  <c r="T728" s="1"/>
  <c r="H1441"/>
  <c r="J1441" s="1"/>
  <c r="L1441" s="1"/>
  <c r="N1441" s="1"/>
  <c r="P1441" s="1"/>
  <c r="R1441" s="1"/>
  <c r="T1441" s="1"/>
  <c r="G1440"/>
  <c r="H1440" s="1"/>
  <c r="J1440" s="1"/>
  <c r="L1440" s="1"/>
  <c r="N1440" s="1"/>
  <c r="P1440" s="1"/>
  <c r="R1440" s="1"/>
  <c r="T1440" s="1"/>
  <c r="H1385"/>
  <c r="J1385" s="1"/>
  <c r="L1385" s="1"/>
  <c r="N1385" s="1"/>
  <c r="P1385" s="1"/>
  <c r="R1385" s="1"/>
  <c r="T1385" s="1"/>
  <c r="G1384"/>
  <c r="H245" i="5"/>
  <c r="H233" s="1"/>
  <c r="I233" s="1"/>
  <c r="K233" s="1"/>
  <c r="M233" s="1"/>
  <c r="O233" s="1"/>
  <c r="Q233" s="1"/>
  <c r="S233" s="1"/>
  <c r="U233" s="1"/>
  <c r="G1404" i="6"/>
  <c r="G1403" s="1"/>
  <c r="H1405"/>
  <c r="J1405" s="1"/>
  <c r="L1405" s="1"/>
  <c r="N1405" s="1"/>
  <c r="P1405" s="1"/>
  <c r="R1405" s="1"/>
  <c r="T1405" s="1"/>
  <c r="I277" i="5"/>
  <c r="K277" s="1"/>
  <c r="M277" s="1"/>
  <c r="O277" s="1"/>
  <c r="Q277" s="1"/>
  <c r="S277" s="1"/>
  <c r="U277" s="1"/>
  <c r="I166"/>
  <c r="K166" s="1"/>
  <c r="M166" s="1"/>
  <c r="O166" s="1"/>
  <c r="Q166" s="1"/>
  <c r="S166" s="1"/>
  <c r="U166" s="1"/>
  <c r="H165"/>
  <c r="G1623" i="6"/>
  <c r="H1624"/>
  <c r="J1624" s="1"/>
  <c r="L1624" s="1"/>
  <c r="N1624" s="1"/>
  <c r="P1624" s="1"/>
  <c r="R1624" s="1"/>
  <c r="T1624" s="1"/>
  <c r="G518"/>
  <c r="G626"/>
  <c r="G1478"/>
  <c r="H1479"/>
  <c r="J1479" s="1"/>
  <c r="L1479" s="1"/>
  <c r="N1479" s="1"/>
  <c r="P1479" s="1"/>
  <c r="R1479" s="1"/>
  <c r="T1479" s="1"/>
  <c r="H304" i="5"/>
  <c r="I305"/>
  <c r="K305" s="1"/>
  <c r="M305" s="1"/>
  <c r="O305" s="1"/>
  <c r="Q305" s="1"/>
  <c r="S305" s="1"/>
  <c r="U305" s="1"/>
  <c r="H114"/>
  <c r="I115"/>
  <c r="K115" s="1"/>
  <c r="M115" s="1"/>
  <c r="O115" s="1"/>
  <c r="Q115" s="1"/>
  <c r="S115" s="1"/>
  <c r="U115" s="1"/>
  <c r="E30" i="1"/>
  <c r="I234" i="5"/>
  <c r="K234" s="1"/>
  <c r="M234" s="1"/>
  <c r="O234" s="1"/>
  <c r="Q234" s="1"/>
  <c r="S234" s="1"/>
  <c r="U234" s="1"/>
  <c r="G1373" i="6"/>
  <c r="H1374"/>
  <c r="J1374" s="1"/>
  <c r="L1374" s="1"/>
  <c r="N1374" s="1"/>
  <c r="P1374" s="1"/>
  <c r="R1374" s="1"/>
  <c r="T1374" s="1"/>
  <c r="E22" i="1"/>
  <c r="H23" i="5"/>
  <c r="I24"/>
  <c r="K24" s="1"/>
  <c r="M24" s="1"/>
  <c r="O24" s="1"/>
  <c r="Q24" s="1"/>
  <c r="S24" s="1"/>
  <c r="U24" s="1"/>
  <c r="H1580"/>
  <c r="I1581"/>
  <c r="K1581" s="1"/>
  <c r="M1581" s="1"/>
  <c r="O1581" s="1"/>
  <c r="Q1581" s="1"/>
  <c r="S1581" s="1"/>
  <c r="U1581" s="1"/>
  <c r="S1495" l="1"/>
  <c r="U1495" s="1"/>
  <c r="G587"/>
  <c r="G586" s="1"/>
  <c r="H188" i="6"/>
  <c r="J188" s="1"/>
  <c r="L188" s="1"/>
  <c r="N188" s="1"/>
  <c r="P188" s="1"/>
  <c r="R188" s="1"/>
  <c r="T188" s="1"/>
  <c r="G461" i="5"/>
  <c r="G423" s="1"/>
  <c r="I423" s="1"/>
  <c r="K423" s="1"/>
  <c r="M423" s="1"/>
  <c r="O423" s="1"/>
  <c r="Q423" s="1"/>
  <c r="S423" s="1"/>
  <c r="U423" s="1"/>
  <c r="H990" i="6"/>
  <c r="J990" s="1"/>
  <c r="L990" s="1"/>
  <c r="N990" s="1"/>
  <c r="P990" s="1"/>
  <c r="R990" s="1"/>
  <c r="T990" s="1"/>
  <c r="J859" i="5"/>
  <c r="J1742" s="1"/>
  <c r="I18" i="6"/>
  <c r="I1812" s="1"/>
  <c r="D32" i="1"/>
  <c r="G839" i="5"/>
  <c r="I839" s="1"/>
  <c r="K839" s="1"/>
  <c r="M839" s="1"/>
  <c r="O839" s="1"/>
  <c r="Q839" s="1"/>
  <c r="S839" s="1"/>
  <c r="U839" s="1"/>
  <c r="G627"/>
  <c r="I627" s="1"/>
  <c r="K627" s="1"/>
  <c r="M627" s="1"/>
  <c r="O627" s="1"/>
  <c r="Q627" s="1"/>
  <c r="S627" s="1"/>
  <c r="U627" s="1"/>
  <c r="D64" i="1"/>
  <c r="I370" i="5"/>
  <c r="K370" s="1"/>
  <c r="M370" s="1"/>
  <c r="O370" s="1"/>
  <c r="Q370" s="1"/>
  <c r="S370" s="1"/>
  <c r="U370" s="1"/>
  <c r="G369"/>
  <c r="I369" s="1"/>
  <c r="K369" s="1"/>
  <c r="M369" s="1"/>
  <c r="O369" s="1"/>
  <c r="Q369" s="1"/>
  <c r="S369" s="1"/>
  <c r="U369" s="1"/>
  <c r="G885"/>
  <c r="I886"/>
  <c r="K886" s="1"/>
  <c r="M886" s="1"/>
  <c r="O886" s="1"/>
  <c r="Q886" s="1"/>
  <c r="S886" s="1"/>
  <c r="U886" s="1"/>
  <c r="I1060"/>
  <c r="K1060" s="1"/>
  <c r="M1060" s="1"/>
  <c r="O1060" s="1"/>
  <c r="Q1060" s="1"/>
  <c r="S1060" s="1"/>
  <c r="U1060" s="1"/>
  <c r="I479"/>
  <c r="K479" s="1"/>
  <c r="M479" s="1"/>
  <c r="O479" s="1"/>
  <c r="Q479" s="1"/>
  <c r="S479" s="1"/>
  <c r="U479" s="1"/>
  <c r="G478"/>
  <c r="G303"/>
  <c r="I334"/>
  <c r="K334" s="1"/>
  <c r="M334" s="1"/>
  <c r="O334" s="1"/>
  <c r="Q334" s="1"/>
  <c r="S334" s="1"/>
  <c r="U334" s="1"/>
  <c r="D54" i="1"/>
  <c r="G1730" i="5"/>
  <c r="I1731"/>
  <c r="K1731" s="1"/>
  <c r="M1731" s="1"/>
  <c r="O1731" s="1"/>
  <c r="Q1731" s="1"/>
  <c r="S1731" s="1"/>
  <c r="U1731" s="1"/>
  <c r="G1329"/>
  <c r="I1329" s="1"/>
  <c r="K1329" s="1"/>
  <c r="M1329" s="1"/>
  <c r="O1329" s="1"/>
  <c r="Q1329" s="1"/>
  <c r="S1329" s="1"/>
  <c r="U1329" s="1"/>
  <c r="I1337"/>
  <c r="K1337" s="1"/>
  <c r="M1337" s="1"/>
  <c r="O1337" s="1"/>
  <c r="Q1337" s="1"/>
  <c r="S1337" s="1"/>
  <c r="U1337" s="1"/>
  <c r="G1613"/>
  <c r="I1613" s="1"/>
  <c r="K1613" s="1"/>
  <c r="M1613" s="1"/>
  <c r="O1613" s="1"/>
  <c r="Q1613" s="1"/>
  <c r="S1613" s="1"/>
  <c r="U1613" s="1"/>
  <c r="I1614"/>
  <c r="K1614" s="1"/>
  <c r="M1614" s="1"/>
  <c r="O1614" s="1"/>
  <c r="Q1614" s="1"/>
  <c r="S1614" s="1"/>
  <c r="U1614" s="1"/>
  <c r="G909"/>
  <c r="I909" s="1"/>
  <c r="K909" s="1"/>
  <c r="M909" s="1"/>
  <c r="O909" s="1"/>
  <c r="Q909" s="1"/>
  <c r="S909" s="1"/>
  <c r="U909" s="1"/>
  <c r="I910"/>
  <c r="K910" s="1"/>
  <c r="M910" s="1"/>
  <c r="O910" s="1"/>
  <c r="Q910" s="1"/>
  <c r="S910" s="1"/>
  <c r="U910" s="1"/>
  <c r="D39" i="1"/>
  <c r="F39" s="1"/>
  <c r="H39" s="1"/>
  <c r="J39" s="1"/>
  <c r="L39" s="1"/>
  <c r="N39" s="1"/>
  <c r="P39" s="1"/>
  <c r="R39" s="1"/>
  <c r="I513" i="5"/>
  <c r="K513" s="1"/>
  <c r="M513" s="1"/>
  <c r="O513" s="1"/>
  <c r="Q513" s="1"/>
  <c r="S513" s="1"/>
  <c r="U513" s="1"/>
  <c r="G967"/>
  <c r="I968"/>
  <c r="K968" s="1"/>
  <c r="M968" s="1"/>
  <c r="O968" s="1"/>
  <c r="Q968" s="1"/>
  <c r="S968" s="1"/>
  <c r="U968" s="1"/>
  <c r="G533"/>
  <c r="I534"/>
  <c r="K534" s="1"/>
  <c r="M534" s="1"/>
  <c r="O534" s="1"/>
  <c r="Q534" s="1"/>
  <c r="S534" s="1"/>
  <c r="U534" s="1"/>
  <c r="G1178"/>
  <c r="I1178" s="1"/>
  <c r="K1178" s="1"/>
  <c r="M1178" s="1"/>
  <c r="O1178" s="1"/>
  <c r="Q1178" s="1"/>
  <c r="S1178" s="1"/>
  <c r="U1178" s="1"/>
  <c r="I1179"/>
  <c r="K1179" s="1"/>
  <c r="M1179" s="1"/>
  <c r="O1179" s="1"/>
  <c r="Q1179" s="1"/>
  <c r="S1179" s="1"/>
  <c r="U1179" s="1"/>
  <c r="G1279"/>
  <c r="I1280"/>
  <c r="K1280" s="1"/>
  <c r="M1280" s="1"/>
  <c r="O1280" s="1"/>
  <c r="Q1280" s="1"/>
  <c r="S1280" s="1"/>
  <c r="U1280" s="1"/>
  <c r="G691"/>
  <c r="I691" s="1"/>
  <c r="K691" s="1"/>
  <c r="M691" s="1"/>
  <c r="O691" s="1"/>
  <c r="Q691" s="1"/>
  <c r="S691" s="1"/>
  <c r="U691" s="1"/>
  <c r="I692"/>
  <c r="K692" s="1"/>
  <c r="M692" s="1"/>
  <c r="O692" s="1"/>
  <c r="Q692" s="1"/>
  <c r="S692" s="1"/>
  <c r="U692" s="1"/>
  <c r="G559"/>
  <c r="I560"/>
  <c r="K560" s="1"/>
  <c r="M560" s="1"/>
  <c r="O560" s="1"/>
  <c r="Q560" s="1"/>
  <c r="S560" s="1"/>
  <c r="U560" s="1"/>
  <c r="G940"/>
  <c r="I940" s="1"/>
  <c r="K940" s="1"/>
  <c r="M940" s="1"/>
  <c r="O940" s="1"/>
  <c r="Q940" s="1"/>
  <c r="S940" s="1"/>
  <c r="U940" s="1"/>
  <c r="I956"/>
  <c r="K956" s="1"/>
  <c r="M956" s="1"/>
  <c r="O956" s="1"/>
  <c r="Q956" s="1"/>
  <c r="S956" s="1"/>
  <c r="U956" s="1"/>
  <c r="I1505"/>
  <c r="K1505" s="1"/>
  <c r="M1505" s="1"/>
  <c r="O1505" s="1"/>
  <c r="Q1505" s="1"/>
  <c r="S1505" s="1"/>
  <c r="U1505" s="1"/>
  <c r="D31" i="1"/>
  <c r="G1504" i="5"/>
  <c r="G1685"/>
  <c r="I1686"/>
  <c r="K1686" s="1"/>
  <c r="M1686" s="1"/>
  <c r="O1686" s="1"/>
  <c r="Q1686" s="1"/>
  <c r="S1686" s="1"/>
  <c r="U1686" s="1"/>
  <c r="D60" i="1"/>
  <c r="I1231" i="5"/>
  <c r="K1231" s="1"/>
  <c r="M1231" s="1"/>
  <c r="O1231" s="1"/>
  <c r="Q1231" s="1"/>
  <c r="S1231" s="1"/>
  <c r="U1231" s="1"/>
  <c r="H176"/>
  <c r="E28" i="1" s="1"/>
  <c r="F906" i="6"/>
  <c r="H906" s="1"/>
  <c r="J906" s="1"/>
  <c r="L906" s="1"/>
  <c r="N906" s="1"/>
  <c r="P906" s="1"/>
  <c r="R906" s="1"/>
  <c r="T906" s="1"/>
  <c r="G394" i="5"/>
  <c r="I395"/>
  <c r="K395" s="1"/>
  <c r="M395" s="1"/>
  <c r="O395" s="1"/>
  <c r="Q395" s="1"/>
  <c r="S395" s="1"/>
  <c r="U395" s="1"/>
  <c r="G799"/>
  <c r="I799" s="1"/>
  <c r="K799" s="1"/>
  <c r="M799" s="1"/>
  <c r="O799" s="1"/>
  <c r="Q799" s="1"/>
  <c r="S799" s="1"/>
  <c r="U799" s="1"/>
  <c r="I800"/>
  <c r="K800" s="1"/>
  <c r="M800" s="1"/>
  <c r="O800" s="1"/>
  <c r="Q800" s="1"/>
  <c r="S800" s="1"/>
  <c r="U800" s="1"/>
  <c r="G1602"/>
  <c r="I1603"/>
  <c r="K1603" s="1"/>
  <c r="M1603" s="1"/>
  <c r="O1603" s="1"/>
  <c r="Q1603" s="1"/>
  <c r="S1603" s="1"/>
  <c r="U1603" s="1"/>
  <c r="G1297"/>
  <c r="I1298"/>
  <c r="K1298" s="1"/>
  <c r="M1298" s="1"/>
  <c r="O1298" s="1"/>
  <c r="Q1298" s="1"/>
  <c r="S1298" s="1"/>
  <c r="U1298" s="1"/>
  <c r="D55" i="1"/>
  <c r="F55" s="1"/>
  <c r="H55" s="1"/>
  <c r="J55" s="1"/>
  <c r="L55" s="1"/>
  <c r="N55" s="1"/>
  <c r="P55" s="1"/>
  <c r="R55" s="1"/>
  <c r="I1318" i="5"/>
  <c r="K1318" s="1"/>
  <c r="M1318" s="1"/>
  <c r="O1318" s="1"/>
  <c r="Q1318" s="1"/>
  <c r="S1318" s="1"/>
  <c r="U1318" s="1"/>
  <c r="G1484"/>
  <c r="I1484" s="1"/>
  <c r="K1484" s="1"/>
  <c r="M1484" s="1"/>
  <c r="O1484" s="1"/>
  <c r="Q1484" s="1"/>
  <c r="S1484" s="1"/>
  <c r="U1484" s="1"/>
  <c r="I1485"/>
  <c r="K1485" s="1"/>
  <c r="M1485" s="1"/>
  <c r="O1485" s="1"/>
  <c r="Q1485" s="1"/>
  <c r="S1485" s="1"/>
  <c r="U1485" s="1"/>
  <c r="G540"/>
  <c r="I540" s="1"/>
  <c r="K540" s="1"/>
  <c r="M540" s="1"/>
  <c r="O540" s="1"/>
  <c r="Q540" s="1"/>
  <c r="S540" s="1"/>
  <c r="U540" s="1"/>
  <c r="I541"/>
  <c r="K541" s="1"/>
  <c r="M541" s="1"/>
  <c r="O541" s="1"/>
  <c r="Q541" s="1"/>
  <c r="S541" s="1"/>
  <c r="U541" s="1"/>
  <c r="I1445"/>
  <c r="K1445" s="1"/>
  <c r="M1445" s="1"/>
  <c r="O1445" s="1"/>
  <c r="Q1445" s="1"/>
  <c r="S1445" s="1"/>
  <c r="U1445" s="1"/>
  <c r="G1444"/>
  <c r="G416"/>
  <c r="I417"/>
  <c r="K417" s="1"/>
  <c r="M417" s="1"/>
  <c r="O417" s="1"/>
  <c r="Q417" s="1"/>
  <c r="S417" s="1"/>
  <c r="U417" s="1"/>
  <c r="G820"/>
  <c r="I826"/>
  <c r="K826" s="1"/>
  <c r="M826" s="1"/>
  <c r="O826" s="1"/>
  <c r="Q826" s="1"/>
  <c r="S826" s="1"/>
  <c r="U826" s="1"/>
  <c r="G1640"/>
  <c r="I1640" s="1"/>
  <c r="K1640" s="1"/>
  <c r="M1640" s="1"/>
  <c r="O1640" s="1"/>
  <c r="Q1640" s="1"/>
  <c r="S1640" s="1"/>
  <c r="U1640" s="1"/>
  <c r="I1641"/>
  <c r="K1641" s="1"/>
  <c r="M1641" s="1"/>
  <c r="O1641" s="1"/>
  <c r="Q1641" s="1"/>
  <c r="S1641" s="1"/>
  <c r="U1641" s="1"/>
  <c r="G862"/>
  <c r="I863"/>
  <c r="K863" s="1"/>
  <c r="M863" s="1"/>
  <c r="O863" s="1"/>
  <c r="Q863" s="1"/>
  <c r="S863" s="1"/>
  <c r="U863" s="1"/>
  <c r="G1195"/>
  <c r="I1209"/>
  <c r="K1209" s="1"/>
  <c r="M1209" s="1"/>
  <c r="O1209" s="1"/>
  <c r="Q1209" s="1"/>
  <c r="S1209" s="1"/>
  <c r="U1209" s="1"/>
  <c r="G901"/>
  <c r="I902"/>
  <c r="K902" s="1"/>
  <c r="M902" s="1"/>
  <c r="O902" s="1"/>
  <c r="Q902" s="1"/>
  <c r="S902" s="1"/>
  <c r="U902" s="1"/>
  <c r="G919"/>
  <c r="I920"/>
  <c r="K920" s="1"/>
  <c r="M920" s="1"/>
  <c r="O920" s="1"/>
  <c r="Q920" s="1"/>
  <c r="S920" s="1"/>
  <c r="U920" s="1"/>
  <c r="G1715"/>
  <c r="I1716"/>
  <c r="K1716" s="1"/>
  <c r="M1716" s="1"/>
  <c r="O1716" s="1"/>
  <c r="Q1716" s="1"/>
  <c r="S1716" s="1"/>
  <c r="U1716" s="1"/>
  <c r="I1621"/>
  <c r="K1621" s="1"/>
  <c r="M1621" s="1"/>
  <c r="O1621" s="1"/>
  <c r="Q1621" s="1"/>
  <c r="S1621" s="1"/>
  <c r="U1621" s="1"/>
  <c r="I500"/>
  <c r="K500" s="1"/>
  <c r="M500" s="1"/>
  <c r="O500" s="1"/>
  <c r="Q500" s="1"/>
  <c r="S500" s="1"/>
  <c r="U500" s="1"/>
  <c r="G499"/>
  <c r="G31"/>
  <c r="I32"/>
  <c r="K32" s="1"/>
  <c r="M32" s="1"/>
  <c r="O32" s="1"/>
  <c r="Q32" s="1"/>
  <c r="S32" s="1"/>
  <c r="U32" s="1"/>
  <c r="G340"/>
  <c r="G333" s="1"/>
  <c r="I333" s="1"/>
  <c r="K333" s="1"/>
  <c r="M333" s="1"/>
  <c r="O333" s="1"/>
  <c r="Q333" s="1"/>
  <c r="S333" s="1"/>
  <c r="U333" s="1"/>
  <c r="I341"/>
  <c r="K341" s="1"/>
  <c r="M341" s="1"/>
  <c r="O341" s="1"/>
  <c r="Q341" s="1"/>
  <c r="S341" s="1"/>
  <c r="U341" s="1"/>
  <c r="E45" i="1"/>
  <c r="I1196" i="5"/>
  <c r="K1196" s="1"/>
  <c r="M1196" s="1"/>
  <c r="O1196" s="1"/>
  <c r="Q1196" s="1"/>
  <c r="S1196" s="1"/>
  <c r="U1196" s="1"/>
  <c r="H1195"/>
  <c r="F1001" i="6"/>
  <c r="H1002"/>
  <c r="J1002" s="1"/>
  <c r="L1002" s="1"/>
  <c r="N1002" s="1"/>
  <c r="P1002" s="1"/>
  <c r="R1002" s="1"/>
  <c r="T1002" s="1"/>
  <c r="F1059"/>
  <c r="H1060"/>
  <c r="J1060" s="1"/>
  <c r="L1060" s="1"/>
  <c r="N1060" s="1"/>
  <c r="P1060" s="1"/>
  <c r="R1060" s="1"/>
  <c r="T1060" s="1"/>
  <c r="F1078"/>
  <c r="H1079"/>
  <c r="J1079" s="1"/>
  <c r="L1079" s="1"/>
  <c r="N1079" s="1"/>
  <c r="P1079" s="1"/>
  <c r="R1079" s="1"/>
  <c r="T1079" s="1"/>
  <c r="F955"/>
  <c r="H956"/>
  <c r="J956" s="1"/>
  <c r="L956" s="1"/>
  <c r="N956" s="1"/>
  <c r="P956" s="1"/>
  <c r="R956" s="1"/>
  <c r="T956" s="1"/>
  <c r="H246"/>
  <c r="J246" s="1"/>
  <c r="L246" s="1"/>
  <c r="N246" s="1"/>
  <c r="P246" s="1"/>
  <c r="R246" s="1"/>
  <c r="T246" s="1"/>
  <c r="F236"/>
  <c r="H236" s="1"/>
  <c r="J236" s="1"/>
  <c r="L236" s="1"/>
  <c r="N236" s="1"/>
  <c r="P236" s="1"/>
  <c r="R236" s="1"/>
  <c r="T236" s="1"/>
  <c r="F778"/>
  <c r="H778" s="1"/>
  <c r="J778" s="1"/>
  <c r="L778" s="1"/>
  <c r="N778" s="1"/>
  <c r="P778" s="1"/>
  <c r="R778" s="1"/>
  <c r="T778" s="1"/>
  <c r="H779"/>
  <c r="J779" s="1"/>
  <c r="L779" s="1"/>
  <c r="N779" s="1"/>
  <c r="P779" s="1"/>
  <c r="R779" s="1"/>
  <c r="T779" s="1"/>
  <c r="H684"/>
  <c r="J684" s="1"/>
  <c r="L684" s="1"/>
  <c r="N684" s="1"/>
  <c r="P684" s="1"/>
  <c r="R684" s="1"/>
  <c r="T684" s="1"/>
  <c r="F669"/>
  <c r="H669" s="1"/>
  <c r="J669" s="1"/>
  <c r="L669" s="1"/>
  <c r="N669" s="1"/>
  <c r="P669" s="1"/>
  <c r="R669" s="1"/>
  <c r="T669" s="1"/>
  <c r="F168"/>
  <c r="H169"/>
  <c r="J169" s="1"/>
  <c r="L169" s="1"/>
  <c r="N169" s="1"/>
  <c r="P169" s="1"/>
  <c r="R169" s="1"/>
  <c r="T169" s="1"/>
  <c r="F271"/>
  <c r="H271" s="1"/>
  <c r="J271" s="1"/>
  <c r="L271" s="1"/>
  <c r="N271" s="1"/>
  <c r="P271" s="1"/>
  <c r="R271" s="1"/>
  <c r="T271" s="1"/>
  <c r="H272"/>
  <c r="J272" s="1"/>
  <c r="L272" s="1"/>
  <c r="N272" s="1"/>
  <c r="P272" s="1"/>
  <c r="R272" s="1"/>
  <c r="T272" s="1"/>
  <c r="F789"/>
  <c r="H790"/>
  <c r="J790" s="1"/>
  <c r="L790" s="1"/>
  <c r="N790" s="1"/>
  <c r="P790" s="1"/>
  <c r="R790" s="1"/>
  <c r="T790" s="1"/>
  <c r="H753"/>
  <c r="J753" s="1"/>
  <c r="L753" s="1"/>
  <c r="N753" s="1"/>
  <c r="P753" s="1"/>
  <c r="R753" s="1"/>
  <c r="T753" s="1"/>
  <c r="F741"/>
  <c r="H741" s="1"/>
  <c r="J741" s="1"/>
  <c r="L741" s="1"/>
  <c r="N741" s="1"/>
  <c r="P741" s="1"/>
  <c r="R741" s="1"/>
  <c r="T741" s="1"/>
  <c r="F1052"/>
  <c r="H1052" s="1"/>
  <c r="J1052" s="1"/>
  <c r="L1052" s="1"/>
  <c r="N1052" s="1"/>
  <c r="P1052" s="1"/>
  <c r="R1052" s="1"/>
  <c r="T1052" s="1"/>
  <c r="H1053"/>
  <c r="J1053" s="1"/>
  <c r="L1053" s="1"/>
  <c r="N1053" s="1"/>
  <c r="P1053" s="1"/>
  <c r="R1053" s="1"/>
  <c r="T1053" s="1"/>
  <c r="H1521"/>
  <c r="J1521" s="1"/>
  <c r="L1521" s="1"/>
  <c r="N1521" s="1"/>
  <c r="P1521" s="1"/>
  <c r="R1521" s="1"/>
  <c r="T1521" s="1"/>
  <c r="F1520"/>
  <c r="F1259"/>
  <c r="H1259" s="1"/>
  <c r="J1259" s="1"/>
  <c r="L1259" s="1"/>
  <c r="N1259" s="1"/>
  <c r="P1259" s="1"/>
  <c r="R1259" s="1"/>
  <c r="T1259" s="1"/>
  <c r="H1265"/>
  <c r="J1265" s="1"/>
  <c r="L1265" s="1"/>
  <c r="N1265" s="1"/>
  <c r="P1265" s="1"/>
  <c r="R1265" s="1"/>
  <c r="T1265" s="1"/>
  <c r="F1710"/>
  <c r="H1710" s="1"/>
  <c r="J1710" s="1"/>
  <c r="L1710" s="1"/>
  <c r="N1710" s="1"/>
  <c r="P1710" s="1"/>
  <c r="R1710" s="1"/>
  <c r="T1710" s="1"/>
  <c r="H1711"/>
  <c r="J1711" s="1"/>
  <c r="L1711" s="1"/>
  <c r="N1711" s="1"/>
  <c r="P1711" s="1"/>
  <c r="R1711" s="1"/>
  <c r="T1711" s="1"/>
  <c r="F1758"/>
  <c r="H1758" s="1"/>
  <c r="J1758" s="1"/>
  <c r="L1758" s="1"/>
  <c r="N1758" s="1"/>
  <c r="P1758" s="1"/>
  <c r="R1758" s="1"/>
  <c r="T1758" s="1"/>
  <c r="H1766"/>
  <c r="J1766" s="1"/>
  <c r="L1766" s="1"/>
  <c r="N1766" s="1"/>
  <c r="P1766" s="1"/>
  <c r="R1766" s="1"/>
  <c r="T1766" s="1"/>
  <c r="F1227"/>
  <c r="H1227" s="1"/>
  <c r="J1227" s="1"/>
  <c r="L1227" s="1"/>
  <c r="N1227" s="1"/>
  <c r="P1227" s="1"/>
  <c r="R1227" s="1"/>
  <c r="T1227" s="1"/>
  <c r="H1228"/>
  <c r="J1228" s="1"/>
  <c r="L1228" s="1"/>
  <c r="N1228" s="1"/>
  <c r="P1228" s="1"/>
  <c r="R1228" s="1"/>
  <c r="T1228" s="1"/>
  <c r="H500"/>
  <c r="J500" s="1"/>
  <c r="L500" s="1"/>
  <c r="N500" s="1"/>
  <c r="P500" s="1"/>
  <c r="R500" s="1"/>
  <c r="T500" s="1"/>
  <c r="F283"/>
  <c r="H283" s="1"/>
  <c r="J283" s="1"/>
  <c r="L283" s="1"/>
  <c r="N283" s="1"/>
  <c r="P283" s="1"/>
  <c r="R283" s="1"/>
  <c r="T283" s="1"/>
  <c r="H284"/>
  <c r="J284" s="1"/>
  <c r="L284" s="1"/>
  <c r="N284" s="1"/>
  <c r="P284" s="1"/>
  <c r="R284" s="1"/>
  <c r="T284" s="1"/>
  <c r="H1429"/>
  <c r="J1429" s="1"/>
  <c r="L1429" s="1"/>
  <c r="N1429" s="1"/>
  <c r="P1429" s="1"/>
  <c r="R1429" s="1"/>
  <c r="T1429" s="1"/>
  <c r="F1423"/>
  <c r="H308"/>
  <c r="J308" s="1"/>
  <c r="L308" s="1"/>
  <c r="N308" s="1"/>
  <c r="P308" s="1"/>
  <c r="R308" s="1"/>
  <c r="T308" s="1"/>
  <c r="F301"/>
  <c r="H301" s="1"/>
  <c r="J301" s="1"/>
  <c r="L301" s="1"/>
  <c r="N301" s="1"/>
  <c r="P301" s="1"/>
  <c r="R301" s="1"/>
  <c r="T301" s="1"/>
  <c r="F259"/>
  <c r="H260"/>
  <c r="J260" s="1"/>
  <c r="L260" s="1"/>
  <c r="N260" s="1"/>
  <c r="P260" s="1"/>
  <c r="R260" s="1"/>
  <c r="T260" s="1"/>
  <c r="F151"/>
  <c r="H152"/>
  <c r="J152" s="1"/>
  <c r="L152" s="1"/>
  <c r="N152" s="1"/>
  <c r="P152" s="1"/>
  <c r="R152" s="1"/>
  <c r="T152" s="1"/>
  <c r="H1104"/>
  <c r="J1104" s="1"/>
  <c r="L1104" s="1"/>
  <c r="N1104" s="1"/>
  <c r="P1104" s="1"/>
  <c r="R1104" s="1"/>
  <c r="T1104" s="1"/>
  <c r="F1103"/>
  <c r="H1391"/>
  <c r="J1391" s="1"/>
  <c r="L1391" s="1"/>
  <c r="N1391" s="1"/>
  <c r="P1391" s="1"/>
  <c r="R1391" s="1"/>
  <c r="T1391" s="1"/>
  <c r="F1384"/>
  <c r="F1364" s="1"/>
  <c r="F1137"/>
  <c r="H1137" s="1"/>
  <c r="J1137" s="1"/>
  <c r="L1137" s="1"/>
  <c r="N1137" s="1"/>
  <c r="P1137" s="1"/>
  <c r="R1137" s="1"/>
  <c r="T1137" s="1"/>
  <c r="H1138"/>
  <c r="J1138" s="1"/>
  <c r="L1138" s="1"/>
  <c r="N1138" s="1"/>
  <c r="P1138" s="1"/>
  <c r="R1138" s="1"/>
  <c r="T1138" s="1"/>
  <c r="H1036"/>
  <c r="J1036" s="1"/>
  <c r="L1036" s="1"/>
  <c r="N1036" s="1"/>
  <c r="P1036" s="1"/>
  <c r="R1036" s="1"/>
  <c r="T1036" s="1"/>
  <c r="F1035"/>
  <c r="H1035" s="1"/>
  <c r="J1035" s="1"/>
  <c r="L1035" s="1"/>
  <c r="N1035" s="1"/>
  <c r="P1035" s="1"/>
  <c r="R1035" s="1"/>
  <c r="T1035" s="1"/>
  <c r="F1149"/>
  <c r="H1149" s="1"/>
  <c r="J1149" s="1"/>
  <c r="L1149" s="1"/>
  <c r="N1149" s="1"/>
  <c r="P1149" s="1"/>
  <c r="R1149" s="1"/>
  <c r="T1149" s="1"/>
  <c r="H1150"/>
  <c r="J1150" s="1"/>
  <c r="L1150" s="1"/>
  <c r="N1150" s="1"/>
  <c r="P1150" s="1"/>
  <c r="R1150" s="1"/>
  <c r="T1150" s="1"/>
  <c r="F974"/>
  <c r="H975"/>
  <c r="J975" s="1"/>
  <c r="L975" s="1"/>
  <c r="N975" s="1"/>
  <c r="P975" s="1"/>
  <c r="R975" s="1"/>
  <c r="T975" s="1"/>
  <c r="F1718"/>
  <c r="H1718" s="1"/>
  <c r="J1718" s="1"/>
  <c r="L1718" s="1"/>
  <c r="N1718" s="1"/>
  <c r="P1718" s="1"/>
  <c r="R1718" s="1"/>
  <c r="T1718" s="1"/>
  <c r="H1719"/>
  <c r="J1719" s="1"/>
  <c r="L1719" s="1"/>
  <c r="N1719" s="1"/>
  <c r="P1719" s="1"/>
  <c r="R1719" s="1"/>
  <c r="T1719" s="1"/>
  <c r="F1089"/>
  <c r="H1089" s="1"/>
  <c r="J1089" s="1"/>
  <c r="L1089" s="1"/>
  <c r="N1089" s="1"/>
  <c r="P1089" s="1"/>
  <c r="R1089" s="1"/>
  <c r="T1089" s="1"/>
  <c r="H1090"/>
  <c r="J1090" s="1"/>
  <c r="L1090" s="1"/>
  <c r="N1090" s="1"/>
  <c r="P1090" s="1"/>
  <c r="R1090" s="1"/>
  <c r="T1090" s="1"/>
  <c r="F1015"/>
  <c r="H1016"/>
  <c r="J1016" s="1"/>
  <c r="L1016" s="1"/>
  <c r="N1016" s="1"/>
  <c r="P1016" s="1"/>
  <c r="R1016" s="1"/>
  <c r="T1016" s="1"/>
  <c r="F1732"/>
  <c r="H1732" s="1"/>
  <c r="J1732" s="1"/>
  <c r="L1732" s="1"/>
  <c r="N1732" s="1"/>
  <c r="P1732" s="1"/>
  <c r="R1732" s="1"/>
  <c r="T1732" s="1"/>
  <c r="H1733"/>
  <c r="J1733" s="1"/>
  <c r="L1733" s="1"/>
  <c r="N1733" s="1"/>
  <c r="P1733" s="1"/>
  <c r="R1733" s="1"/>
  <c r="T1733" s="1"/>
  <c r="H410"/>
  <c r="J410" s="1"/>
  <c r="L410" s="1"/>
  <c r="N410" s="1"/>
  <c r="P410" s="1"/>
  <c r="R410" s="1"/>
  <c r="T410" s="1"/>
  <c r="F409"/>
  <c r="H409" s="1"/>
  <c r="J409" s="1"/>
  <c r="L409" s="1"/>
  <c r="N409" s="1"/>
  <c r="P409" s="1"/>
  <c r="R409" s="1"/>
  <c r="T409" s="1"/>
  <c r="H53"/>
  <c r="J53" s="1"/>
  <c r="L53" s="1"/>
  <c r="N53" s="1"/>
  <c r="P53" s="1"/>
  <c r="R53" s="1"/>
  <c r="T53" s="1"/>
  <c r="F52"/>
  <c r="F1458"/>
  <c r="H1458" s="1"/>
  <c r="J1458" s="1"/>
  <c r="L1458" s="1"/>
  <c r="N1458" s="1"/>
  <c r="P1458" s="1"/>
  <c r="R1458" s="1"/>
  <c r="T1458" s="1"/>
  <c r="H1459"/>
  <c r="J1459" s="1"/>
  <c r="L1459" s="1"/>
  <c r="N1459" s="1"/>
  <c r="P1459" s="1"/>
  <c r="R1459" s="1"/>
  <c r="T1459" s="1"/>
  <c r="F988"/>
  <c r="H988" s="1"/>
  <c r="J988" s="1"/>
  <c r="L988" s="1"/>
  <c r="N988" s="1"/>
  <c r="P988" s="1"/>
  <c r="R988" s="1"/>
  <c r="T988" s="1"/>
  <c r="H989"/>
  <c r="J989" s="1"/>
  <c r="L989" s="1"/>
  <c r="N989" s="1"/>
  <c r="P989" s="1"/>
  <c r="R989" s="1"/>
  <c r="T989" s="1"/>
  <c r="F557"/>
  <c r="H557" s="1"/>
  <c r="J557" s="1"/>
  <c r="L557" s="1"/>
  <c r="N557" s="1"/>
  <c r="P557" s="1"/>
  <c r="R557" s="1"/>
  <c r="T557" s="1"/>
  <c r="H558"/>
  <c r="J558" s="1"/>
  <c r="L558" s="1"/>
  <c r="N558" s="1"/>
  <c r="P558" s="1"/>
  <c r="R558" s="1"/>
  <c r="T558" s="1"/>
  <c r="F982"/>
  <c r="H983"/>
  <c r="J983" s="1"/>
  <c r="L983" s="1"/>
  <c r="N983" s="1"/>
  <c r="P983" s="1"/>
  <c r="R983" s="1"/>
  <c r="T983" s="1"/>
  <c r="F1641"/>
  <c r="H1641" s="1"/>
  <c r="J1641" s="1"/>
  <c r="L1641" s="1"/>
  <c r="N1641" s="1"/>
  <c r="P1641" s="1"/>
  <c r="R1641" s="1"/>
  <c r="T1641" s="1"/>
  <c r="H1642"/>
  <c r="J1642" s="1"/>
  <c r="L1642" s="1"/>
  <c r="N1642" s="1"/>
  <c r="P1642" s="1"/>
  <c r="R1642" s="1"/>
  <c r="T1642" s="1"/>
  <c r="F1095"/>
  <c r="H1095" s="1"/>
  <c r="J1095" s="1"/>
  <c r="L1095" s="1"/>
  <c r="N1095" s="1"/>
  <c r="P1095" s="1"/>
  <c r="R1095" s="1"/>
  <c r="T1095" s="1"/>
  <c r="H1096"/>
  <c r="J1096" s="1"/>
  <c r="L1096" s="1"/>
  <c r="N1096" s="1"/>
  <c r="P1096" s="1"/>
  <c r="R1096" s="1"/>
  <c r="T1096" s="1"/>
  <c r="F131"/>
  <c r="H132"/>
  <c r="J132" s="1"/>
  <c r="L132" s="1"/>
  <c r="N132" s="1"/>
  <c r="P132" s="1"/>
  <c r="R132" s="1"/>
  <c r="T132" s="1"/>
  <c r="F429"/>
  <c r="H430"/>
  <c r="J430" s="1"/>
  <c r="L430" s="1"/>
  <c r="N430" s="1"/>
  <c r="P430" s="1"/>
  <c r="R430" s="1"/>
  <c r="T430" s="1"/>
  <c r="F1773"/>
  <c r="H1773" s="1"/>
  <c r="J1773" s="1"/>
  <c r="L1773" s="1"/>
  <c r="N1773" s="1"/>
  <c r="P1773" s="1"/>
  <c r="R1773" s="1"/>
  <c r="T1773" s="1"/>
  <c r="H1774"/>
  <c r="J1774" s="1"/>
  <c r="L1774" s="1"/>
  <c r="N1774" s="1"/>
  <c r="P1774" s="1"/>
  <c r="R1774" s="1"/>
  <c r="T1774" s="1"/>
  <c r="F195"/>
  <c r="H195" s="1"/>
  <c r="J195" s="1"/>
  <c r="L195" s="1"/>
  <c r="N195" s="1"/>
  <c r="P195" s="1"/>
  <c r="R195" s="1"/>
  <c r="T195" s="1"/>
  <c r="H196"/>
  <c r="J196" s="1"/>
  <c r="L196" s="1"/>
  <c r="N196" s="1"/>
  <c r="P196" s="1"/>
  <c r="R196" s="1"/>
  <c r="T196" s="1"/>
  <c r="F1740"/>
  <c r="H1740" s="1"/>
  <c r="J1740" s="1"/>
  <c r="L1740" s="1"/>
  <c r="N1740" s="1"/>
  <c r="P1740" s="1"/>
  <c r="R1740" s="1"/>
  <c r="T1740" s="1"/>
  <c r="H1741"/>
  <c r="J1741" s="1"/>
  <c r="L1741" s="1"/>
  <c r="N1741" s="1"/>
  <c r="P1741" s="1"/>
  <c r="R1741" s="1"/>
  <c r="T1741" s="1"/>
  <c r="F519"/>
  <c r="H520"/>
  <c r="J520" s="1"/>
  <c r="L520" s="1"/>
  <c r="N520" s="1"/>
  <c r="P520" s="1"/>
  <c r="R520" s="1"/>
  <c r="T520" s="1"/>
  <c r="H546"/>
  <c r="J546" s="1"/>
  <c r="L546" s="1"/>
  <c r="N546" s="1"/>
  <c r="P546" s="1"/>
  <c r="R546" s="1"/>
  <c r="T546" s="1"/>
  <c r="F1197"/>
  <c r="H1197" s="1"/>
  <c r="J1197" s="1"/>
  <c r="L1197" s="1"/>
  <c r="N1197" s="1"/>
  <c r="P1197" s="1"/>
  <c r="R1197" s="1"/>
  <c r="T1197" s="1"/>
  <c r="H1213"/>
  <c r="J1213" s="1"/>
  <c r="L1213" s="1"/>
  <c r="N1213" s="1"/>
  <c r="P1213" s="1"/>
  <c r="R1213" s="1"/>
  <c r="T1213" s="1"/>
  <c r="H1384"/>
  <c r="J1384" s="1"/>
  <c r="L1384" s="1"/>
  <c r="N1384" s="1"/>
  <c r="P1384" s="1"/>
  <c r="R1384" s="1"/>
  <c r="T1384" s="1"/>
  <c r="H208"/>
  <c r="J208" s="1"/>
  <c r="L208" s="1"/>
  <c r="N208" s="1"/>
  <c r="P208" s="1"/>
  <c r="R208" s="1"/>
  <c r="T208" s="1"/>
  <c r="F207"/>
  <c r="F1143"/>
  <c r="H1143" s="1"/>
  <c r="J1143" s="1"/>
  <c r="L1143" s="1"/>
  <c r="N1143" s="1"/>
  <c r="P1143" s="1"/>
  <c r="R1143" s="1"/>
  <c r="T1143" s="1"/>
  <c r="H1144"/>
  <c r="J1144" s="1"/>
  <c r="L1144" s="1"/>
  <c r="N1144" s="1"/>
  <c r="P1144" s="1"/>
  <c r="R1144" s="1"/>
  <c r="T1144" s="1"/>
  <c r="F1653"/>
  <c r="H1653" s="1"/>
  <c r="J1653" s="1"/>
  <c r="L1653" s="1"/>
  <c r="N1653" s="1"/>
  <c r="P1653" s="1"/>
  <c r="R1653" s="1"/>
  <c r="T1653" s="1"/>
  <c r="H1654"/>
  <c r="J1654" s="1"/>
  <c r="L1654" s="1"/>
  <c r="N1654" s="1"/>
  <c r="P1654" s="1"/>
  <c r="R1654" s="1"/>
  <c r="T1654" s="1"/>
  <c r="F1046"/>
  <c r="H1046" s="1"/>
  <c r="J1046" s="1"/>
  <c r="L1046" s="1"/>
  <c r="N1046" s="1"/>
  <c r="P1046" s="1"/>
  <c r="R1046" s="1"/>
  <c r="T1046" s="1"/>
  <c r="H1047"/>
  <c r="J1047" s="1"/>
  <c r="L1047" s="1"/>
  <c r="N1047" s="1"/>
  <c r="P1047" s="1"/>
  <c r="R1047" s="1"/>
  <c r="T1047" s="1"/>
  <c r="F143"/>
  <c r="H143" s="1"/>
  <c r="J143" s="1"/>
  <c r="L143" s="1"/>
  <c r="N143" s="1"/>
  <c r="P143" s="1"/>
  <c r="R143" s="1"/>
  <c r="T143" s="1"/>
  <c r="H144"/>
  <c r="J144" s="1"/>
  <c r="L144" s="1"/>
  <c r="N144" s="1"/>
  <c r="P144" s="1"/>
  <c r="R144" s="1"/>
  <c r="T144" s="1"/>
  <c r="F760"/>
  <c r="H761"/>
  <c r="J761" s="1"/>
  <c r="L761" s="1"/>
  <c r="N761" s="1"/>
  <c r="P761" s="1"/>
  <c r="R761" s="1"/>
  <c r="T761" s="1"/>
  <c r="F1007"/>
  <c r="H1007" s="1"/>
  <c r="J1007" s="1"/>
  <c r="L1007" s="1"/>
  <c r="N1007" s="1"/>
  <c r="P1007" s="1"/>
  <c r="R1007" s="1"/>
  <c r="T1007" s="1"/>
  <c r="H1008"/>
  <c r="J1008" s="1"/>
  <c r="L1008" s="1"/>
  <c r="N1008" s="1"/>
  <c r="P1008" s="1"/>
  <c r="R1008" s="1"/>
  <c r="T1008" s="1"/>
  <c r="F716"/>
  <c r="H716" s="1"/>
  <c r="J716" s="1"/>
  <c r="L716" s="1"/>
  <c r="N716" s="1"/>
  <c r="P716" s="1"/>
  <c r="R716" s="1"/>
  <c r="T716" s="1"/>
  <c r="H722"/>
  <c r="J722" s="1"/>
  <c r="L722" s="1"/>
  <c r="N722" s="1"/>
  <c r="P722" s="1"/>
  <c r="R722" s="1"/>
  <c r="T722" s="1"/>
  <c r="F345"/>
  <c r="H346"/>
  <c r="J346" s="1"/>
  <c r="L346" s="1"/>
  <c r="N346" s="1"/>
  <c r="P346" s="1"/>
  <c r="R346" s="1"/>
  <c r="T346" s="1"/>
  <c r="F1065"/>
  <c r="H1065" s="1"/>
  <c r="J1065" s="1"/>
  <c r="L1065" s="1"/>
  <c r="N1065" s="1"/>
  <c r="P1065" s="1"/>
  <c r="R1065" s="1"/>
  <c r="T1065" s="1"/>
  <c r="H1066"/>
  <c r="J1066" s="1"/>
  <c r="L1066" s="1"/>
  <c r="N1066" s="1"/>
  <c r="P1066" s="1"/>
  <c r="R1066" s="1"/>
  <c r="T1066" s="1"/>
  <c r="H76"/>
  <c r="J76" s="1"/>
  <c r="L76" s="1"/>
  <c r="N76" s="1"/>
  <c r="P76" s="1"/>
  <c r="R76" s="1"/>
  <c r="T76" s="1"/>
  <c r="F75"/>
  <c r="H75" s="1"/>
  <c r="J75" s="1"/>
  <c r="L75" s="1"/>
  <c r="N75" s="1"/>
  <c r="P75" s="1"/>
  <c r="R75" s="1"/>
  <c r="T75" s="1"/>
  <c r="F967"/>
  <c r="H967" s="1"/>
  <c r="J967" s="1"/>
  <c r="L967" s="1"/>
  <c r="N967" s="1"/>
  <c r="P967" s="1"/>
  <c r="R967" s="1"/>
  <c r="T967" s="1"/>
  <c r="H968"/>
  <c r="J968" s="1"/>
  <c r="L968" s="1"/>
  <c r="N968" s="1"/>
  <c r="P968" s="1"/>
  <c r="R968" s="1"/>
  <c r="T968" s="1"/>
  <c r="F461"/>
  <c r="H461" s="1"/>
  <c r="J461" s="1"/>
  <c r="L461" s="1"/>
  <c r="N461" s="1"/>
  <c r="P461" s="1"/>
  <c r="R461" s="1"/>
  <c r="T461" s="1"/>
  <c r="H462"/>
  <c r="J462" s="1"/>
  <c r="L462" s="1"/>
  <c r="N462" s="1"/>
  <c r="P462" s="1"/>
  <c r="R462" s="1"/>
  <c r="T462" s="1"/>
  <c r="F948"/>
  <c r="H949"/>
  <c r="J949" s="1"/>
  <c r="L949" s="1"/>
  <c r="N949" s="1"/>
  <c r="P949" s="1"/>
  <c r="R949" s="1"/>
  <c r="T949" s="1"/>
  <c r="F1318"/>
  <c r="H1318" s="1"/>
  <c r="J1318" s="1"/>
  <c r="L1318" s="1"/>
  <c r="N1318" s="1"/>
  <c r="P1318" s="1"/>
  <c r="R1318" s="1"/>
  <c r="T1318" s="1"/>
  <c r="H1319"/>
  <c r="J1319" s="1"/>
  <c r="L1319" s="1"/>
  <c r="N1319" s="1"/>
  <c r="P1319" s="1"/>
  <c r="R1319" s="1"/>
  <c r="T1319" s="1"/>
  <c r="F1499"/>
  <c r="H1500"/>
  <c r="J1500" s="1"/>
  <c r="L1500" s="1"/>
  <c r="N1500" s="1"/>
  <c r="P1500" s="1"/>
  <c r="R1500" s="1"/>
  <c r="T1500" s="1"/>
  <c r="F1446"/>
  <c r="H1446" s="1"/>
  <c r="J1446" s="1"/>
  <c r="L1446" s="1"/>
  <c r="N1446" s="1"/>
  <c r="P1446" s="1"/>
  <c r="R1446" s="1"/>
  <c r="T1446" s="1"/>
  <c r="H1447"/>
  <c r="J1447" s="1"/>
  <c r="L1447" s="1"/>
  <c r="N1447" s="1"/>
  <c r="P1447" s="1"/>
  <c r="R1447" s="1"/>
  <c r="T1447" s="1"/>
  <c r="F380"/>
  <c r="H893" i="5"/>
  <c r="I894"/>
  <c r="K894" s="1"/>
  <c r="M894" s="1"/>
  <c r="O894" s="1"/>
  <c r="Q894" s="1"/>
  <c r="S894" s="1"/>
  <c r="U894" s="1"/>
  <c r="G1672" i="6"/>
  <c r="H1672" s="1"/>
  <c r="J1672" s="1"/>
  <c r="L1672" s="1"/>
  <c r="N1672" s="1"/>
  <c r="P1672" s="1"/>
  <c r="R1672" s="1"/>
  <c r="T1672" s="1"/>
  <c r="H1673"/>
  <c r="J1673" s="1"/>
  <c r="L1673" s="1"/>
  <c r="N1673" s="1"/>
  <c r="P1673" s="1"/>
  <c r="R1673" s="1"/>
  <c r="T1673" s="1"/>
  <c r="H1802"/>
  <c r="J1802" s="1"/>
  <c r="L1802" s="1"/>
  <c r="N1802" s="1"/>
  <c r="P1802" s="1"/>
  <c r="R1802" s="1"/>
  <c r="T1802" s="1"/>
  <c r="G1801"/>
  <c r="H1801" s="1"/>
  <c r="J1801" s="1"/>
  <c r="L1801" s="1"/>
  <c r="N1801" s="1"/>
  <c r="P1801" s="1"/>
  <c r="R1801" s="1"/>
  <c r="T1801" s="1"/>
  <c r="E32" i="1"/>
  <c r="I430" i="5"/>
  <c r="K430" s="1"/>
  <c r="M430" s="1"/>
  <c r="O430" s="1"/>
  <c r="Q430" s="1"/>
  <c r="S430" s="1"/>
  <c r="U430" s="1"/>
  <c r="H1023" i="6"/>
  <c r="J1023" s="1"/>
  <c r="L1023" s="1"/>
  <c r="N1023" s="1"/>
  <c r="P1023" s="1"/>
  <c r="R1023" s="1"/>
  <c r="T1023" s="1"/>
  <c r="G1014"/>
  <c r="H1435"/>
  <c r="J1435" s="1"/>
  <c r="L1435" s="1"/>
  <c r="N1435" s="1"/>
  <c r="P1435" s="1"/>
  <c r="R1435" s="1"/>
  <c r="T1435" s="1"/>
  <c r="G1434"/>
  <c r="H1434" s="1"/>
  <c r="J1434" s="1"/>
  <c r="L1434" s="1"/>
  <c r="N1434" s="1"/>
  <c r="P1434" s="1"/>
  <c r="R1434" s="1"/>
  <c r="T1434" s="1"/>
  <c r="I245" i="5"/>
  <c r="K245" s="1"/>
  <c r="M245" s="1"/>
  <c r="O245" s="1"/>
  <c r="Q245" s="1"/>
  <c r="S245" s="1"/>
  <c r="U245" s="1"/>
  <c r="E33" i="1"/>
  <c r="F33" s="1"/>
  <c r="H33" s="1"/>
  <c r="J33" s="1"/>
  <c r="L33" s="1"/>
  <c r="N33" s="1"/>
  <c r="P33" s="1"/>
  <c r="R33" s="1"/>
  <c r="G1338" i="6"/>
  <c r="H1339"/>
  <c r="J1339" s="1"/>
  <c r="L1339" s="1"/>
  <c r="N1339" s="1"/>
  <c r="P1339" s="1"/>
  <c r="R1339" s="1"/>
  <c r="T1339" s="1"/>
  <c r="I114" i="5"/>
  <c r="K114" s="1"/>
  <c r="M114" s="1"/>
  <c r="O114" s="1"/>
  <c r="Q114" s="1"/>
  <c r="S114" s="1"/>
  <c r="U114" s="1"/>
  <c r="G1472" i="6"/>
  <c r="H1478"/>
  <c r="J1478" s="1"/>
  <c r="L1478" s="1"/>
  <c r="N1478" s="1"/>
  <c r="P1478" s="1"/>
  <c r="R1478" s="1"/>
  <c r="T1478" s="1"/>
  <c r="H1404"/>
  <c r="G1372"/>
  <c r="H1373"/>
  <c r="J1373" s="1"/>
  <c r="L1373" s="1"/>
  <c r="N1373" s="1"/>
  <c r="P1373" s="1"/>
  <c r="R1373" s="1"/>
  <c r="T1373" s="1"/>
  <c r="I165" i="5"/>
  <c r="K165" s="1"/>
  <c r="M165" s="1"/>
  <c r="O165" s="1"/>
  <c r="Q165" s="1"/>
  <c r="S165" s="1"/>
  <c r="U165" s="1"/>
  <c r="H164"/>
  <c r="I164" s="1"/>
  <c r="K164" s="1"/>
  <c r="M164" s="1"/>
  <c r="O164" s="1"/>
  <c r="Q164" s="1"/>
  <c r="S164" s="1"/>
  <c r="U164" s="1"/>
  <c r="G1397" i="6"/>
  <c r="H1398"/>
  <c r="J1398" s="1"/>
  <c r="L1398" s="1"/>
  <c r="N1398" s="1"/>
  <c r="P1398" s="1"/>
  <c r="R1398" s="1"/>
  <c r="T1398" s="1"/>
  <c r="H597"/>
  <c r="J597" s="1"/>
  <c r="L597" s="1"/>
  <c r="N597" s="1"/>
  <c r="P597" s="1"/>
  <c r="R597" s="1"/>
  <c r="T597" s="1"/>
  <c r="G591"/>
  <c r="H591" s="1"/>
  <c r="J591" s="1"/>
  <c r="L591" s="1"/>
  <c r="N591" s="1"/>
  <c r="P591" s="1"/>
  <c r="R591" s="1"/>
  <c r="T591" s="1"/>
  <c r="G621"/>
  <c r="H622"/>
  <c r="J622" s="1"/>
  <c r="L622" s="1"/>
  <c r="N622" s="1"/>
  <c r="P622" s="1"/>
  <c r="R622" s="1"/>
  <c r="T622" s="1"/>
  <c r="G1466"/>
  <c r="H1466" s="1"/>
  <c r="J1466" s="1"/>
  <c r="L1466" s="1"/>
  <c r="N1466" s="1"/>
  <c r="P1466" s="1"/>
  <c r="R1466" s="1"/>
  <c r="T1466" s="1"/>
  <c r="H1467"/>
  <c r="J1467" s="1"/>
  <c r="L1467" s="1"/>
  <c r="N1467" s="1"/>
  <c r="P1467" s="1"/>
  <c r="R1467" s="1"/>
  <c r="T1467" s="1"/>
  <c r="F30" i="1"/>
  <c r="H30" s="1"/>
  <c r="J30" s="1"/>
  <c r="L30" s="1"/>
  <c r="N30" s="1"/>
  <c r="P30" s="1"/>
  <c r="R30" s="1"/>
  <c r="I304" i="5"/>
  <c r="K304" s="1"/>
  <c r="M304" s="1"/>
  <c r="O304" s="1"/>
  <c r="Q304" s="1"/>
  <c r="S304" s="1"/>
  <c r="U304" s="1"/>
  <c r="H303"/>
  <c r="E46" i="1"/>
  <c r="G1622" i="6"/>
  <c r="H1623"/>
  <c r="J1623" s="1"/>
  <c r="L1623" s="1"/>
  <c r="N1623" s="1"/>
  <c r="P1623" s="1"/>
  <c r="R1623" s="1"/>
  <c r="T1623" s="1"/>
  <c r="G1258"/>
  <c r="I23" i="5"/>
  <c r="K23" s="1"/>
  <c r="M23" s="1"/>
  <c r="O23" s="1"/>
  <c r="Q23" s="1"/>
  <c r="S23" s="1"/>
  <c r="U23" s="1"/>
  <c r="E20" i="1"/>
  <c r="I1580" i="5"/>
  <c r="K1580" s="1"/>
  <c r="M1580" s="1"/>
  <c r="O1580" s="1"/>
  <c r="Q1580" s="1"/>
  <c r="S1580" s="1"/>
  <c r="U1580" s="1"/>
  <c r="H1546"/>
  <c r="E34" i="1" s="1"/>
  <c r="G626" i="5" l="1"/>
  <c r="D45" i="1" s="1"/>
  <c r="F45" s="1"/>
  <c r="H45" s="1"/>
  <c r="J45" s="1"/>
  <c r="L45" s="1"/>
  <c r="H175" i="5"/>
  <c r="I175" s="1"/>
  <c r="K175" s="1"/>
  <c r="M175" s="1"/>
  <c r="O175" s="1"/>
  <c r="Q175" s="1"/>
  <c r="S175" s="1"/>
  <c r="U175" s="1"/>
  <c r="J1404" i="6"/>
  <c r="H1403"/>
  <c r="I461" i="5"/>
  <c r="K461" s="1"/>
  <c r="M461" s="1"/>
  <c r="O461" s="1"/>
  <c r="Q461" s="1"/>
  <c r="S461" s="1"/>
  <c r="U461" s="1"/>
  <c r="F32" i="1"/>
  <c r="H32" s="1"/>
  <c r="J32" s="1"/>
  <c r="L32" s="1"/>
  <c r="N32" s="1"/>
  <c r="P32" s="1"/>
  <c r="R32" s="1"/>
  <c r="I176" i="5"/>
  <c r="K176" s="1"/>
  <c r="M176" s="1"/>
  <c r="O176" s="1"/>
  <c r="Q176" s="1"/>
  <c r="S176" s="1"/>
  <c r="U176" s="1"/>
  <c r="G838"/>
  <c r="I838" s="1"/>
  <c r="K838" s="1"/>
  <c r="M838" s="1"/>
  <c r="O838" s="1"/>
  <c r="Q838" s="1"/>
  <c r="S838" s="1"/>
  <c r="U838" s="1"/>
  <c r="G1620"/>
  <c r="I1620" s="1"/>
  <c r="K1620" s="1"/>
  <c r="M1620" s="1"/>
  <c r="O1620" s="1"/>
  <c r="Q1620" s="1"/>
  <c r="S1620" s="1"/>
  <c r="U1620" s="1"/>
  <c r="I303"/>
  <c r="K303" s="1"/>
  <c r="M303" s="1"/>
  <c r="O303" s="1"/>
  <c r="Q303" s="1"/>
  <c r="S303" s="1"/>
  <c r="U303" s="1"/>
  <c r="I587"/>
  <c r="K587" s="1"/>
  <c r="M587" s="1"/>
  <c r="O587" s="1"/>
  <c r="Q587" s="1"/>
  <c r="S587" s="1"/>
  <c r="U587" s="1"/>
  <c r="G30"/>
  <c r="I31"/>
  <c r="K31" s="1"/>
  <c r="M31" s="1"/>
  <c r="O31" s="1"/>
  <c r="Q31" s="1"/>
  <c r="S31" s="1"/>
  <c r="U31" s="1"/>
  <c r="I919"/>
  <c r="K919" s="1"/>
  <c r="M919" s="1"/>
  <c r="O919" s="1"/>
  <c r="Q919" s="1"/>
  <c r="S919" s="1"/>
  <c r="U919" s="1"/>
  <c r="G918"/>
  <c r="I918" s="1"/>
  <c r="K918" s="1"/>
  <c r="M918" s="1"/>
  <c r="O918" s="1"/>
  <c r="Q918" s="1"/>
  <c r="S918" s="1"/>
  <c r="U918" s="1"/>
  <c r="G415"/>
  <c r="I415" s="1"/>
  <c r="K415" s="1"/>
  <c r="M415" s="1"/>
  <c r="O415" s="1"/>
  <c r="Q415" s="1"/>
  <c r="S415" s="1"/>
  <c r="U415" s="1"/>
  <c r="I416"/>
  <c r="K416" s="1"/>
  <c r="M416" s="1"/>
  <c r="O416" s="1"/>
  <c r="Q416" s="1"/>
  <c r="S416" s="1"/>
  <c r="U416" s="1"/>
  <c r="D37" i="1"/>
  <c r="F37" s="1"/>
  <c r="H37" s="1"/>
  <c r="J37" s="1"/>
  <c r="L37" s="1"/>
  <c r="N37" s="1"/>
  <c r="P37" s="1"/>
  <c r="R37" s="1"/>
  <c r="I1602" i="5"/>
  <c r="K1602" s="1"/>
  <c r="M1602" s="1"/>
  <c r="O1602" s="1"/>
  <c r="Q1602" s="1"/>
  <c r="S1602" s="1"/>
  <c r="U1602" s="1"/>
  <c r="G1595"/>
  <c r="I1595" s="1"/>
  <c r="K1595" s="1"/>
  <c r="M1595" s="1"/>
  <c r="O1595" s="1"/>
  <c r="Q1595" s="1"/>
  <c r="S1595" s="1"/>
  <c r="U1595" s="1"/>
  <c r="I394"/>
  <c r="K394" s="1"/>
  <c r="M394" s="1"/>
  <c r="O394" s="1"/>
  <c r="Q394" s="1"/>
  <c r="S394" s="1"/>
  <c r="U394" s="1"/>
  <c r="G393"/>
  <c r="D21" i="1"/>
  <c r="I967" i="5"/>
  <c r="K967" s="1"/>
  <c r="M967" s="1"/>
  <c r="O967" s="1"/>
  <c r="Q967" s="1"/>
  <c r="S967" s="1"/>
  <c r="U967" s="1"/>
  <c r="D49" i="1"/>
  <c r="I478" i="5"/>
  <c r="K478" s="1"/>
  <c r="M478" s="1"/>
  <c r="O478" s="1"/>
  <c r="Q478" s="1"/>
  <c r="S478" s="1"/>
  <c r="U478" s="1"/>
  <c r="D36" i="1"/>
  <c r="G477" i="5"/>
  <c r="D63" i="1"/>
  <c r="F63" s="1"/>
  <c r="H63" s="1"/>
  <c r="J63" s="1"/>
  <c r="L63" s="1"/>
  <c r="N63" s="1"/>
  <c r="P63" s="1"/>
  <c r="R63" s="1"/>
  <c r="F64"/>
  <c r="H64" s="1"/>
  <c r="J64" s="1"/>
  <c r="L64" s="1"/>
  <c r="N64" s="1"/>
  <c r="P64" s="1"/>
  <c r="R64" s="1"/>
  <c r="G1296" i="5"/>
  <c r="I1297"/>
  <c r="K1297" s="1"/>
  <c r="M1297" s="1"/>
  <c r="O1297" s="1"/>
  <c r="Q1297" s="1"/>
  <c r="S1297" s="1"/>
  <c r="U1297" s="1"/>
  <c r="G1684"/>
  <c r="I1684" s="1"/>
  <c r="K1684" s="1"/>
  <c r="M1684" s="1"/>
  <c r="O1684" s="1"/>
  <c r="Q1684" s="1"/>
  <c r="S1684" s="1"/>
  <c r="U1684" s="1"/>
  <c r="I1685"/>
  <c r="K1685" s="1"/>
  <c r="M1685" s="1"/>
  <c r="O1685" s="1"/>
  <c r="Q1685" s="1"/>
  <c r="S1685" s="1"/>
  <c r="U1685" s="1"/>
  <c r="F54" i="1"/>
  <c r="H54" s="1"/>
  <c r="J54" s="1"/>
  <c r="L54" s="1"/>
  <c r="N54" s="1"/>
  <c r="P54" s="1"/>
  <c r="R54" s="1"/>
  <c r="D46"/>
  <c r="F46" s="1"/>
  <c r="H46" s="1"/>
  <c r="J46" s="1"/>
  <c r="L46" s="1"/>
  <c r="N46" s="1"/>
  <c r="P46" s="1"/>
  <c r="R46" s="1"/>
  <c r="G1059" i="5"/>
  <c r="I340"/>
  <c r="K340" s="1"/>
  <c r="M340" s="1"/>
  <c r="O340" s="1"/>
  <c r="Q340" s="1"/>
  <c r="S340" s="1"/>
  <c r="U340" s="1"/>
  <c r="D41" i="1"/>
  <c r="I1715" i="5"/>
  <c r="K1715" s="1"/>
  <c r="M1715" s="1"/>
  <c r="O1715" s="1"/>
  <c r="Q1715" s="1"/>
  <c r="S1715" s="1"/>
  <c r="U1715" s="1"/>
  <c r="I901"/>
  <c r="K901" s="1"/>
  <c r="M901" s="1"/>
  <c r="O901" s="1"/>
  <c r="Q901" s="1"/>
  <c r="S901" s="1"/>
  <c r="U901" s="1"/>
  <c r="D66" i="1"/>
  <c r="G900" i="5"/>
  <c r="I900" s="1"/>
  <c r="K900" s="1"/>
  <c r="M900" s="1"/>
  <c r="O900" s="1"/>
  <c r="Q900" s="1"/>
  <c r="S900" s="1"/>
  <c r="U900" s="1"/>
  <c r="G861"/>
  <c r="I862"/>
  <c r="K862" s="1"/>
  <c r="M862" s="1"/>
  <c r="O862" s="1"/>
  <c r="Q862" s="1"/>
  <c r="G819"/>
  <c r="I820"/>
  <c r="K820" s="1"/>
  <c r="M820" s="1"/>
  <c r="O820" s="1"/>
  <c r="Q820" s="1"/>
  <c r="S820" s="1"/>
  <c r="U820" s="1"/>
  <c r="I626"/>
  <c r="K626" s="1"/>
  <c r="M626" s="1"/>
  <c r="O626" s="1"/>
  <c r="Q626" s="1"/>
  <c r="S626" s="1"/>
  <c r="U626" s="1"/>
  <c r="G549"/>
  <c r="I559"/>
  <c r="K559" s="1"/>
  <c r="M559" s="1"/>
  <c r="O559" s="1"/>
  <c r="Q559" s="1"/>
  <c r="S559" s="1"/>
  <c r="U559" s="1"/>
  <c r="I1279"/>
  <c r="K1279" s="1"/>
  <c r="M1279" s="1"/>
  <c r="O1279" s="1"/>
  <c r="Q1279" s="1"/>
  <c r="S1279" s="1"/>
  <c r="U1279" s="1"/>
  <c r="G1273"/>
  <c r="I533"/>
  <c r="K533" s="1"/>
  <c r="M533" s="1"/>
  <c r="O533" s="1"/>
  <c r="Q533" s="1"/>
  <c r="S533" s="1"/>
  <c r="U533" s="1"/>
  <c r="G532"/>
  <c r="I532" s="1"/>
  <c r="K532" s="1"/>
  <c r="M532" s="1"/>
  <c r="O532" s="1"/>
  <c r="Q532" s="1"/>
  <c r="S532" s="1"/>
  <c r="U532" s="1"/>
  <c r="D52" i="1"/>
  <c r="G1724" i="5"/>
  <c r="I1730"/>
  <c r="K1730" s="1"/>
  <c r="M1730" s="1"/>
  <c r="O1730" s="1"/>
  <c r="Q1730" s="1"/>
  <c r="S1730" s="1"/>
  <c r="U1730" s="1"/>
  <c r="G707"/>
  <c r="G585" s="1"/>
  <c r="D38" i="1"/>
  <c r="F38" s="1"/>
  <c r="H38" s="1"/>
  <c r="J38" s="1"/>
  <c r="L38" s="1"/>
  <c r="N38" s="1"/>
  <c r="P38" s="1"/>
  <c r="R38" s="1"/>
  <c r="I499" i="5"/>
  <c r="K499" s="1"/>
  <c r="M499" s="1"/>
  <c r="O499" s="1"/>
  <c r="Q499" s="1"/>
  <c r="S499" s="1"/>
  <c r="U499" s="1"/>
  <c r="G1407"/>
  <c r="I1444"/>
  <c r="K1444" s="1"/>
  <c r="M1444" s="1"/>
  <c r="O1444" s="1"/>
  <c r="Q1444" s="1"/>
  <c r="S1444" s="1"/>
  <c r="U1444" s="1"/>
  <c r="I586"/>
  <c r="K586" s="1"/>
  <c r="M586" s="1"/>
  <c r="O586" s="1"/>
  <c r="Q586" s="1"/>
  <c r="S586" s="1"/>
  <c r="U586" s="1"/>
  <c r="D44" i="1"/>
  <c r="F60"/>
  <c r="H60" s="1"/>
  <c r="J60" s="1"/>
  <c r="L60" s="1"/>
  <c r="N60" s="1"/>
  <c r="P60" s="1"/>
  <c r="R60" s="1"/>
  <c r="F31"/>
  <c r="H31" s="1"/>
  <c r="J31" s="1"/>
  <c r="L31" s="1"/>
  <c r="N31" s="1"/>
  <c r="P31" s="1"/>
  <c r="R31" s="1"/>
  <c r="D57"/>
  <c r="F57" s="1"/>
  <c r="H57" s="1"/>
  <c r="J57" s="1"/>
  <c r="L57" s="1"/>
  <c r="N57" s="1"/>
  <c r="P57" s="1"/>
  <c r="R57" s="1"/>
  <c r="G884" i="5"/>
  <c r="I884" s="1"/>
  <c r="K884" s="1"/>
  <c r="M884" s="1"/>
  <c r="O884" s="1"/>
  <c r="Q884" s="1"/>
  <c r="S884" s="1"/>
  <c r="U884" s="1"/>
  <c r="I885"/>
  <c r="K885" s="1"/>
  <c r="M885" s="1"/>
  <c r="O885" s="1"/>
  <c r="Q885" s="1"/>
  <c r="S885" s="1"/>
  <c r="U885" s="1"/>
  <c r="I1195"/>
  <c r="K1195" s="1"/>
  <c r="M1195" s="1"/>
  <c r="O1195" s="1"/>
  <c r="Q1195" s="1"/>
  <c r="S1195" s="1"/>
  <c r="U1195" s="1"/>
  <c r="H1194"/>
  <c r="H345" i="6"/>
  <c r="J345" s="1"/>
  <c r="L345" s="1"/>
  <c r="N345" s="1"/>
  <c r="P345" s="1"/>
  <c r="R345" s="1"/>
  <c r="T345" s="1"/>
  <c r="F344"/>
  <c r="H344" s="1"/>
  <c r="J344" s="1"/>
  <c r="L344" s="1"/>
  <c r="N344" s="1"/>
  <c r="P344" s="1"/>
  <c r="R344" s="1"/>
  <c r="T344" s="1"/>
  <c r="H259"/>
  <c r="J259" s="1"/>
  <c r="L259" s="1"/>
  <c r="N259" s="1"/>
  <c r="P259" s="1"/>
  <c r="R259" s="1"/>
  <c r="T259" s="1"/>
  <c r="F258"/>
  <c r="H258" s="1"/>
  <c r="J258" s="1"/>
  <c r="L258" s="1"/>
  <c r="N258" s="1"/>
  <c r="P258" s="1"/>
  <c r="R258" s="1"/>
  <c r="T258" s="1"/>
  <c r="F788"/>
  <c r="H788" s="1"/>
  <c r="J788" s="1"/>
  <c r="L788" s="1"/>
  <c r="N788" s="1"/>
  <c r="P788" s="1"/>
  <c r="R788" s="1"/>
  <c r="T788" s="1"/>
  <c r="H789"/>
  <c r="J789" s="1"/>
  <c r="L789" s="1"/>
  <c r="N789" s="1"/>
  <c r="P789" s="1"/>
  <c r="R789" s="1"/>
  <c r="T789" s="1"/>
  <c r="H168"/>
  <c r="J168" s="1"/>
  <c r="L168" s="1"/>
  <c r="N168" s="1"/>
  <c r="P168" s="1"/>
  <c r="R168" s="1"/>
  <c r="T168" s="1"/>
  <c r="F161"/>
  <c r="H161" s="1"/>
  <c r="J161" s="1"/>
  <c r="L161" s="1"/>
  <c r="N161" s="1"/>
  <c r="P161" s="1"/>
  <c r="R161" s="1"/>
  <c r="T161" s="1"/>
  <c r="F954"/>
  <c r="H954" s="1"/>
  <c r="J954" s="1"/>
  <c r="L954" s="1"/>
  <c r="N954" s="1"/>
  <c r="P954" s="1"/>
  <c r="R954" s="1"/>
  <c r="T954" s="1"/>
  <c r="H955"/>
  <c r="J955" s="1"/>
  <c r="L955" s="1"/>
  <c r="N955" s="1"/>
  <c r="P955" s="1"/>
  <c r="R955" s="1"/>
  <c r="T955" s="1"/>
  <c r="H1059"/>
  <c r="J1059" s="1"/>
  <c r="L1059" s="1"/>
  <c r="N1059" s="1"/>
  <c r="P1059" s="1"/>
  <c r="R1059" s="1"/>
  <c r="T1059" s="1"/>
  <c r="F1058"/>
  <c r="H1058" s="1"/>
  <c r="J1058" s="1"/>
  <c r="L1058" s="1"/>
  <c r="N1058" s="1"/>
  <c r="P1058" s="1"/>
  <c r="R1058" s="1"/>
  <c r="T1058" s="1"/>
  <c r="F206"/>
  <c r="H206" s="1"/>
  <c r="J206" s="1"/>
  <c r="L206" s="1"/>
  <c r="N206" s="1"/>
  <c r="P206" s="1"/>
  <c r="R206" s="1"/>
  <c r="T206" s="1"/>
  <c r="H207"/>
  <c r="J207" s="1"/>
  <c r="L207" s="1"/>
  <c r="N207" s="1"/>
  <c r="P207" s="1"/>
  <c r="R207" s="1"/>
  <c r="T207" s="1"/>
  <c r="F518"/>
  <c r="H518" s="1"/>
  <c r="J518" s="1"/>
  <c r="L518" s="1"/>
  <c r="N518" s="1"/>
  <c r="P518" s="1"/>
  <c r="R518" s="1"/>
  <c r="T518" s="1"/>
  <c r="H519"/>
  <c r="J519" s="1"/>
  <c r="L519" s="1"/>
  <c r="N519" s="1"/>
  <c r="P519" s="1"/>
  <c r="R519" s="1"/>
  <c r="T519" s="1"/>
  <c r="F428"/>
  <c r="H428" s="1"/>
  <c r="J428" s="1"/>
  <c r="L428" s="1"/>
  <c r="N428" s="1"/>
  <c r="P428" s="1"/>
  <c r="R428" s="1"/>
  <c r="T428" s="1"/>
  <c r="H429"/>
  <c r="J429" s="1"/>
  <c r="L429" s="1"/>
  <c r="N429" s="1"/>
  <c r="P429" s="1"/>
  <c r="R429" s="1"/>
  <c r="T429" s="1"/>
  <c r="F981"/>
  <c r="H982"/>
  <c r="J982" s="1"/>
  <c r="L982" s="1"/>
  <c r="N982" s="1"/>
  <c r="P982" s="1"/>
  <c r="R982" s="1"/>
  <c r="T982" s="1"/>
  <c r="F1102"/>
  <c r="H1103"/>
  <c r="J1103" s="1"/>
  <c r="L1103" s="1"/>
  <c r="N1103" s="1"/>
  <c r="P1103" s="1"/>
  <c r="R1103" s="1"/>
  <c r="T1103" s="1"/>
  <c r="F1416"/>
  <c r="H1423"/>
  <c r="J1423" s="1"/>
  <c r="L1423" s="1"/>
  <c r="N1423" s="1"/>
  <c r="P1423" s="1"/>
  <c r="R1423" s="1"/>
  <c r="T1423" s="1"/>
  <c r="F539"/>
  <c r="H539" s="1"/>
  <c r="J539" s="1"/>
  <c r="L539" s="1"/>
  <c r="N539" s="1"/>
  <c r="P539" s="1"/>
  <c r="R539" s="1"/>
  <c r="T539" s="1"/>
  <c r="F460"/>
  <c r="H460" s="1"/>
  <c r="J460" s="1"/>
  <c r="L460" s="1"/>
  <c r="N460" s="1"/>
  <c r="P460" s="1"/>
  <c r="R460" s="1"/>
  <c r="T460" s="1"/>
  <c r="F1258"/>
  <c r="F1257" s="1"/>
  <c r="F626"/>
  <c r="H626" s="1"/>
  <c r="J626" s="1"/>
  <c r="L626" s="1"/>
  <c r="N626" s="1"/>
  <c r="P626" s="1"/>
  <c r="R626" s="1"/>
  <c r="T626" s="1"/>
  <c r="F1498"/>
  <c r="H1499"/>
  <c r="J1499" s="1"/>
  <c r="L1499" s="1"/>
  <c r="N1499" s="1"/>
  <c r="P1499" s="1"/>
  <c r="R1499" s="1"/>
  <c r="T1499" s="1"/>
  <c r="H948"/>
  <c r="J948" s="1"/>
  <c r="L948" s="1"/>
  <c r="N948" s="1"/>
  <c r="P948" s="1"/>
  <c r="R948" s="1"/>
  <c r="T948" s="1"/>
  <c r="H760"/>
  <c r="J760" s="1"/>
  <c r="L760" s="1"/>
  <c r="N760" s="1"/>
  <c r="P760" s="1"/>
  <c r="R760" s="1"/>
  <c r="T760" s="1"/>
  <c r="F759"/>
  <c r="H759" s="1"/>
  <c r="J759" s="1"/>
  <c r="L759" s="1"/>
  <c r="N759" s="1"/>
  <c r="P759" s="1"/>
  <c r="R759" s="1"/>
  <c r="T759" s="1"/>
  <c r="H52"/>
  <c r="J52" s="1"/>
  <c r="L52" s="1"/>
  <c r="N52" s="1"/>
  <c r="P52" s="1"/>
  <c r="R52" s="1"/>
  <c r="T52" s="1"/>
  <c r="F973"/>
  <c r="H973" s="1"/>
  <c r="J973" s="1"/>
  <c r="L973" s="1"/>
  <c r="N973" s="1"/>
  <c r="P973" s="1"/>
  <c r="R973" s="1"/>
  <c r="T973" s="1"/>
  <c r="H974"/>
  <c r="J974" s="1"/>
  <c r="L974" s="1"/>
  <c r="N974" s="1"/>
  <c r="P974" s="1"/>
  <c r="R974" s="1"/>
  <c r="T974" s="1"/>
  <c r="F150"/>
  <c r="H151"/>
  <c r="J151" s="1"/>
  <c r="L151" s="1"/>
  <c r="N151" s="1"/>
  <c r="P151" s="1"/>
  <c r="R151" s="1"/>
  <c r="T151" s="1"/>
  <c r="H1078"/>
  <c r="J1078" s="1"/>
  <c r="L1078" s="1"/>
  <c r="N1078" s="1"/>
  <c r="P1078" s="1"/>
  <c r="R1078" s="1"/>
  <c r="T1078" s="1"/>
  <c r="F1077"/>
  <c r="H1077" s="1"/>
  <c r="J1077" s="1"/>
  <c r="L1077" s="1"/>
  <c r="N1077" s="1"/>
  <c r="P1077" s="1"/>
  <c r="R1077" s="1"/>
  <c r="T1077" s="1"/>
  <c r="F1000"/>
  <c r="H1000" s="1"/>
  <c r="J1000" s="1"/>
  <c r="L1000" s="1"/>
  <c r="N1000" s="1"/>
  <c r="P1000" s="1"/>
  <c r="R1000" s="1"/>
  <c r="T1000" s="1"/>
  <c r="H1001"/>
  <c r="J1001" s="1"/>
  <c r="L1001" s="1"/>
  <c r="N1001" s="1"/>
  <c r="P1001" s="1"/>
  <c r="R1001" s="1"/>
  <c r="T1001" s="1"/>
  <c r="H131"/>
  <c r="J131" s="1"/>
  <c r="L131" s="1"/>
  <c r="N131" s="1"/>
  <c r="P131" s="1"/>
  <c r="R131" s="1"/>
  <c r="T131" s="1"/>
  <c r="F130"/>
  <c r="H130" s="1"/>
  <c r="J130" s="1"/>
  <c r="L130" s="1"/>
  <c r="N130" s="1"/>
  <c r="P130" s="1"/>
  <c r="R130" s="1"/>
  <c r="T130" s="1"/>
  <c r="F1014"/>
  <c r="H1014" s="1"/>
  <c r="J1014" s="1"/>
  <c r="L1014" s="1"/>
  <c r="N1014" s="1"/>
  <c r="P1014" s="1"/>
  <c r="R1014" s="1"/>
  <c r="T1014" s="1"/>
  <c r="H1015"/>
  <c r="J1015" s="1"/>
  <c r="L1015" s="1"/>
  <c r="N1015" s="1"/>
  <c r="P1015" s="1"/>
  <c r="R1015" s="1"/>
  <c r="T1015" s="1"/>
  <c r="F1514"/>
  <c r="H1520"/>
  <c r="J1520" s="1"/>
  <c r="L1520" s="1"/>
  <c r="N1520" s="1"/>
  <c r="P1520" s="1"/>
  <c r="R1520" s="1"/>
  <c r="T1520" s="1"/>
  <c r="H380"/>
  <c r="J380" s="1"/>
  <c r="L380" s="1"/>
  <c r="N380" s="1"/>
  <c r="P380" s="1"/>
  <c r="R380" s="1"/>
  <c r="T380" s="1"/>
  <c r="H892" i="5"/>
  <c r="I893"/>
  <c r="K893" s="1"/>
  <c r="M893" s="1"/>
  <c r="O893" s="1"/>
  <c r="Q893" s="1"/>
  <c r="S893" s="1"/>
  <c r="U893" s="1"/>
  <c r="G1013" i="6"/>
  <c r="H414" i="5"/>
  <c r="E29" i="1"/>
  <c r="G1416" i="6"/>
  <c r="H1416" s="1"/>
  <c r="J1416" s="1"/>
  <c r="L1416" s="1"/>
  <c r="N1416" s="1"/>
  <c r="P1416" s="1"/>
  <c r="R1416" s="1"/>
  <c r="T1416" s="1"/>
  <c r="H72" i="5"/>
  <c r="E43" i="1"/>
  <c r="H1622" i="6"/>
  <c r="J1622" s="1"/>
  <c r="L1622" s="1"/>
  <c r="N1622" s="1"/>
  <c r="P1622" s="1"/>
  <c r="R1622" s="1"/>
  <c r="T1622" s="1"/>
  <c r="G1513"/>
  <c r="G620"/>
  <c r="H621"/>
  <c r="J621" s="1"/>
  <c r="L621" s="1"/>
  <c r="N621" s="1"/>
  <c r="P621" s="1"/>
  <c r="R621" s="1"/>
  <c r="T621" s="1"/>
  <c r="H1397"/>
  <c r="J1397" s="1"/>
  <c r="L1397" s="1"/>
  <c r="N1397" s="1"/>
  <c r="P1397" s="1"/>
  <c r="R1397" s="1"/>
  <c r="T1397" s="1"/>
  <c r="H1372"/>
  <c r="J1372" s="1"/>
  <c r="L1372" s="1"/>
  <c r="N1372" s="1"/>
  <c r="P1372" s="1"/>
  <c r="R1372" s="1"/>
  <c r="T1372" s="1"/>
  <c r="G1365"/>
  <c r="G1465"/>
  <c r="H1472"/>
  <c r="J1472" s="1"/>
  <c r="L1472" s="1"/>
  <c r="N1472" s="1"/>
  <c r="P1472" s="1"/>
  <c r="R1472" s="1"/>
  <c r="T1472" s="1"/>
  <c r="H1338"/>
  <c r="J1338" s="1"/>
  <c r="L1338" s="1"/>
  <c r="N1338" s="1"/>
  <c r="P1338" s="1"/>
  <c r="R1338" s="1"/>
  <c r="T1338" s="1"/>
  <c r="G1326"/>
  <c r="H1326" s="1"/>
  <c r="J1326" s="1"/>
  <c r="L1326" s="1"/>
  <c r="N1326" s="1"/>
  <c r="P1326" s="1"/>
  <c r="R1326" s="1"/>
  <c r="T1326" s="1"/>
  <c r="E27" i="1"/>
  <c r="F27" s="1"/>
  <c r="H27" s="1"/>
  <c r="J27" s="1"/>
  <c r="L27" s="1"/>
  <c r="N27" s="1"/>
  <c r="P27" s="1"/>
  <c r="R27" s="1"/>
  <c r="F28"/>
  <c r="H28" s="1"/>
  <c r="J28" s="1"/>
  <c r="L28" s="1"/>
  <c r="N28" s="1"/>
  <c r="P28" s="1"/>
  <c r="R28" s="1"/>
  <c r="F20"/>
  <c r="H20" s="1"/>
  <c r="J20" s="1"/>
  <c r="L20" s="1"/>
  <c r="N20" s="1"/>
  <c r="P20" s="1"/>
  <c r="R20" s="1"/>
  <c r="H1504" i="5"/>
  <c r="I1546"/>
  <c r="K1546" s="1"/>
  <c r="M1546" s="1"/>
  <c r="O1546" s="1"/>
  <c r="Q1546" s="1"/>
  <c r="S1546" s="1"/>
  <c r="U1546" s="1"/>
  <c r="S862" l="1"/>
  <c r="U862" s="1"/>
  <c r="N45" i="1"/>
  <c r="P45" s="1"/>
  <c r="R45" s="1"/>
  <c r="L1404" i="6"/>
  <c r="J1403"/>
  <c r="H1258"/>
  <c r="J1258" s="1"/>
  <c r="L1258" s="1"/>
  <c r="N1258" s="1"/>
  <c r="P1258" s="1"/>
  <c r="R1258" s="1"/>
  <c r="T1258" s="1"/>
  <c r="F44" i="1"/>
  <c r="H44" s="1"/>
  <c r="J44" s="1"/>
  <c r="L44" s="1"/>
  <c r="N44" s="1"/>
  <c r="P44" s="1"/>
  <c r="R44" s="1"/>
  <c r="G1714" i="5"/>
  <c r="I1724"/>
  <c r="K1724" s="1"/>
  <c r="M1724" s="1"/>
  <c r="O1724" s="1"/>
  <c r="Q1724" s="1"/>
  <c r="S1724" s="1"/>
  <c r="U1724" s="1"/>
  <c r="D42" i="1"/>
  <c r="F42" s="1"/>
  <c r="H42" s="1"/>
  <c r="J42" s="1"/>
  <c r="L42" s="1"/>
  <c r="N42" s="1"/>
  <c r="P42" s="1"/>
  <c r="R42" s="1"/>
  <c r="I1273" i="5"/>
  <c r="K1273" s="1"/>
  <c r="M1273" s="1"/>
  <c r="O1273" s="1"/>
  <c r="Q1273" s="1"/>
  <c r="S1273" s="1"/>
  <c r="U1273" s="1"/>
  <c r="D62" i="1"/>
  <c r="G1230" i="5"/>
  <c r="F21" i="1"/>
  <c r="H21" s="1"/>
  <c r="J21" s="1"/>
  <c r="L21" s="1"/>
  <c r="N21" s="1"/>
  <c r="P21" s="1"/>
  <c r="R21" s="1"/>
  <c r="D22"/>
  <c r="F22" s="1"/>
  <c r="H22" s="1"/>
  <c r="J22" s="1"/>
  <c r="L22" s="1"/>
  <c r="N22" s="1"/>
  <c r="P22" s="1"/>
  <c r="R22" s="1"/>
  <c r="G22" i="5"/>
  <c r="G21" s="1"/>
  <c r="I30"/>
  <c r="K30" s="1"/>
  <c r="M30" s="1"/>
  <c r="O30" s="1"/>
  <c r="Q30" s="1"/>
  <c r="S30" s="1"/>
  <c r="U30" s="1"/>
  <c r="I585"/>
  <c r="K585" s="1"/>
  <c r="M585" s="1"/>
  <c r="O585" s="1"/>
  <c r="Q585" s="1"/>
  <c r="S585" s="1"/>
  <c r="U585" s="1"/>
  <c r="D58" i="1"/>
  <c r="F58" s="1"/>
  <c r="H58" s="1"/>
  <c r="J58" s="1"/>
  <c r="L58" s="1"/>
  <c r="N58" s="1"/>
  <c r="P58" s="1"/>
  <c r="R58" s="1"/>
  <c r="I1407" i="5"/>
  <c r="K1407" s="1"/>
  <c r="M1407" s="1"/>
  <c r="O1407" s="1"/>
  <c r="Q1407" s="1"/>
  <c r="S1407" s="1"/>
  <c r="U1407" s="1"/>
  <c r="G1317"/>
  <c r="I1317" s="1"/>
  <c r="K1317" s="1"/>
  <c r="M1317" s="1"/>
  <c r="O1317" s="1"/>
  <c r="Q1317" s="1"/>
  <c r="S1317" s="1"/>
  <c r="U1317" s="1"/>
  <c r="G548"/>
  <c r="I549"/>
  <c r="K549" s="1"/>
  <c r="M549" s="1"/>
  <c r="O549" s="1"/>
  <c r="Q549" s="1"/>
  <c r="S549" s="1"/>
  <c r="U549" s="1"/>
  <c r="D34" i="1"/>
  <c r="G818" i="5"/>
  <c r="I818" s="1"/>
  <c r="K818" s="1"/>
  <c r="M818" s="1"/>
  <c r="O818" s="1"/>
  <c r="Q818" s="1"/>
  <c r="S818" s="1"/>
  <c r="U818" s="1"/>
  <c r="I819"/>
  <c r="K819" s="1"/>
  <c r="M819" s="1"/>
  <c r="O819" s="1"/>
  <c r="Q819" s="1"/>
  <c r="S819" s="1"/>
  <c r="U819" s="1"/>
  <c r="F66" i="1"/>
  <c r="H66" s="1"/>
  <c r="J66" s="1"/>
  <c r="L66" s="1"/>
  <c r="N66" s="1"/>
  <c r="P66" s="1"/>
  <c r="R66" s="1"/>
  <c r="D65"/>
  <c r="F65" s="1"/>
  <c r="H65" s="1"/>
  <c r="J65" s="1"/>
  <c r="L65" s="1"/>
  <c r="N65" s="1"/>
  <c r="P65" s="1"/>
  <c r="R65" s="1"/>
  <c r="D35"/>
  <c r="F35" s="1"/>
  <c r="H35" s="1"/>
  <c r="J35" s="1"/>
  <c r="L35" s="1"/>
  <c r="N35" s="1"/>
  <c r="P35" s="1"/>
  <c r="R35" s="1"/>
  <c r="F36"/>
  <c r="H36" s="1"/>
  <c r="J36" s="1"/>
  <c r="L36" s="1"/>
  <c r="N36" s="1"/>
  <c r="P36" s="1"/>
  <c r="R36" s="1"/>
  <c r="D56"/>
  <c r="D47"/>
  <c r="F47" s="1"/>
  <c r="H47" s="1"/>
  <c r="J47" s="1"/>
  <c r="L47" s="1"/>
  <c r="N47" s="1"/>
  <c r="P47" s="1"/>
  <c r="R47" s="1"/>
  <c r="I707" i="5"/>
  <c r="K707" s="1"/>
  <c r="M707" s="1"/>
  <c r="O707" s="1"/>
  <c r="Q707" s="1"/>
  <c r="S707" s="1"/>
  <c r="U707" s="1"/>
  <c r="F41" i="1"/>
  <c r="H41" s="1"/>
  <c r="J41" s="1"/>
  <c r="L41" s="1"/>
  <c r="N41" s="1"/>
  <c r="P41" s="1"/>
  <c r="R41" s="1"/>
  <c r="G414" i="5"/>
  <c r="I414" s="1"/>
  <c r="K414" s="1"/>
  <c r="M414" s="1"/>
  <c r="O414" s="1"/>
  <c r="Q414" s="1"/>
  <c r="S414" s="1"/>
  <c r="U414" s="1"/>
  <c r="I477"/>
  <c r="K477" s="1"/>
  <c r="M477" s="1"/>
  <c r="O477" s="1"/>
  <c r="Q477" s="1"/>
  <c r="S477" s="1"/>
  <c r="U477" s="1"/>
  <c r="F49" i="1"/>
  <c r="H49" s="1"/>
  <c r="J49" s="1"/>
  <c r="L49" s="1"/>
  <c r="N49" s="1"/>
  <c r="P49" s="1"/>
  <c r="R49" s="1"/>
  <c r="G1483" i="5"/>
  <c r="D26" i="1"/>
  <c r="D51"/>
  <c r="F51" s="1"/>
  <c r="H51" s="1"/>
  <c r="J51" s="1"/>
  <c r="L51" s="1"/>
  <c r="N51" s="1"/>
  <c r="P51" s="1"/>
  <c r="R51" s="1"/>
  <c r="F52"/>
  <c r="H52" s="1"/>
  <c r="J52" s="1"/>
  <c r="L52" s="1"/>
  <c r="N52" s="1"/>
  <c r="P52" s="1"/>
  <c r="R52" s="1"/>
  <c r="I861" i="5"/>
  <c r="K861" s="1"/>
  <c r="M861" s="1"/>
  <c r="O861" s="1"/>
  <c r="Q861" s="1"/>
  <c r="S861" s="1"/>
  <c r="U861" s="1"/>
  <c r="D24" i="1"/>
  <c r="F24" s="1"/>
  <c r="H24" s="1"/>
  <c r="J24" s="1"/>
  <c r="L24" s="1"/>
  <c r="N24" s="1"/>
  <c r="P24" s="1"/>
  <c r="R24" s="1"/>
  <c r="G860" i="5"/>
  <c r="D50" i="1"/>
  <c r="F50" s="1"/>
  <c r="H50" s="1"/>
  <c r="J50" s="1"/>
  <c r="L50" s="1"/>
  <c r="I1059" i="5"/>
  <c r="K1059" s="1"/>
  <c r="M1059" s="1"/>
  <c r="O1059" s="1"/>
  <c r="Q1059" s="1"/>
  <c r="S1059" s="1"/>
  <c r="U1059" s="1"/>
  <c r="I1296"/>
  <c r="K1296" s="1"/>
  <c r="M1296" s="1"/>
  <c r="O1296" s="1"/>
  <c r="Q1296" s="1"/>
  <c r="S1296" s="1"/>
  <c r="U1296" s="1"/>
  <c r="G392"/>
  <c r="I392" s="1"/>
  <c r="K392" s="1"/>
  <c r="M392" s="1"/>
  <c r="O392" s="1"/>
  <c r="Q392" s="1"/>
  <c r="S392" s="1"/>
  <c r="U392" s="1"/>
  <c r="I393"/>
  <c r="K393" s="1"/>
  <c r="M393" s="1"/>
  <c r="O393" s="1"/>
  <c r="Q393" s="1"/>
  <c r="S393" s="1"/>
  <c r="U393" s="1"/>
  <c r="G966"/>
  <c r="F235" i="6"/>
  <c r="H235" s="1"/>
  <c r="J235" s="1"/>
  <c r="L235" s="1"/>
  <c r="N235" s="1"/>
  <c r="P235" s="1"/>
  <c r="R235" s="1"/>
  <c r="T235" s="1"/>
  <c r="F1013"/>
  <c r="H1013" s="1"/>
  <c r="J1013" s="1"/>
  <c r="L1013" s="1"/>
  <c r="N1013" s="1"/>
  <c r="P1013" s="1"/>
  <c r="R1013" s="1"/>
  <c r="T1013" s="1"/>
  <c r="G1396"/>
  <c r="H1396" s="1"/>
  <c r="J1396" s="1"/>
  <c r="L1396" s="1"/>
  <c r="N1396" s="1"/>
  <c r="P1396" s="1"/>
  <c r="R1396" s="1"/>
  <c r="T1396" s="1"/>
  <c r="F947"/>
  <c r="H947" s="1"/>
  <c r="J947" s="1"/>
  <c r="L947" s="1"/>
  <c r="N947" s="1"/>
  <c r="P947" s="1"/>
  <c r="R947" s="1"/>
  <c r="T947" s="1"/>
  <c r="F1513"/>
  <c r="F1512" s="1"/>
  <c r="H1514"/>
  <c r="J1514" s="1"/>
  <c r="L1514" s="1"/>
  <c r="N1514" s="1"/>
  <c r="P1514" s="1"/>
  <c r="R1514" s="1"/>
  <c r="T1514" s="1"/>
  <c r="H1498"/>
  <c r="J1498" s="1"/>
  <c r="L1498" s="1"/>
  <c r="N1498" s="1"/>
  <c r="P1498" s="1"/>
  <c r="R1498" s="1"/>
  <c r="T1498" s="1"/>
  <c r="F1464"/>
  <c r="H1102"/>
  <c r="J1102" s="1"/>
  <c r="L1102" s="1"/>
  <c r="N1102" s="1"/>
  <c r="P1102" s="1"/>
  <c r="R1102" s="1"/>
  <c r="T1102" s="1"/>
  <c r="F1101"/>
  <c r="H1101" s="1"/>
  <c r="J1101" s="1"/>
  <c r="L1101" s="1"/>
  <c r="N1101" s="1"/>
  <c r="P1101" s="1"/>
  <c r="H150"/>
  <c r="J150" s="1"/>
  <c r="L150" s="1"/>
  <c r="N150" s="1"/>
  <c r="P150" s="1"/>
  <c r="R150" s="1"/>
  <c r="T150" s="1"/>
  <c r="F149"/>
  <c r="H149" s="1"/>
  <c r="J149" s="1"/>
  <c r="L149" s="1"/>
  <c r="N149" s="1"/>
  <c r="P149" s="1"/>
  <c r="R149" s="1"/>
  <c r="T149" s="1"/>
  <c r="F980"/>
  <c r="H980" s="1"/>
  <c r="J980" s="1"/>
  <c r="L980" s="1"/>
  <c r="N980" s="1"/>
  <c r="P980" s="1"/>
  <c r="R980" s="1"/>
  <c r="T980" s="1"/>
  <c r="H981"/>
  <c r="J981" s="1"/>
  <c r="L981" s="1"/>
  <c r="N981" s="1"/>
  <c r="P981" s="1"/>
  <c r="R981" s="1"/>
  <c r="T981" s="1"/>
  <c r="I892" i="5"/>
  <c r="K892" s="1"/>
  <c r="M892" s="1"/>
  <c r="O892" s="1"/>
  <c r="Q892" s="1"/>
  <c r="S892" s="1"/>
  <c r="U892" s="1"/>
  <c r="H859"/>
  <c r="G1257" i="6"/>
  <c r="H1257" s="1"/>
  <c r="J1257" s="1"/>
  <c r="L1257" s="1"/>
  <c r="N1257" s="1"/>
  <c r="P1257" s="1"/>
  <c r="R1257" s="1"/>
  <c r="T1257" s="1"/>
  <c r="G1464"/>
  <c r="H1465"/>
  <c r="J1465" s="1"/>
  <c r="L1465" s="1"/>
  <c r="N1465" s="1"/>
  <c r="P1465" s="1"/>
  <c r="R1465" s="1"/>
  <c r="T1465" s="1"/>
  <c r="H620"/>
  <c r="J620" s="1"/>
  <c r="L620" s="1"/>
  <c r="N620" s="1"/>
  <c r="P620" s="1"/>
  <c r="R620" s="1"/>
  <c r="T620" s="1"/>
  <c r="G607"/>
  <c r="H1365"/>
  <c r="J1365" s="1"/>
  <c r="L1365" s="1"/>
  <c r="N1365" s="1"/>
  <c r="P1365" s="1"/>
  <c r="R1365" s="1"/>
  <c r="T1365" s="1"/>
  <c r="G1512"/>
  <c r="I72" i="5"/>
  <c r="K72" s="1"/>
  <c r="M72" s="1"/>
  <c r="O72" s="1"/>
  <c r="Q72" s="1"/>
  <c r="S72" s="1"/>
  <c r="U72" s="1"/>
  <c r="E26" i="1"/>
  <c r="H22" i="5"/>
  <c r="I1504"/>
  <c r="K1504" s="1"/>
  <c r="M1504" s="1"/>
  <c r="O1504" s="1"/>
  <c r="Q1504" s="1"/>
  <c r="S1504" s="1"/>
  <c r="U1504" s="1"/>
  <c r="H1483"/>
  <c r="R1101" i="6" l="1"/>
  <c r="T1101" s="1"/>
  <c r="N50" i="1"/>
  <c r="P50" s="1"/>
  <c r="R50" s="1"/>
  <c r="L1403" i="6"/>
  <c r="N1404"/>
  <c r="G1288" i="5"/>
  <c r="I1288" s="1"/>
  <c r="K1288" s="1"/>
  <c r="M1288" s="1"/>
  <c r="O1288" s="1"/>
  <c r="Q1288" s="1"/>
  <c r="S1288" s="1"/>
  <c r="U1288" s="1"/>
  <c r="D40" i="1"/>
  <c r="F40" s="1"/>
  <c r="H40" s="1"/>
  <c r="J40" s="1"/>
  <c r="L40" s="1"/>
  <c r="N40" s="1"/>
  <c r="P40" s="1"/>
  <c r="R40" s="1"/>
  <c r="G859" i="5"/>
  <c r="I860"/>
  <c r="K860" s="1"/>
  <c r="M860" s="1"/>
  <c r="O860" s="1"/>
  <c r="Q860" s="1"/>
  <c r="S860" s="1"/>
  <c r="U860" s="1"/>
  <c r="F34" i="1"/>
  <c r="H34" s="1"/>
  <c r="J34" s="1"/>
  <c r="L34" s="1"/>
  <c r="N34" s="1"/>
  <c r="P34" s="1"/>
  <c r="R34" s="1"/>
  <c r="D29"/>
  <c r="F29" s="1"/>
  <c r="H29" s="1"/>
  <c r="J29" s="1"/>
  <c r="L29" s="1"/>
  <c r="N29" s="1"/>
  <c r="P29" s="1"/>
  <c r="R29" s="1"/>
  <c r="G908" i="5"/>
  <c r="I908" s="1"/>
  <c r="K908" s="1"/>
  <c r="M908" s="1"/>
  <c r="O908" s="1"/>
  <c r="Q908" s="1"/>
  <c r="S908" s="1"/>
  <c r="U908" s="1"/>
  <c r="I966"/>
  <c r="K966" s="1"/>
  <c r="M966" s="1"/>
  <c r="O966" s="1"/>
  <c r="Q966" s="1"/>
  <c r="S966" s="1"/>
  <c r="U966" s="1"/>
  <c r="G572"/>
  <c r="I572" s="1"/>
  <c r="K572" s="1"/>
  <c r="M572" s="1"/>
  <c r="O572" s="1"/>
  <c r="Q572" s="1"/>
  <c r="S572" s="1"/>
  <c r="U572" s="1"/>
  <c r="D19" i="1"/>
  <c r="D43"/>
  <c r="F43" s="1"/>
  <c r="H43" s="1"/>
  <c r="J43" s="1"/>
  <c r="L43" s="1"/>
  <c r="N43" s="1"/>
  <c r="P43" s="1"/>
  <c r="R43" s="1"/>
  <c r="G547" i="5"/>
  <c r="I547" s="1"/>
  <c r="K547" s="1"/>
  <c r="M547" s="1"/>
  <c r="O547" s="1"/>
  <c r="Q547" s="1"/>
  <c r="S547" s="1"/>
  <c r="U547" s="1"/>
  <c r="I548"/>
  <c r="K548" s="1"/>
  <c r="M548" s="1"/>
  <c r="O548" s="1"/>
  <c r="Q548" s="1"/>
  <c r="S548" s="1"/>
  <c r="U548" s="1"/>
  <c r="F62" i="1"/>
  <c r="H62" s="1"/>
  <c r="J62" s="1"/>
  <c r="L62" s="1"/>
  <c r="N62" s="1"/>
  <c r="P62" s="1"/>
  <c r="R62" s="1"/>
  <c r="D59"/>
  <c r="F59" s="1"/>
  <c r="H59" s="1"/>
  <c r="J59" s="1"/>
  <c r="L59" s="1"/>
  <c r="N59" s="1"/>
  <c r="P59" s="1"/>
  <c r="R59" s="1"/>
  <c r="G1713" i="5"/>
  <c r="I1713" s="1"/>
  <c r="K1713" s="1"/>
  <c r="M1713" s="1"/>
  <c r="O1713" s="1"/>
  <c r="Q1713" s="1"/>
  <c r="S1713" s="1"/>
  <c r="U1713" s="1"/>
  <c r="I1714"/>
  <c r="K1714" s="1"/>
  <c r="M1714" s="1"/>
  <c r="O1714" s="1"/>
  <c r="Q1714" s="1"/>
  <c r="S1714" s="1"/>
  <c r="U1714" s="1"/>
  <c r="D48" i="1"/>
  <c r="F48" s="1"/>
  <c r="H48" s="1"/>
  <c r="J48" s="1"/>
  <c r="L48" s="1"/>
  <c r="N48" s="1"/>
  <c r="P48" s="1"/>
  <c r="R48" s="1"/>
  <c r="F56"/>
  <c r="H56" s="1"/>
  <c r="J56" s="1"/>
  <c r="L56" s="1"/>
  <c r="N56" s="1"/>
  <c r="P56" s="1"/>
  <c r="R56" s="1"/>
  <c r="D53"/>
  <c r="F53" s="1"/>
  <c r="H53" s="1"/>
  <c r="J53" s="1"/>
  <c r="L53" s="1"/>
  <c r="N53" s="1"/>
  <c r="P53" s="1"/>
  <c r="R53" s="1"/>
  <c r="G1194" i="5"/>
  <c r="I1194" s="1"/>
  <c r="K1194" s="1"/>
  <c r="M1194" s="1"/>
  <c r="O1194" s="1"/>
  <c r="Q1194" s="1"/>
  <c r="S1194" s="1"/>
  <c r="U1194" s="1"/>
  <c r="I1230"/>
  <c r="K1230" s="1"/>
  <c r="M1230" s="1"/>
  <c r="O1230" s="1"/>
  <c r="Q1230" s="1"/>
  <c r="S1230" s="1"/>
  <c r="U1230" s="1"/>
  <c r="I859"/>
  <c r="K859" s="1"/>
  <c r="M859" s="1"/>
  <c r="O859" s="1"/>
  <c r="Q859" s="1"/>
  <c r="S859" s="1"/>
  <c r="U859" s="1"/>
  <c r="H1513" i="6"/>
  <c r="J1513" s="1"/>
  <c r="L1513" s="1"/>
  <c r="N1513" s="1"/>
  <c r="P1513" s="1"/>
  <c r="R1513" s="1"/>
  <c r="T1513" s="1"/>
  <c r="H1512"/>
  <c r="J1512" s="1"/>
  <c r="L1512" s="1"/>
  <c r="N1512" s="1"/>
  <c r="P1512" s="1"/>
  <c r="R1512" s="1"/>
  <c r="T1512" s="1"/>
  <c r="G1364"/>
  <c r="H1364" s="1"/>
  <c r="J1364" s="1"/>
  <c r="L1364" s="1"/>
  <c r="N1364" s="1"/>
  <c r="P1364" s="1"/>
  <c r="R1364" s="1"/>
  <c r="T1364" s="1"/>
  <c r="H1464"/>
  <c r="J1464" s="1"/>
  <c r="L1464" s="1"/>
  <c r="N1464" s="1"/>
  <c r="P1464" s="1"/>
  <c r="R1464" s="1"/>
  <c r="T1464" s="1"/>
  <c r="F18"/>
  <c r="F26" i="1"/>
  <c r="H26" s="1"/>
  <c r="J26" s="1"/>
  <c r="L26" s="1"/>
  <c r="N26" s="1"/>
  <c r="P26" s="1"/>
  <c r="R26" s="1"/>
  <c r="E19"/>
  <c r="I22" i="5"/>
  <c r="K22" s="1"/>
  <c r="M22" s="1"/>
  <c r="O22" s="1"/>
  <c r="Q22" s="1"/>
  <c r="S22" s="1"/>
  <c r="U22" s="1"/>
  <c r="H21"/>
  <c r="I21" s="1"/>
  <c r="K21" s="1"/>
  <c r="M21" s="1"/>
  <c r="O21" s="1"/>
  <c r="Q21" s="1"/>
  <c r="S21" s="1"/>
  <c r="U21" s="1"/>
  <c r="H607" i="6"/>
  <c r="J607" s="1"/>
  <c r="L607" s="1"/>
  <c r="N607" s="1"/>
  <c r="P607" s="1"/>
  <c r="R607" s="1"/>
  <c r="T607" s="1"/>
  <c r="I1483" i="5"/>
  <c r="K1483" s="1"/>
  <c r="M1483" s="1"/>
  <c r="O1483" s="1"/>
  <c r="Q1483" s="1"/>
  <c r="S1483" s="1"/>
  <c r="U1483" s="1"/>
  <c r="U1742" l="1"/>
  <c r="N1403" i="6"/>
  <c r="P1403" s="1"/>
  <c r="R1403" s="1"/>
  <c r="T1403" s="1"/>
  <c r="P1404"/>
  <c r="R1404" s="1"/>
  <c r="T1404" s="1"/>
  <c r="G1812"/>
  <c r="G1742" i="5"/>
  <c r="D67" i="1"/>
  <c r="H18" i="6"/>
  <c r="J18" s="1"/>
  <c r="L18" s="1"/>
  <c r="N18" s="1"/>
  <c r="P18" s="1"/>
  <c r="R18" s="1"/>
  <c r="T18" s="1"/>
  <c r="T1812" s="1"/>
  <c r="F1812"/>
  <c r="H1742" i="5"/>
  <c r="F19" i="1"/>
  <c r="H19" s="1"/>
  <c r="J19" s="1"/>
  <c r="L19" s="1"/>
  <c r="N19" s="1"/>
  <c r="P19" s="1"/>
  <c r="R19" s="1"/>
  <c r="R67" s="1"/>
  <c r="E67"/>
  <c r="H1812" i="6" l="1"/>
  <c r="J1812" s="1"/>
  <c r="L1812" s="1"/>
  <c r="I1742" i="5"/>
  <c r="K1742" s="1"/>
  <c r="F67" i="1"/>
  <c r="N1812" i="6" l="1"/>
  <c r="P1812" s="1"/>
  <c r="R1812" s="1"/>
  <c r="M1742" i="5"/>
  <c r="O1742" s="1"/>
  <c r="Q1742" s="1"/>
  <c r="S1742" s="1"/>
  <c r="H67" i="1"/>
  <c r="J67" s="1"/>
  <c r="R1814" i="6" l="1"/>
  <c r="L67" i="1"/>
  <c r="N67" s="1"/>
  <c r="P67" s="1"/>
  <c r="P70" l="1"/>
  <c r="P69"/>
  <c r="A30" i="6"/>
  <c r="A752" i="5" l="1"/>
  <c r="A1495" i="6"/>
  <c r="A202" i="5"/>
  <c r="A259" i="6"/>
  <c r="A748" i="5"/>
  <c r="A640" i="6"/>
  <c r="A1385"/>
  <c r="A1453"/>
  <c r="A1629" i="5"/>
  <c r="A296"/>
  <c r="A1326" i="6"/>
  <c r="A676" i="5"/>
  <c r="A1082" i="6"/>
  <c r="A287"/>
  <c r="A257" i="5"/>
  <c r="A770" i="6"/>
  <c r="A990" i="5"/>
  <c r="A907"/>
  <c r="A905" i="6"/>
  <c r="A1610"/>
  <c r="A1079" i="5"/>
  <c r="A663" i="6"/>
  <c r="A1237" i="5"/>
  <c r="A1026" i="6"/>
  <c r="A1253" i="5"/>
  <c r="A884" i="6"/>
  <c r="A459" i="5"/>
  <c r="A956" i="6"/>
  <c r="A109"/>
  <c r="A911" i="5"/>
  <c r="A740"/>
  <c r="A1269" i="6"/>
  <c r="A1746"/>
  <c r="A536"/>
  <c r="A118" i="5"/>
  <c r="A282"/>
  <c r="A1033" i="6"/>
  <c r="A839" i="5"/>
  <c r="A724" i="6"/>
  <c r="A498"/>
  <c r="A273" i="5"/>
  <c r="A937" i="6"/>
  <c r="A427"/>
  <c r="A73" i="5"/>
  <c r="A813"/>
  <c r="A621" i="6"/>
  <c r="A239" i="5"/>
  <c r="A920" i="6"/>
  <c r="A1221" i="5"/>
  <c r="A858"/>
  <c r="A403"/>
  <c r="A355" i="6"/>
  <c r="A361" i="5"/>
  <c r="A1060" i="6"/>
  <c r="A887"/>
  <c r="A684" i="5"/>
  <c r="A861" i="6"/>
  <c r="A648" i="5"/>
  <c r="A905"/>
  <c r="A225" i="6"/>
  <c r="A259" i="5"/>
  <c r="A675" i="6"/>
  <c r="A988"/>
  <c r="A1579"/>
  <c r="A459"/>
  <c r="A389" i="5"/>
  <c r="A710" i="6"/>
  <c r="A1012"/>
  <c r="A1464" i="5"/>
  <c r="A1607" i="6"/>
  <c r="A1409"/>
  <c r="A1497" i="5"/>
  <c r="A535" i="6"/>
  <c r="A61"/>
  <c r="A27" i="5"/>
  <c r="A1397" i="6"/>
  <c r="A258"/>
  <c r="A1459" i="5"/>
  <c r="A761" i="6"/>
  <c r="A944"/>
  <c r="A223" i="5"/>
  <c r="A771"/>
  <c r="A219"/>
  <c r="A636"/>
  <c r="A1361"/>
  <c r="A308" i="6"/>
  <c r="A1462"/>
  <c r="A1469"/>
  <c r="A938"/>
  <c r="A534" i="5"/>
  <c r="A540" i="6"/>
  <c r="A377" i="5"/>
  <c r="A464" i="6"/>
  <c r="A480"/>
  <c r="A1367" i="5"/>
  <c r="A1725" i="6"/>
  <c r="A527"/>
  <c r="A1235" i="5"/>
  <c r="A561"/>
  <c r="A906"/>
  <c r="A576" i="6"/>
  <c r="A1212" i="5"/>
  <c r="A1229"/>
  <c r="A1447"/>
  <c r="A490"/>
  <c r="A1471"/>
  <c r="A701"/>
  <c r="A518" i="6"/>
  <c r="A295" i="5"/>
  <c r="A1319" i="6"/>
  <c r="A1560"/>
  <c r="A99" i="5"/>
  <c r="A1777" i="6"/>
  <c r="A363"/>
  <c r="A163" i="5"/>
  <c r="A80" i="6"/>
  <c r="A1032"/>
  <c r="A1593" i="5"/>
  <c r="A1390"/>
  <c r="A158" i="6"/>
  <c r="A551" i="5"/>
  <c r="A1276"/>
  <c r="A66" i="6"/>
  <c r="A605"/>
  <c r="A788"/>
  <c r="A733"/>
  <c r="A1583"/>
  <c r="A306"/>
  <c r="A1089" i="5"/>
  <c r="A1421"/>
  <c r="A311"/>
  <c r="A481" i="6"/>
  <c r="A860"/>
  <c r="A916" i="5"/>
  <c r="A74"/>
  <c r="A1718" i="6"/>
  <c r="A422" i="5"/>
  <c r="A1772" i="6"/>
  <c r="A769" i="5"/>
  <c r="A1808" i="6"/>
  <c r="A1014"/>
  <c r="A103" i="5"/>
  <c r="A717" i="6"/>
  <c r="A136"/>
  <c r="A1001"/>
  <c r="A1053"/>
  <c r="A335" i="5"/>
  <c r="A244" i="6"/>
  <c r="A870" i="5"/>
  <c r="A1425"/>
  <c r="A1245"/>
  <c r="A1713" i="6"/>
  <c r="A721" i="5"/>
  <c r="A1714" i="6"/>
  <c r="A1232"/>
  <c r="A664" i="5"/>
  <c r="A739"/>
  <c r="A1199"/>
  <c r="A466"/>
  <c r="A958"/>
  <c r="A806" i="6"/>
  <c r="A1367"/>
  <c r="A1066" i="5"/>
  <c r="A1734"/>
  <c r="A1002" i="6"/>
  <c r="A352"/>
  <c r="A121" i="5"/>
  <c r="A1404" i="6"/>
  <c r="A212"/>
  <c r="A1616"/>
  <c r="A37" i="5"/>
  <c r="A1034"/>
  <c r="A708"/>
  <c r="A1719"/>
  <c r="A731" i="6"/>
  <c r="A34" i="5"/>
  <c r="A1556" i="6"/>
  <c r="A738"/>
  <c r="A1044"/>
  <c r="A582"/>
  <c r="A1252" i="5"/>
  <c r="A1716" i="6"/>
  <c r="A1184" i="5"/>
  <c r="A1046" i="6"/>
  <c r="A517"/>
  <c r="A198"/>
  <c r="A143" i="5"/>
  <c r="A519"/>
  <c r="A867"/>
  <c r="A819" i="6"/>
  <c r="A579"/>
  <c r="A556" i="5"/>
  <c r="A1280"/>
  <c r="A1437"/>
  <c r="A369"/>
  <c r="A1220"/>
  <c r="A679" i="6"/>
  <c r="A1152"/>
  <c r="A766"/>
  <c r="A1555"/>
  <c r="A1372"/>
  <c r="A1319" i="5"/>
  <c r="A929"/>
  <c r="A1488" i="6"/>
  <c r="A832" i="5"/>
  <c r="A1136" i="6"/>
  <c r="A1084"/>
  <c r="A1244" i="5"/>
  <c r="A135" i="6"/>
  <c r="A1099" i="5"/>
  <c r="A329" i="6"/>
  <c r="A678" i="5"/>
  <c r="A113" i="6"/>
  <c r="A1287" i="5"/>
  <c r="A1082"/>
  <c r="A378"/>
  <c r="A1092"/>
  <c r="A1570" i="6"/>
  <c r="A924"/>
  <c r="A724" i="5"/>
  <c r="A1608" i="6"/>
  <c r="A551"/>
  <c r="A246"/>
  <c r="A1334"/>
  <c r="A409" i="5"/>
  <c r="A1545" i="6"/>
  <c r="A1472" i="5"/>
  <c r="A1092" i="6"/>
  <c r="A1392"/>
  <c r="A1339" i="5"/>
  <c r="A1557"/>
  <c r="A1108"/>
  <c r="A603" i="6"/>
  <c r="A805"/>
  <c r="A526" i="5"/>
  <c r="A988"/>
  <c r="A1643" i="6"/>
  <c r="A745" i="5"/>
  <c r="A1090" i="6"/>
  <c r="A612"/>
  <c r="A250" i="5"/>
  <c r="A1581"/>
  <c r="A1498" i="6"/>
  <c r="A971"/>
  <c r="A641"/>
  <c r="A868" i="5"/>
  <c r="A1144"/>
  <c r="A1117"/>
  <c r="A917" i="6"/>
  <c r="A1628" i="5"/>
  <c r="A1274" i="6"/>
  <c r="A888"/>
  <c r="A420"/>
  <c r="A1652" i="5"/>
  <c r="A47"/>
  <c r="A1548" i="6"/>
  <c r="A848" i="5"/>
  <c r="A1531" i="6"/>
  <c r="A859"/>
  <c r="A1515"/>
  <c r="A107" i="5"/>
  <c r="A229"/>
  <c r="A69" i="6"/>
  <c r="A434"/>
  <c r="A1434"/>
  <c r="A1087"/>
  <c r="A1095"/>
  <c r="A399" i="5"/>
  <c r="A606" i="6"/>
  <c r="A780"/>
  <c r="A1644" i="5"/>
  <c r="A1461" i="6"/>
  <c r="A1751"/>
  <c r="A1428"/>
  <c r="A473"/>
  <c r="A785" i="5"/>
  <c r="A78"/>
  <c r="A1146" i="6"/>
  <c r="A220" i="5"/>
  <c r="A714"/>
  <c r="A1575"/>
  <c r="A647" i="6"/>
  <c r="A63" i="5"/>
  <c r="A28"/>
  <c r="A1519"/>
  <c r="A1302"/>
  <c r="A555" i="6"/>
  <c r="A1576"/>
  <c r="A369"/>
  <c r="A159" i="5"/>
  <c r="A866" i="6"/>
  <c r="A513"/>
  <c r="A418" i="5"/>
  <c r="A572" i="6"/>
  <c r="A545"/>
  <c r="A1279"/>
  <c r="A1723" i="5"/>
  <c r="A574" i="6"/>
  <c r="A1327"/>
  <c r="A1344" i="5"/>
  <c r="A1409"/>
  <c r="A519" i="6"/>
  <c r="A184"/>
  <c r="A981"/>
  <c r="A1756"/>
  <c r="A1664"/>
  <c r="A845" i="5"/>
  <c r="A535"/>
  <c r="A1513"/>
  <c r="A1351"/>
  <c r="A631"/>
  <c r="A1050" i="6"/>
  <c r="A44"/>
  <c r="A1733"/>
  <c r="A477" i="5"/>
  <c r="A1010"/>
  <c r="A882"/>
  <c r="A1665" i="6"/>
  <c r="A1389"/>
  <c r="A314" i="5"/>
  <c r="A330" i="6"/>
  <c r="A496"/>
  <c r="A207" i="5"/>
  <c r="A1141"/>
  <c r="A1203"/>
  <c r="A563" i="6"/>
  <c r="A1771"/>
  <c r="A467" i="5"/>
  <c r="A1455"/>
  <c r="A1626" i="6"/>
  <c r="A673"/>
  <c r="A221" i="5"/>
  <c r="A1343" i="6"/>
  <c r="A629" i="5"/>
  <c r="A1247"/>
  <c r="A1398"/>
  <c r="A680"/>
  <c r="A990" i="6"/>
  <c r="A668" i="5"/>
  <c r="A1281"/>
  <c r="A1406"/>
  <c r="A343"/>
  <c r="A617" i="6"/>
  <c r="A1553" i="5"/>
  <c r="A1602" i="6"/>
  <c r="A1267"/>
  <c r="A1067" i="5"/>
  <c r="A722" i="6"/>
  <c r="A1418"/>
  <c r="A278" i="5"/>
  <c r="A1033"/>
  <c r="A33" i="6"/>
  <c r="A338" i="5"/>
  <c r="A682"/>
  <c r="A1638"/>
  <c r="A509"/>
  <c r="A653"/>
  <c r="A1292" i="6"/>
  <c r="A863"/>
  <c r="A511" i="5"/>
  <c r="A552"/>
  <c r="A644"/>
  <c r="A1778" i="6"/>
  <c r="A506"/>
  <c r="A501"/>
  <c r="A631"/>
  <c r="A759" i="5"/>
  <c r="A1187"/>
  <c r="A617"/>
  <c r="A592"/>
  <c r="A1566"/>
  <c r="A932" i="6"/>
  <c r="A853"/>
  <c r="A482"/>
  <c r="A222"/>
  <c r="A252" i="5"/>
  <c r="A1401" i="6"/>
  <c r="A829" i="5"/>
  <c r="A857" i="6"/>
  <c r="A408" i="5"/>
  <c r="A1483"/>
  <c r="A1666"/>
  <c r="A663"/>
  <c r="A1371" i="6"/>
  <c r="A581"/>
  <c r="A101"/>
  <c r="A720" i="5"/>
  <c r="A1574"/>
  <c r="A158"/>
  <c r="A1232"/>
  <c r="A225"/>
  <c r="A1743" i="6"/>
  <c r="A1779"/>
  <c r="A597"/>
  <c r="A1223" i="5"/>
  <c r="A1004"/>
  <c r="A1741" i="6"/>
  <c r="A1592"/>
  <c r="A264"/>
  <c r="A697"/>
  <c r="A1222" i="5"/>
  <c r="A1769" i="6"/>
  <c r="A1219"/>
  <c r="A900" i="5"/>
  <c r="A112" i="6"/>
  <c r="A1153" i="5"/>
  <c r="A807" i="6"/>
  <c r="A435"/>
  <c r="A572" i="5"/>
  <c r="A1394" i="6"/>
  <c r="A1298" i="5"/>
  <c r="A98"/>
  <c r="A54" i="6"/>
  <c r="A609"/>
  <c r="A1004"/>
  <c r="A357"/>
  <c r="A1540"/>
  <c r="A1422"/>
  <c r="A171"/>
  <c r="A886" i="5"/>
  <c r="A1744" i="6"/>
  <c r="A1539"/>
  <c r="A989" i="5"/>
  <c r="A827"/>
  <c r="A1293" i="6"/>
  <c r="A1034"/>
  <c r="A1740"/>
  <c r="A1580"/>
  <c r="A1626" i="5"/>
  <c r="A1639"/>
  <c r="A174" i="6"/>
  <c r="A653"/>
  <c r="A1000" i="5"/>
  <c r="A366"/>
  <c r="A909"/>
  <c r="A1400" i="6"/>
  <c r="A1566"/>
  <c r="A1806"/>
  <c r="A396" i="5"/>
  <c r="A150" i="6"/>
  <c r="A160" i="5"/>
  <c r="A182"/>
  <c r="A1470" i="6"/>
  <c r="A709"/>
  <c r="A537"/>
  <c r="A391"/>
  <c r="A1801"/>
  <c r="A1536"/>
  <c r="A1438"/>
  <c r="A1086"/>
  <c r="A262"/>
  <c r="A1080" i="5"/>
  <c r="A1063"/>
  <c r="A671"/>
  <c r="A1149"/>
  <c r="A402" i="6"/>
  <c r="A94"/>
  <c r="A1233"/>
  <c r="A274"/>
  <c r="A770" i="5"/>
  <c r="A522"/>
  <c r="A265"/>
  <c r="A1410"/>
  <c r="A360"/>
  <c r="A135"/>
  <c r="A1096"/>
  <c r="A218" i="6"/>
  <c r="A1673"/>
  <c r="A683"/>
  <c r="A771"/>
  <c r="A1225" i="5"/>
  <c r="A1048"/>
  <c r="A333"/>
  <c r="A1334"/>
  <c r="A412"/>
  <c r="A1020" i="6"/>
  <c r="A93" i="5"/>
  <c r="A1493"/>
  <c r="A327" i="6"/>
  <c r="A1321"/>
  <c r="A1722" i="5"/>
  <c r="A1490"/>
  <c r="A1649"/>
  <c r="A716"/>
  <c r="A277" i="6"/>
  <c r="A470"/>
  <c r="A835" i="5"/>
  <c r="A1105"/>
  <c r="A1217" i="6"/>
  <c r="A271" i="5"/>
  <c r="A1395" i="6"/>
  <c r="A1552"/>
  <c r="A386" i="5"/>
  <c r="A270"/>
  <c r="A1656" i="6"/>
  <c r="A19"/>
  <c r="A820" i="5"/>
  <c r="A987" i="6"/>
  <c r="A235" i="5"/>
  <c r="A1479"/>
  <c r="A860"/>
  <c r="A380" i="6"/>
  <c r="A1581"/>
  <c r="A165" i="5"/>
  <c r="A1279"/>
  <c r="A1352"/>
  <c r="A658" i="6"/>
  <c r="A484" i="5"/>
  <c r="A1104"/>
  <c r="A481"/>
  <c r="A76"/>
  <c r="A776"/>
  <c r="A830"/>
  <c r="A760" i="6"/>
  <c r="A387" i="5"/>
  <c r="A992"/>
  <c r="A1621" i="6"/>
  <c r="A725"/>
  <c r="A367"/>
  <c r="A783" i="5"/>
  <c r="A500"/>
  <c r="A180" i="6"/>
  <c r="A279" i="5"/>
  <c r="A1133"/>
  <c r="A1342" i="6"/>
  <c r="A49" i="5"/>
  <c r="A1710" i="6"/>
  <c r="A193"/>
  <c r="A1003" i="5"/>
  <c r="A1288" i="6"/>
  <c r="A1260"/>
  <c r="A1019" i="5"/>
  <c r="A1668" i="6"/>
  <c r="A764"/>
  <c r="A542" i="5"/>
  <c r="A179" i="6"/>
  <c r="A1073" i="5"/>
  <c r="A1455" i="6"/>
  <c r="A698" i="5"/>
  <c r="A486"/>
  <c r="A672" i="6"/>
  <c r="A476" i="5"/>
  <c r="A91" i="6"/>
  <c r="A197" i="5"/>
  <c r="A1069" i="6"/>
  <c r="A738" i="5"/>
  <c r="A204"/>
  <c r="A1217"/>
  <c r="A699"/>
  <c r="A1299" i="6"/>
  <c r="A1426" i="5"/>
  <c r="A611" i="6"/>
  <c r="A1689" i="5"/>
  <c r="A1491"/>
  <c r="A372" i="6"/>
  <c r="A1486" i="5"/>
  <c r="A446" i="6"/>
  <c r="A1216" i="5"/>
  <c r="A129"/>
  <c r="A152"/>
  <c r="A1482"/>
  <c r="A772"/>
  <c r="A1291" i="6"/>
  <c r="A210"/>
  <c r="A25" i="5"/>
  <c r="A887"/>
  <c r="A391"/>
  <c r="A1477" i="6"/>
  <c r="A1298"/>
  <c r="A1328" i="5"/>
  <c r="A917"/>
  <c r="A1345" i="6"/>
  <c r="A266" i="5"/>
  <c r="A684" i="6"/>
  <c r="A1265"/>
  <c r="A308" i="5"/>
  <c r="A1045" i="6"/>
  <c r="A1106" i="5"/>
  <c r="A165" i="6"/>
  <c r="A1049" i="5"/>
  <c r="A855" i="6"/>
  <c r="A711" i="5"/>
  <c r="A962"/>
  <c r="A844"/>
  <c r="A193"/>
  <c r="A159" i="6"/>
  <c r="A1633" i="5"/>
  <c r="A358"/>
  <c r="A1098"/>
  <c r="A1564" i="6"/>
  <c r="A178" i="5"/>
  <c r="A1322" i="6"/>
  <c r="A192"/>
  <c r="A1234"/>
  <c r="A1103" i="5"/>
  <c r="A851"/>
  <c r="A1513" i="6"/>
  <c r="A1585"/>
  <c r="A720"/>
  <c r="A873" i="5"/>
  <c r="A62"/>
  <c r="A447"/>
  <c r="A1383" i="6"/>
  <c r="A826" i="5"/>
  <c r="A324"/>
  <c r="A1739"/>
  <c r="A1757" i="6"/>
  <c r="A1078"/>
  <c r="A825" i="5"/>
  <c r="A379"/>
  <c r="A1023" i="6"/>
  <c r="A1590"/>
  <c r="A351"/>
  <c r="A613"/>
  <c r="A278"/>
  <c r="A326"/>
  <c r="A980"/>
  <c r="A1726" i="5"/>
  <c r="A1151"/>
  <c r="A752" i="6"/>
  <c r="A1023" i="5"/>
  <c r="A130"/>
  <c r="A202" i="6"/>
  <c r="A292" i="5"/>
  <c r="A483" i="6"/>
  <c r="A1016"/>
  <c r="A1480"/>
  <c r="A1083" i="5"/>
  <c r="A476" i="6"/>
  <c r="A339" i="5"/>
  <c r="A180"/>
  <c r="A302"/>
  <c r="A441"/>
  <c r="A22" i="6"/>
  <c r="A1495" i="5"/>
  <c r="A211" i="6"/>
  <c r="A1595"/>
  <c r="A1353" i="5"/>
  <c r="A1137" i="6"/>
  <c r="A41" i="5"/>
  <c r="A397"/>
  <c r="A614" i="6"/>
  <c r="A1248" i="5"/>
  <c r="A1104" i="6"/>
  <c r="A336"/>
  <c r="A1635" i="5"/>
  <c r="A219" i="6"/>
  <c r="A1286"/>
  <c r="A1463" i="5"/>
  <c r="A132" i="6"/>
  <c r="A288"/>
  <c r="A683" i="5"/>
  <c r="A1010" i="6"/>
  <c r="A953"/>
  <c r="A1789"/>
  <c r="A178"/>
  <c r="A1672"/>
  <c r="A323" i="5"/>
  <c r="A1399"/>
  <c r="A474"/>
  <c r="A443"/>
  <c r="A350" i="6"/>
  <c r="A269" i="5"/>
  <c r="A965"/>
  <c r="A906" i="6"/>
  <c r="A1283" i="5"/>
  <c r="A713"/>
  <c r="A974" i="6"/>
  <c r="A310" i="5"/>
  <c r="A522" i="6"/>
  <c r="A739"/>
  <c r="A97"/>
  <c r="A1612"/>
  <c r="A103"/>
  <c r="A756" i="5"/>
  <c r="A961"/>
  <c r="A632" i="6"/>
  <c r="A1507" i="5"/>
  <c r="A1150"/>
  <c r="A1449" i="6"/>
  <c r="A536" i="5"/>
  <c r="A1006"/>
  <c r="A600" i="6"/>
  <c r="A618"/>
  <c r="A307"/>
  <c r="A769"/>
  <c r="A644"/>
  <c r="A1056"/>
  <c r="A566"/>
  <c r="A976" i="5"/>
  <c r="A795"/>
  <c r="A1568"/>
  <c r="A1316"/>
  <c r="A1417"/>
  <c r="A1575" i="6"/>
  <c r="A515" i="5"/>
  <c r="A788"/>
  <c r="A1103" i="6"/>
  <c r="A1446"/>
  <c r="A763"/>
  <c r="A1326" i="5"/>
  <c r="A806"/>
  <c r="A1044"/>
  <c r="A388" i="6"/>
  <c r="A1569" i="5"/>
  <c r="A1049" i="6"/>
  <c r="A517" i="5"/>
  <c r="A1563" i="6"/>
  <c r="A1718" i="5"/>
  <c r="A349" i="6"/>
  <c r="A1510" i="5"/>
  <c r="A1083" i="6"/>
  <c r="A812" i="5"/>
  <c r="A355"/>
  <c r="A756" i="6"/>
  <c r="A1236" i="5"/>
  <c r="A751"/>
  <c r="A968" i="6"/>
  <c r="A709" i="5"/>
  <c r="A1715" i="6"/>
  <c r="A871" i="5"/>
  <c r="A534" i="6"/>
  <c r="A494" i="5"/>
  <c r="A760"/>
  <c r="A185"/>
  <c r="A1552"/>
  <c r="A790"/>
  <c r="A748" i="6"/>
  <c r="A1624"/>
  <c r="A199"/>
  <c r="A507"/>
  <c r="A489"/>
  <c r="A520"/>
  <c r="A705"/>
  <c r="A526"/>
  <c r="A1019"/>
  <c r="A373"/>
  <c r="A505"/>
  <c r="A238" i="5"/>
  <c r="A1303"/>
  <c r="A400"/>
  <c r="A973" i="6"/>
  <c r="A200"/>
  <c r="A1107" i="5"/>
  <c r="A1074"/>
  <c r="A51"/>
  <c r="A255"/>
  <c r="A1600" i="6"/>
  <c r="A119" i="5"/>
  <c r="A564"/>
  <c r="A151"/>
  <c r="A104" i="6"/>
  <c r="A324"/>
  <c r="A177"/>
  <c r="A589" i="5"/>
  <c r="A237"/>
  <c r="A943"/>
  <c r="A786"/>
  <c r="A780"/>
  <c r="A741" i="6"/>
  <c r="A141" i="5"/>
  <c r="A740" i="6"/>
  <c r="A203"/>
  <c r="A913" i="5"/>
  <c r="A504"/>
  <c r="A865" i="6"/>
  <c r="A1325" i="5"/>
  <c r="A167"/>
  <c r="A1787" i="6"/>
  <c r="A890" i="5"/>
  <c r="A479"/>
  <c r="A821" i="6"/>
  <c r="A628"/>
  <c r="A1598"/>
  <c r="A897" i="5"/>
  <c r="A1126" i="6"/>
  <c r="A541"/>
  <c r="A1615"/>
  <c r="A306" i="5"/>
  <c r="A1138"/>
  <c r="A1514"/>
  <c r="A385" i="6"/>
  <c r="A1782"/>
  <c r="A1625" i="5"/>
  <c r="A1616"/>
  <c r="A85" i="6"/>
  <c r="A869" i="5"/>
  <c r="A1618" i="6"/>
  <c r="A616" i="5"/>
  <c r="A612"/>
  <c r="A553"/>
  <c r="A1721"/>
  <c r="A846" i="6"/>
  <c r="A847" i="5"/>
  <c r="A747"/>
  <c r="A560"/>
  <c r="A371" i="6"/>
  <c r="A1096"/>
  <c r="A558" i="5"/>
  <c r="A1339" i="6"/>
  <c r="A457"/>
  <c r="A1242" i="5"/>
  <c r="A688" i="6"/>
  <c r="A693"/>
  <c r="A930"/>
  <c r="A182"/>
  <c r="A45"/>
  <c r="A1684" i="5"/>
  <c r="A1586" i="6"/>
  <c r="A944" i="5"/>
  <c r="A36"/>
  <c r="A1238"/>
  <c r="A880"/>
  <c r="A433" i="6"/>
  <c r="A1526"/>
  <c r="A904"/>
  <c r="A450" i="5"/>
  <c r="A1432" i="6"/>
  <c r="A349" i="5"/>
  <c r="A444"/>
  <c r="A1605"/>
  <c r="A303"/>
  <c r="A1595"/>
  <c r="A39" i="6"/>
  <c r="A1238"/>
  <c r="A821" i="5"/>
  <c r="A649" i="6"/>
  <c r="A90" i="5"/>
  <c r="A164"/>
  <c r="A836"/>
  <c r="A692"/>
  <c r="A136"/>
  <c r="A1006" i="6"/>
  <c r="A196"/>
  <c r="A1183" i="5"/>
  <c r="A470"/>
  <c r="A1043"/>
  <c r="A889"/>
  <c r="A1445" i="6"/>
  <c r="A626"/>
  <c r="A766" i="5"/>
  <c r="A228"/>
  <c r="A275" i="6"/>
  <c r="A1058"/>
  <c r="A1360"/>
  <c r="A800" i="5"/>
  <c r="A667" i="6"/>
  <c r="A1352"/>
  <c r="A885"/>
  <c r="A1097" i="5"/>
  <c r="A106" i="6"/>
  <c r="A904" i="5"/>
  <c r="A598"/>
  <c r="A1464" i="6"/>
  <c r="A94" i="5"/>
  <c r="A510"/>
  <c r="A1520"/>
  <c r="A799" i="6"/>
  <c r="A1548" i="5"/>
  <c r="A1603" i="6"/>
  <c r="A359" i="5"/>
  <c r="A896" i="6"/>
  <c r="A1516"/>
  <c r="A538"/>
  <c r="A230" i="5"/>
  <c r="A1345"/>
  <c r="A53"/>
  <c r="A1483" i="6"/>
  <c r="A1478"/>
  <c r="A915" i="5"/>
  <c r="A1785" i="6"/>
  <c r="A1604" i="5"/>
  <c r="A1147" i="6"/>
  <c r="A1439"/>
  <c r="A1272"/>
  <c r="A423"/>
  <c r="A206" i="5"/>
  <c r="A1047" i="6"/>
  <c r="A1390"/>
  <c r="A515"/>
  <c r="A719"/>
  <c r="A1404" i="5"/>
  <c r="A630"/>
  <c r="A1609" i="6"/>
  <c r="A317" i="5"/>
  <c r="A737"/>
  <c r="A1119"/>
  <c r="A1738"/>
  <c r="A750"/>
  <c r="A331" i="6"/>
  <c r="A198" i="5"/>
  <c r="A381"/>
  <c r="A1273" i="6"/>
  <c r="A260" i="5"/>
  <c r="A516"/>
  <c r="A1551"/>
  <c r="A1450"/>
  <c r="A38" i="6"/>
  <c r="A1418" i="5"/>
  <c r="A1278"/>
  <c r="A1036"/>
  <c r="A1045"/>
  <c r="A125"/>
  <c r="A1811" i="6"/>
  <c r="A1452"/>
  <c r="A1353"/>
  <c r="A380" i="5"/>
  <c r="A1101" i="6"/>
  <c r="A599" i="5"/>
  <c r="A256"/>
  <c r="A1263"/>
  <c r="A314" i="6"/>
  <c r="A293" i="5"/>
  <c r="A1066" i="6"/>
  <c r="A623"/>
  <c r="A1511" i="5"/>
  <c r="A1443" i="6"/>
  <c r="A1463"/>
  <c r="A93"/>
  <c r="A931"/>
  <c r="A453" i="5"/>
  <c r="A82"/>
  <c r="A31"/>
  <c r="A106"/>
  <c r="A1015" i="6"/>
  <c r="A675" i="5"/>
  <c r="A1314"/>
  <c r="A167" i="6"/>
  <c r="A480" i="5"/>
  <c r="A1537" i="6"/>
  <c r="A97" i="5"/>
  <c r="A1005"/>
  <c r="A131"/>
  <c r="A504" i="6"/>
  <c r="A44" i="5"/>
  <c r="A454"/>
  <c r="A1503" i="6"/>
  <c r="A407" i="5"/>
  <c r="A1459" i="6"/>
  <c r="A722" i="5"/>
  <c r="A249" i="6"/>
  <c r="A1647" i="5"/>
  <c r="A1255"/>
  <c r="A448"/>
  <c r="A543" i="6"/>
  <c r="A1717"/>
  <c r="A262" i="5"/>
  <c r="A1062" i="6"/>
  <c r="A362"/>
  <c r="A149"/>
  <c r="A1108"/>
  <c r="A679" i="5"/>
  <c r="A1585"/>
  <c r="A43" i="6"/>
  <c r="A1795"/>
  <c r="A1427" i="5"/>
  <c r="A1624"/>
  <c r="A914"/>
  <c r="A393" i="6"/>
  <c r="A272"/>
  <c r="A383" i="5"/>
  <c r="A1732" i="6"/>
  <c r="A729"/>
  <c r="A156" i="5"/>
  <c r="A1587" i="6"/>
  <c r="A532" i="5"/>
  <c r="A422" i="6"/>
  <c r="A1228" i="5"/>
  <c r="A1722" i="6"/>
  <c r="A753"/>
  <c r="A1512" i="5"/>
  <c r="A1057" i="6"/>
  <c r="A1776"/>
  <c r="A488"/>
  <c r="A1013" i="5"/>
  <c r="A169" i="6"/>
  <c r="A1554" i="5"/>
  <c r="A1060"/>
  <c r="A1431"/>
  <c r="A1110"/>
  <c r="A1648"/>
  <c r="A399" i="6"/>
  <c r="A1739"/>
  <c r="A1664" i="5"/>
  <c r="A802"/>
  <c r="A759" i="6"/>
  <c r="A360"/>
  <c r="A1317" i="5"/>
  <c r="A824"/>
  <c r="A1561" i="6"/>
  <c r="A704"/>
  <c r="A985" i="5"/>
  <c r="A321" i="6"/>
  <c r="A1781"/>
  <c r="A1124" i="5"/>
  <c r="A493" i="6"/>
  <c r="A1356"/>
  <c r="A495"/>
  <c r="A1134"/>
  <c r="A744" i="5"/>
  <c r="A1436"/>
  <c r="A1677" i="6"/>
  <c r="A89" i="5"/>
  <c r="A885"/>
  <c r="A1731"/>
  <c r="A646" i="6"/>
  <c r="A301"/>
  <c r="A281" i="5"/>
  <c r="A518"/>
  <c r="A908"/>
  <c r="A765" i="6"/>
  <c r="A529"/>
  <c r="A22" i="5"/>
  <c r="A570" i="6"/>
  <c r="A134" i="5"/>
  <c r="A662"/>
  <c r="A757"/>
  <c r="A1676" i="6"/>
  <c r="A909"/>
  <c r="A1476" i="5"/>
  <c r="A490" i="6"/>
  <c r="A1593"/>
  <c r="A797" i="5"/>
  <c r="A1388" i="6"/>
  <c r="A1504"/>
  <c r="A1392" i="5"/>
  <c r="A1723" i="6"/>
  <c r="A140"/>
  <c r="A846" i="5"/>
  <c r="A177"/>
  <c r="A1546" i="6"/>
  <c r="A727"/>
  <c r="A405" i="5"/>
  <c r="A415" i="6"/>
  <c r="A893"/>
  <c r="A1654" i="5"/>
  <c r="A648" i="6"/>
  <c r="A1007"/>
  <c r="A473" i="5"/>
  <c r="A1154"/>
  <c r="A585"/>
  <c r="A921"/>
  <c r="A897" i="6"/>
  <c r="A217"/>
  <c r="A1041"/>
  <c r="A1454"/>
  <c r="A462"/>
  <c r="A1773"/>
  <c r="A301" i="5"/>
  <c r="A1180"/>
  <c r="A1492" i="6"/>
  <c r="A567" i="5"/>
  <c r="A368" i="6"/>
  <c r="A511"/>
  <c r="A1135" i="5"/>
  <c r="A814"/>
  <c r="A1153" i="6"/>
  <c r="A741" i="5"/>
  <c r="A209"/>
  <c r="A84" i="6"/>
  <c r="A666" i="5"/>
  <c r="A1087"/>
  <c r="A701" i="6"/>
  <c r="A959" i="5"/>
  <c r="A457"/>
  <c r="A660"/>
  <c r="A1186"/>
  <c r="A154"/>
  <c r="A964"/>
  <c r="A464"/>
  <c r="A1421" i="6"/>
  <c r="A789"/>
  <c r="A206"/>
  <c r="A1120" i="5"/>
  <c r="A148"/>
  <c r="A1113"/>
  <c r="A524" i="6"/>
  <c r="A1185" i="5"/>
  <c r="A598" i="6"/>
  <c r="A1549"/>
  <c r="A499"/>
  <c r="A737"/>
  <c r="A706"/>
  <c r="A40" i="5"/>
  <c r="A557"/>
  <c r="A1179"/>
  <c r="A1237" i="6"/>
  <c r="A763" i="5"/>
  <c r="A778" i="6"/>
  <c r="A1046" i="5"/>
  <c r="A1299"/>
  <c r="A888"/>
  <c r="A502"/>
  <c r="A768"/>
  <c r="A659" i="6"/>
  <c r="A751"/>
  <c r="A749" i="5"/>
  <c r="A1335"/>
  <c r="A1527" i="6"/>
  <c r="A1089"/>
  <c r="A151"/>
  <c r="A787" i="5"/>
  <c r="A1301"/>
  <c r="A288"/>
  <c r="A801"/>
  <c r="A902"/>
  <c r="A43"/>
  <c r="A1406" i="6"/>
  <c r="A313"/>
  <c r="A831" i="5"/>
  <c r="A992" i="6"/>
  <c r="A21" i="5"/>
  <c r="A1099" i="6"/>
  <c r="A162"/>
  <c r="A700" i="5"/>
  <c r="A471"/>
  <c r="A951" i="6"/>
  <c r="A1215"/>
  <c r="A933"/>
  <c r="A1064"/>
  <c r="A1084" i="5"/>
  <c r="A1026"/>
  <c r="A726" i="6"/>
  <c r="A927" i="5"/>
  <c r="A1115"/>
  <c r="A23" i="6"/>
  <c r="A1730" i="5"/>
  <c r="A864"/>
  <c r="A607" i="6"/>
  <c r="A147" i="5"/>
  <c r="A600"/>
  <c r="A1427" i="6"/>
  <c r="A487"/>
  <c r="A393" i="5"/>
  <c r="A649"/>
  <c r="A345" i="6"/>
  <c r="A852"/>
  <c r="A247"/>
  <c r="A978"/>
  <c r="A269"/>
  <c r="A395"/>
  <c r="A716"/>
  <c r="A248" i="5"/>
  <c r="A142" i="6"/>
  <c r="A547"/>
  <c r="A815" i="5"/>
  <c r="A1485" i="6"/>
  <c r="A52" i="5"/>
  <c r="A1369"/>
  <c r="A345"/>
  <c r="A365"/>
  <c r="A998"/>
  <c r="A941"/>
  <c r="A1433" i="6"/>
  <c r="A1535"/>
  <c r="A715" i="5"/>
  <c r="A364"/>
  <c r="A335" i="6"/>
  <c r="A817" i="5"/>
  <c r="A1588" i="6"/>
  <c r="A127" i="5"/>
  <c r="A1408" i="6"/>
  <c r="A246" i="5"/>
  <c r="A1651"/>
  <c r="A847" i="6"/>
  <c r="A123"/>
  <c r="A805" i="5"/>
  <c r="A670" i="6"/>
  <c r="A1451"/>
  <c r="A804" i="5"/>
  <c r="A529"/>
  <c r="A968"/>
  <c r="A153"/>
  <c r="A755"/>
  <c r="A163" i="6"/>
  <c r="A895" i="5"/>
  <c r="A552" i="6"/>
  <c r="A725" i="5"/>
  <c r="A1001"/>
  <c r="A1523" i="6"/>
  <c r="A1013"/>
  <c r="A220"/>
  <c r="A1650" i="5"/>
  <c r="A866"/>
  <c r="A818"/>
  <c r="A88"/>
  <c r="A260" i="6"/>
  <c r="A1471"/>
  <c r="A316" i="5"/>
  <c r="A601" i="6"/>
  <c r="A1577"/>
  <c r="A186" i="5"/>
  <c r="A315" i="6"/>
  <c r="A562" i="5"/>
  <c r="A876"/>
  <c r="A1397"/>
  <c r="A1550"/>
  <c r="A144" i="6"/>
  <c r="A205" i="5"/>
  <c r="A1051" i="6"/>
  <c r="A875" i="5"/>
  <c r="A1111"/>
  <c r="A96" i="6"/>
  <c r="A1150"/>
  <c r="A523" i="5"/>
  <c r="A133"/>
  <c r="A743" i="6"/>
  <c r="A1285"/>
  <c r="A1491"/>
  <c r="A1300" i="5"/>
  <c r="A214" i="6"/>
  <c r="A341" i="5"/>
  <c r="A775"/>
  <c r="A1596" i="6"/>
  <c r="A175" i="5"/>
  <c r="A1122" i="6"/>
  <c r="A1216"/>
  <c r="A637"/>
  <c r="A664"/>
  <c r="A1737"/>
  <c r="A194" i="5"/>
  <c r="A1018" i="6"/>
  <c r="A65"/>
  <c r="A1454" i="5"/>
  <c r="A1029" i="6"/>
  <c r="A207"/>
  <c r="A447"/>
  <c r="A1201"/>
  <c r="A638"/>
  <c r="A528"/>
  <c r="A1079"/>
  <c r="A999" i="5"/>
  <c r="A1444"/>
  <c r="A227"/>
  <c r="A1009"/>
  <c r="A1171"/>
  <c r="A487"/>
  <c r="A247"/>
  <c r="A356" i="6"/>
  <c r="A1213" i="5"/>
  <c r="A900" i="6"/>
  <c r="A1233" i="5"/>
  <c r="A195"/>
  <c r="A120"/>
  <c r="A1052"/>
  <c r="A485"/>
  <c r="A911" i="6"/>
  <c r="A1550"/>
  <c r="A757"/>
  <c r="A532"/>
  <c r="A1411" i="5"/>
  <c r="A280"/>
  <c r="A1347"/>
  <c r="A505"/>
  <c r="A1608"/>
  <c r="A843"/>
  <c r="A657" i="6"/>
  <c r="A170" i="5"/>
  <c r="A1274"/>
  <c r="A1457" i="6"/>
  <c r="A789" i="5"/>
  <c r="A728" i="6"/>
  <c r="A86" i="5"/>
  <c r="A1295" i="6"/>
  <c r="A1591" i="5"/>
  <c r="A554" i="6"/>
  <c r="A411" i="5"/>
  <c r="A333" i="6"/>
  <c r="A800"/>
  <c r="A954"/>
  <c r="A1431"/>
  <c r="A187" i="5"/>
  <c r="A1014"/>
  <c r="A1059" i="6"/>
  <c r="A550" i="5"/>
  <c r="A547"/>
  <c r="A224" i="6"/>
  <c r="A665" i="5"/>
  <c r="A124"/>
  <c r="A440"/>
  <c r="A862" i="6"/>
  <c r="A417"/>
  <c r="A1622" i="5"/>
  <c r="A1250"/>
  <c r="A643" i="6"/>
  <c r="A123" i="5"/>
  <c r="A1050"/>
  <c r="A910" i="6"/>
  <c r="A634" i="5"/>
  <c r="A130" i="6"/>
  <c r="A1081" i="5"/>
  <c r="A265" i="6"/>
  <c r="A281"/>
  <c r="A426"/>
  <c r="A1665" i="5"/>
  <c r="A1275" i="6"/>
  <c r="A565" i="5"/>
  <c r="A1264"/>
  <c r="A608" i="6"/>
  <c r="A1570" i="5"/>
  <c r="A465" i="6"/>
  <c r="A1324" i="5"/>
  <c r="A540"/>
  <c r="A891"/>
  <c r="A510" i="6"/>
  <c r="A122"/>
  <c r="A1376"/>
  <c r="A1118" i="5"/>
  <c r="A1197" i="6"/>
  <c r="A539"/>
  <c r="A1100" i="5"/>
  <c r="A567" i="6"/>
  <c r="A392" i="5"/>
  <c r="A544" i="6"/>
  <c r="A974" i="5"/>
  <c r="A1220" i="6"/>
  <c r="A1615" i="5"/>
  <c r="A336"/>
  <c r="A1768" i="6"/>
  <c r="A1391"/>
  <c r="A1198" i="5"/>
  <c r="A47" i="6"/>
  <c r="A1484"/>
  <c r="A1382"/>
  <c r="A1147" i="5"/>
  <c r="A104"/>
  <c r="A667"/>
  <c r="A614"/>
  <c r="A354" i="6"/>
  <c r="A398" i="5"/>
  <c r="A700" i="6"/>
  <c r="A1747"/>
  <c r="A1558"/>
  <c r="A231" i="5"/>
  <c r="A410"/>
  <c r="A577" i="6"/>
  <c r="A169" i="5"/>
  <c r="A1338"/>
  <c r="A1364" i="6"/>
  <c r="A1573" i="5"/>
  <c r="A1040" i="6"/>
  <c r="A1121"/>
  <c r="A64"/>
  <c r="A1719"/>
  <c r="A1628"/>
  <c r="A856"/>
  <c r="A823" i="5"/>
  <c r="A263"/>
  <c r="A657"/>
  <c r="A1093" i="6"/>
  <c r="A1210" i="5"/>
  <c r="A849"/>
  <c r="A1487" i="6"/>
  <c r="A1613"/>
  <c r="A926" i="5"/>
  <c r="A595"/>
  <c r="A226"/>
  <c r="A41" i="6"/>
  <c r="A687"/>
  <c r="A627" i="5"/>
  <c r="A561" i="6"/>
  <c r="A655"/>
  <c r="A276"/>
  <c r="A1262"/>
  <c r="A462" i="5"/>
  <c r="A1407" i="6"/>
  <c r="A1675"/>
  <c r="A841" i="5"/>
  <c r="A315"/>
  <c r="A233"/>
  <c r="A384" i="6"/>
  <c r="A1324"/>
  <c r="A895"/>
  <c r="A947"/>
  <c r="A1256" i="5"/>
  <c r="A1584"/>
  <c r="A1346"/>
  <c r="A284"/>
  <c r="A1549"/>
  <c r="A1405"/>
  <c r="A1794" i="6"/>
  <c r="A50" i="5"/>
  <c r="A1072"/>
  <c r="A305"/>
  <c r="A1622" i="6"/>
  <c r="A319"/>
  <c r="A442" i="5"/>
  <c r="A1606"/>
  <c r="A1200"/>
  <c r="A784"/>
  <c r="A1607"/>
  <c r="A365" i="6"/>
  <c r="A514" i="5"/>
  <c r="A1101"/>
  <c r="A899" i="6"/>
  <c r="A261" i="5"/>
  <c r="A710"/>
  <c r="A1509"/>
  <c r="A319"/>
  <c r="A1645" i="6"/>
  <c r="A1243" i="5"/>
  <c r="A778"/>
  <c r="A1643"/>
  <c r="A1423" i="6"/>
  <c r="A1051" i="5"/>
  <c r="A39"/>
  <c r="A670"/>
  <c r="A145"/>
  <c r="A764"/>
  <c r="A394" i="6"/>
  <c r="A654" i="5"/>
  <c r="A215" i="6"/>
  <c r="A268" i="5"/>
  <c r="A411" i="6"/>
  <c r="A141"/>
  <c r="A1567"/>
  <c r="A138"/>
  <c r="A211" i="5"/>
  <c r="A624" i="6"/>
  <c r="A867"/>
  <c r="A390"/>
  <c r="A60"/>
  <c r="A1062" i="5"/>
  <c r="A642" i="6"/>
  <c r="A131"/>
  <c r="A398"/>
  <c r="A1477" i="5"/>
  <c r="A611"/>
  <c r="A956"/>
  <c r="A189"/>
  <c r="A362"/>
  <c r="A1081" i="6"/>
  <c r="A62"/>
  <c r="A1784"/>
  <c r="A1312" i="5"/>
  <c r="A1391"/>
  <c r="A76" i="6"/>
  <c r="A254" i="5"/>
  <c r="A926" i="6"/>
  <c r="A186"/>
  <c r="A420" i="5"/>
  <c r="A544"/>
  <c r="A669" i="6"/>
  <c r="A1412" i="5"/>
  <c r="A1641"/>
  <c r="A1646"/>
  <c r="A75"/>
  <c r="A1063" i="6"/>
  <c r="A57"/>
  <c r="A970"/>
  <c r="A1398"/>
  <c r="A564"/>
  <c r="A920" i="5"/>
  <c r="A1583"/>
  <c r="A1270" i="6"/>
  <c r="A70"/>
  <c r="A852" i="5"/>
  <c r="A1389"/>
  <c r="A512" i="6"/>
  <c r="A1125"/>
  <c r="A1362"/>
  <c r="A602"/>
  <c r="A571" i="5"/>
  <c r="A1456" i="6"/>
  <c r="A1188" i="5"/>
  <c r="A1170"/>
  <c r="A1508"/>
  <c r="A1168"/>
  <c r="A1753" i="6"/>
  <c r="A1282" i="5"/>
  <c r="A1713"/>
  <c r="A276"/>
  <c r="A475"/>
  <c r="A1424"/>
  <c r="A1332" i="6"/>
  <c r="A489" i="5"/>
  <c r="A1482" i="6"/>
  <c r="A116" i="5"/>
  <c r="A195" i="6"/>
  <c r="A1810"/>
  <c r="A1235"/>
  <c r="A1587" i="5"/>
  <c r="A799"/>
  <c r="A401" i="6"/>
  <c r="A1011" i="5"/>
  <c r="A1740"/>
  <c r="A1529" i="6"/>
  <c r="A834" i="5"/>
  <c r="A283" i="6"/>
  <c r="A1234" i="5"/>
  <c r="A348"/>
  <c r="A619" i="6"/>
  <c r="A1717" i="5"/>
  <c r="A72" i="6"/>
  <c r="A525" i="5"/>
  <c r="A312"/>
  <c r="A562" i="6"/>
  <c r="A796"/>
  <c r="A1543"/>
  <c r="A168" i="5"/>
  <c r="A1330"/>
  <c r="A1453"/>
  <c r="A1140"/>
  <c r="A743"/>
  <c r="A152" i="6"/>
  <c r="A56"/>
  <c r="A1748"/>
  <c r="A1181" i="5"/>
  <c r="A1591" i="6"/>
  <c r="A188"/>
  <c r="A753" i="5"/>
  <c r="A1332"/>
  <c r="A1592"/>
  <c r="A1422"/>
  <c r="A1008"/>
  <c r="A275"/>
  <c r="A1480"/>
  <c r="A81" i="6"/>
  <c r="A90"/>
  <c r="A1145" i="5"/>
  <c r="A1445"/>
  <c r="A1403" i="6"/>
  <c r="A967"/>
  <c r="A1284" i="5"/>
  <c r="A1496"/>
  <c r="A1343"/>
  <c r="A636" i="6"/>
  <c r="A899" i="5"/>
  <c r="A798"/>
  <c r="A520"/>
  <c r="A1805" i="6"/>
  <c r="A925"/>
  <c r="A323"/>
  <c r="A558"/>
  <c r="A1437"/>
  <c r="A493" i="5"/>
  <c r="A1792" i="6"/>
  <c r="A1289"/>
  <c r="A1449" i="5"/>
  <c r="A857"/>
  <c r="A325" i="6"/>
  <c r="A359"/>
  <c r="A661"/>
  <c r="A400"/>
  <c r="A633" i="5"/>
  <c r="A185" i="6"/>
  <c r="A1230" i="5"/>
  <c r="A669"/>
  <c r="A1519" i="6"/>
  <c r="A190"/>
  <c r="A1524"/>
  <c r="A1136" i="5"/>
  <c r="A53" i="6"/>
  <c r="A472" i="5"/>
  <c r="A640"/>
  <c r="A1134"/>
  <c r="A1325" i="6"/>
  <c r="A1654"/>
  <c r="A258" i="5"/>
  <c r="A24"/>
  <c r="A991"/>
  <c r="A795" i="6"/>
  <c r="A468"/>
  <c r="A445"/>
  <c r="A132" i="5"/>
  <c r="A1085"/>
  <c r="A674"/>
  <c r="A668" i="6"/>
  <c r="A1634" i="5"/>
  <c r="A1154" i="6"/>
  <c r="A543" i="5"/>
  <c r="A1488"/>
  <c r="A84"/>
  <c r="A674" i="6"/>
  <c r="A1068" i="5"/>
  <c r="A878"/>
  <c r="A298"/>
  <c r="A83" i="6"/>
  <c r="A879" i="5"/>
  <c r="A410" i="6"/>
  <c r="A1766"/>
  <c r="A596" i="5"/>
  <c r="A1584" i="6"/>
  <c r="A313" i="5"/>
  <c r="A1344" i="6"/>
  <c r="A68"/>
  <c r="A761" i="5"/>
  <c r="A785" i="6"/>
  <c r="A1544"/>
  <c r="A1426"/>
  <c r="A1132" i="5"/>
  <c r="A1735" i="6"/>
  <c r="A1657"/>
  <c r="A77"/>
  <c r="A803" i="5"/>
  <c r="A213" i="6"/>
  <c r="A191" i="5"/>
  <c r="A1305"/>
  <c r="A597"/>
  <c r="A1359"/>
  <c r="A232"/>
  <c r="A1140" i="6"/>
  <c r="A208"/>
  <c r="A837" i="5"/>
  <c r="A168" i="6"/>
  <c r="A865" i="5"/>
  <c r="A1065"/>
  <c r="A80"/>
  <c r="A1102" i="6"/>
  <c r="A302"/>
  <c r="A348"/>
  <c r="A754" i="5"/>
  <c r="A402"/>
  <c r="A484" i="6"/>
  <c r="A1667"/>
  <c r="A1202"/>
  <c r="A1594"/>
  <c r="A1178" i="5"/>
  <c r="A478" i="6"/>
  <c r="A874" i="5"/>
  <c r="A1070" i="6"/>
  <c r="A1331"/>
  <c r="A1733" i="5"/>
  <c r="A591"/>
  <c r="A236" i="6"/>
  <c r="A274" i="5"/>
  <c r="A218"/>
  <c r="A1590"/>
  <c r="A1770" i="6"/>
  <c r="A1774"/>
  <c r="A697" i="5"/>
  <c r="A1258" i="6"/>
  <c r="A342" i="5"/>
  <c r="A1138" i="6"/>
  <c r="A55" i="5"/>
  <c r="A1315"/>
  <c r="A1240"/>
  <c r="A456"/>
  <c r="A190"/>
  <c r="A549" i="6"/>
  <c r="A1373"/>
  <c r="A1486"/>
  <c r="A1522" i="5"/>
  <c r="A692" i="6"/>
  <c r="A332"/>
  <c r="A1024" i="5"/>
  <c r="A892"/>
  <c r="A721" i="6"/>
  <c r="A1553"/>
  <c r="A1116" i="5"/>
  <c r="A1525" i="6"/>
  <c r="A386"/>
  <c r="A1478" i="5"/>
  <c r="A747" i="6"/>
  <c r="A994"/>
  <c r="A1441"/>
  <c r="A1745"/>
  <c r="A635" i="5"/>
  <c r="A443" i="6"/>
  <c r="A1420" i="5"/>
  <c r="A1129"/>
  <c r="A488"/>
  <c r="A38"/>
  <c r="A454" i="6"/>
  <c r="A656"/>
  <c r="A979"/>
  <c r="A1603" i="5"/>
  <c r="A1534" i="6"/>
  <c r="A188" i="5"/>
  <c r="A472" i="6"/>
  <c r="A172"/>
  <c r="A794" i="5"/>
  <c r="A1617"/>
  <c r="A782"/>
  <c r="A1452"/>
  <c r="A590"/>
  <c r="A381" i="6"/>
  <c r="A1466"/>
  <c r="A201"/>
  <c r="A1386"/>
  <c r="A1738"/>
  <c r="A1758"/>
  <c r="A525"/>
  <c r="A682"/>
  <c r="A191"/>
  <c r="A1195" i="5"/>
  <c r="A1005" i="6"/>
  <c r="A1752"/>
  <c r="A765" i="5"/>
  <c r="A1631"/>
  <c r="A1557" i="6"/>
  <c r="A415" i="5"/>
  <c r="A491"/>
  <c r="A1264" i="6"/>
  <c r="A367" i="5"/>
  <c r="A943" i="6"/>
  <c r="A1107"/>
  <c r="A1036"/>
  <c r="A429"/>
  <c r="A1419" i="5"/>
  <c r="A1496" i="6"/>
  <c r="A320" i="5"/>
  <c r="A672"/>
  <c r="A620" i="6"/>
  <c r="A451" i="5"/>
  <c r="A986" i="6"/>
  <c r="A955"/>
  <c r="A975" i="5"/>
  <c r="A573" i="6"/>
  <c r="A708"/>
  <c r="A1039"/>
  <c r="A213" i="5"/>
  <c r="A1502" i="6"/>
  <c r="A1384"/>
  <c r="A1368" i="5"/>
  <c r="A942"/>
  <c r="A594"/>
  <c r="A1167"/>
  <c r="A530"/>
  <c r="A523" i="6"/>
  <c r="A1331" i="5"/>
  <c r="A1728"/>
  <c r="A1132" i="6"/>
  <c r="A1588" i="5"/>
  <c r="A814" i="6"/>
  <c r="A1547"/>
  <c r="A290" i="5"/>
  <c r="A742" i="6"/>
  <c r="A1646"/>
  <c r="A1611"/>
  <c r="A1241" i="5"/>
  <c r="A235" i="6"/>
  <c r="A1094"/>
  <c r="A249" i="5"/>
  <c r="A1472" i="6"/>
  <c r="A1127" i="5"/>
  <c r="A1460"/>
  <c r="A108"/>
  <c r="A1100" i="6"/>
  <c r="A609" i="5"/>
  <c r="A975" i="6"/>
  <c r="A1354"/>
  <c r="A1582" i="5"/>
  <c r="A1131"/>
  <c r="A1137"/>
  <c r="A793"/>
  <c r="A1128"/>
  <c r="A758"/>
  <c r="A596" i="6"/>
  <c r="A1444"/>
  <c r="A548" i="5"/>
  <c r="A1686"/>
  <c r="A615"/>
  <c r="A1088"/>
  <c r="A471" i="6"/>
  <c r="A245"/>
  <c r="A1369"/>
  <c r="A155"/>
  <c r="A1494" i="5"/>
  <c r="A73" i="6"/>
  <c r="A318" i="5"/>
  <c r="A95"/>
  <c r="A659"/>
  <c r="A148" i="6"/>
  <c r="A366"/>
  <c r="A1736"/>
  <c r="A1219" i="5"/>
  <c r="A146"/>
  <c r="A1572"/>
  <c r="A989" i="6"/>
  <c r="A1090" i="5"/>
  <c r="A74" i="6"/>
  <c r="A1461" i="5"/>
  <c r="A48"/>
  <c r="A137" i="6"/>
  <c r="A661" i="5"/>
  <c r="A87" i="6"/>
  <c r="A746" i="5"/>
  <c r="A326"/>
  <c r="A615" i="6"/>
  <c r="A64" i="5"/>
  <c r="A208"/>
  <c r="A1658" i="6"/>
  <c r="A812"/>
  <c r="A501" i="5"/>
  <c r="A92"/>
  <c r="A746" i="6"/>
  <c r="A1475"/>
  <c r="A641" i="5"/>
  <c r="A1484"/>
  <c r="A1333"/>
  <c r="A1227" i="6"/>
  <c r="A625"/>
  <c r="A894" i="5"/>
  <c r="A99" i="6"/>
  <c r="A143"/>
  <c r="A632" i="5"/>
  <c r="A557" i="6"/>
  <c r="A1306" i="5"/>
  <c r="A107" i="6"/>
  <c r="A1037" i="5"/>
  <c r="A593" i="6"/>
  <c r="A907"/>
  <c r="A986" i="5"/>
  <c r="A1120" i="6"/>
  <c r="A1094" i="5"/>
  <c r="A1786" i="6"/>
  <c r="A792" i="5"/>
  <c r="A538"/>
  <c r="A798" i="6"/>
  <c r="A382"/>
  <c r="A1754"/>
  <c r="A1520"/>
  <c r="A1288" i="5"/>
  <c r="A1617" i="6"/>
  <c r="A651" i="5"/>
  <c r="A160" i="6"/>
  <c r="A179" i="5"/>
  <c r="A144"/>
  <c r="A1366" i="6"/>
  <c r="A270"/>
  <c r="A1663" i="5"/>
  <c r="A58" i="6"/>
  <c r="A503"/>
  <c r="A146"/>
  <c r="A673" i="5"/>
  <c r="A918"/>
  <c r="A111" i="6"/>
  <c r="A856" i="5"/>
  <c r="A1450" i="6"/>
  <c r="A559" i="5"/>
  <c r="A1130"/>
  <c r="A984"/>
  <c r="A646"/>
  <c r="A284" i="6"/>
  <c r="A205"/>
  <c r="A419"/>
  <c r="A212" i="5"/>
  <c r="A1304"/>
  <c r="A1286"/>
  <c r="A1323" i="6"/>
  <c r="A1642"/>
  <c r="A945" i="5"/>
  <c r="A1095"/>
  <c r="A1690"/>
  <c r="A928"/>
  <c r="A1569" i="6"/>
  <c r="A286"/>
  <c r="A297" i="5"/>
  <c r="A300"/>
  <c r="A1618"/>
  <c r="A442" i="6"/>
  <c r="A537" i="5"/>
  <c r="A1224"/>
  <c r="A1297" i="6"/>
  <c r="A1347"/>
  <c r="A982"/>
  <c r="A1408" i="5"/>
  <c r="A1538" i="6"/>
  <c r="A960" i="5"/>
  <c r="A337"/>
  <c r="A945" i="6"/>
  <c r="A1571" i="5"/>
  <c r="A320" i="6"/>
  <c r="A689"/>
  <c r="A1423" i="5"/>
  <c r="A820" i="6"/>
  <c r="A883" i="5"/>
  <c r="A114"/>
  <c r="A569" i="6"/>
  <c r="A840" i="5"/>
  <c r="A75" i="6"/>
  <c r="A52"/>
  <c r="A1506" i="5"/>
  <c r="A1008" i="6"/>
  <c r="A1030"/>
  <c r="A421" i="5"/>
  <c r="A1475"/>
  <c r="A430" i="6"/>
  <c r="A253" i="5"/>
  <c r="A1027" i="6"/>
  <c r="A1246" i="5"/>
  <c r="A1031" i="6"/>
  <c r="A486"/>
  <c r="A1504" i="5"/>
  <c r="A1200" i="6"/>
  <c r="A524" i="5"/>
  <c r="A1152"/>
  <c r="A521"/>
  <c r="A1122"/>
  <c r="A1338" i="6"/>
  <c r="A175"/>
  <c r="A1189" i="5"/>
  <c r="A886" i="6"/>
  <c r="A1169" i="5"/>
  <c r="A361" i="6"/>
  <c r="A266"/>
  <c r="A385" i="5"/>
  <c r="A347"/>
  <c r="A1380" i="6"/>
  <c r="A155" i="5"/>
  <c r="A1597" i="6"/>
  <c r="A77" i="5"/>
  <c r="A1265"/>
  <c r="A528"/>
  <c r="A1379" i="6"/>
  <c r="A479"/>
  <c r="A460"/>
  <c r="A1230"/>
  <c r="A1146" i="5"/>
  <c r="A690" i="6"/>
  <c r="A948"/>
  <c r="A449" i="5"/>
  <c r="A642"/>
  <c r="A1473"/>
  <c r="A1360"/>
  <c r="A96"/>
  <c r="A963"/>
  <c r="A1396"/>
  <c r="A1355" i="6"/>
  <c r="A1328"/>
  <c r="A1473"/>
  <c r="A469" i="5"/>
  <c r="A1257" i="6"/>
  <c r="A957" i="5"/>
  <c r="A1022" i="6"/>
  <c r="A1451" i="5"/>
  <c r="A91"/>
  <c r="A584" i="6"/>
  <c r="A773" i="5"/>
  <c r="A1716"/>
  <c r="A305" i="6"/>
  <c r="A181"/>
  <c r="A1007" i="5"/>
  <c r="A492" i="6"/>
  <c r="A1807"/>
  <c r="A264" i="5"/>
  <c r="A637"/>
  <c r="A282" i="6"/>
  <c r="A927"/>
  <c r="A859" i="5"/>
  <c r="A654" i="6"/>
  <c r="A762" i="5"/>
  <c r="A1290" i="6"/>
  <c r="A546" i="5"/>
  <c r="A970"/>
  <c r="A1068" i="6"/>
  <c r="A1780"/>
  <c r="A554" i="5"/>
  <c r="A1271" i="6"/>
  <c r="A1448" i="5"/>
  <c r="A1025"/>
  <c r="A1567"/>
  <c r="A458"/>
  <c r="A695" i="6"/>
  <c r="A1091" i="5"/>
  <c r="A949" i="6"/>
  <c r="A1065"/>
  <c r="A497"/>
  <c r="A475"/>
  <c r="A723" i="5"/>
  <c r="A162"/>
  <c r="A1296"/>
  <c r="A1727"/>
  <c r="A1791" i="6"/>
  <c r="A1267" i="5"/>
  <c r="A184"/>
  <c r="A455" i="6"/>
  <c r="A1024"/>
  <c r="A388" i="5"/>
  <c r="A346" i="6"/>
  <c r="A26" i="5"/>
  <c r="A387" i="6"/>
  <c r="A677" i="5"/>
  <c r="A1474"/>
  <c r="A45"/>
  <c r="A1125"/>
  <c r="A1514" i="6"/>
  <c r="A458"/>
  <c r="A238"/>
  <c r="A419" i="5"/>
  <c r="A483"/>
  <c r="A428" i="6"/>
  <c r="A463" i="5"/>
  <c r="A1236" i="6"/>
  <c r="A222" i="5"/>
  <c r="A1119" i="6"/>
  <c r="A658" i="5"/>
  <c r="A898"/>
  <c r="A482"/>
  <c r="A149"/>
  <c r="A921" i="6"/>
  <c r="A474"/>
  <c r="A1285" i="5"/>
  <c r="A1318" i="6"/>
  <c r="A34"/>
  <c r="A1497"/>
  <c r="A1148"/>
  <c r="A1737" i="5"/>
  <c r="A390"/>
  <c r="A183"/>
  <c r="A1620" i="6"/>
  <c r="A446" i="5"/>
  <c r="A42" i="6"/>
  <c r="A903" i="5"/>
  <c r="A506"/>
  <c r="A922" i="6"/>
  <c r="A42" i="5"/>
  <c r="A1476" i="6"/>
  <c r="A862" i="5"/>
  <c r="A1021"/>
  <c r="A1637"/>
  <c r="A346"/>
  <c r="A280" i="6"/>
  <c r="A421"/>
  <c r="A628" i="5"/>
  <c r="A842"/>
  <c r="A1239"/>
  <c r="A1123"/>
  <c r="A1202"/>
  <c r="A758" i="6"/>
  <c r="A681" i="5"/>
  <c r="A1594"/>
  <c r="A593"/>
  <c r="A181"/>
  <c r="A357"/>
  <c r="A1126"/>
  <c r="A1736"/>
  <c r="A1211"/>
  <c r="A1121"/>
  <c r="A1333" i="6"/>
  <c r="A1363"/>
  <c r="A1330"/>
  <c r="A29" i="5"/>
  <c r="A1735"/>
  <c r="A638"/>
  <c r="A881"/>
  <c r="A1182"/>
  <c r="A117"/>
  <c r="A563"/>
  <c r="A1251"/>
  <c r="A1309"/>
  <c r="A1490" i="6"/>
  <c r="A1263"/>
  <c r="A1259"/>
  <c r="A1653" i="5"/>
  <c r="A187" i="6"/>
  <c r="A271"/>
  <c r="A503" i="5"/>
  <c r="A652" i="6"/>
  <c r="A49"/>
  <c r="A121"/>
  <c r="A226"/>
  <c r="A507" i="5"/>
  <c r="A134" i="6"/>
  <c r="A1124"/>
  <c r="A1254" i="5"/>
  <c r="A1627" i="6"/>
  <c r="A828" i="5"/>
  <c r="A413"/>
  <c r="A1402" i="6"/>
  <c r="A630"/>
  <c r="A987" i="5"/>
  <c r="A1605" i="6"/>
  <c r="A1568"/>
  <c r="A1803"/>
  <c r="A1467"/>
  <c r="A417" i="5"/>
  <c r="A1500" i="6"/>
  <c r="A1377"/>
  <c r="A591"/>
  <c r="A236" i="5"/>
  <c r="A126"/>
  <c r="A67" i="6"/>
  <c r="A251" i="5"/>
  <c r="A813" i="6"/>
  <c r="A1071" i="5"/>
  <c r="A516" i="6"/>
  <c r="A414" i="5"/>
  <c r="A309" i="6"/>
  <c r="A1388" i="5"/>
  <c r="A1578" i="6"/>
  <c r="A1088"/>
  <c r="A492" i="5"/>
  <c r="A1109"/>
  <c r="A946"/>
  <c r="A1215"/>
  <c r="A993" i="6"/>
  <c r="A807" i="5"/>
  <c r="A1313"/>
  <c r="A1499" i="6"/>
  <c r="A727" i="5"/>
  <c r="A1231" i="6"/>
  <c r="A1348"/>
  <c r="A677"/>
  <c r="A309" i="5"/>
  <c r="A1213" i="6"/>
  <c r="A494"/>
  <c r="A1725" i="5"/>
  <c r="A966"/>
  <c r="A585" i="6"/>
  <c r="A1688" i="5"/>
  <c r="A754" i="6"/>
  <c r="A588" i="5"/>
  <c r="A1363"/>
  <c r="A154" i="6"/>
  <c r="A311"/>
  <c r="A592"/>
  <c r="A384" i="5"/>
  <c r="A726"/>
  <c r="A251" i="6"/>
  <c r="A1362" i="5"/>
  <c r="A1277" i="6"/>
  <c r="A508"/>
  <c r="A1070" i="5"/>
  <c r="A1481" i="6"/>
  <c r="A395" i="5"/>
  <c r="A686" i="6"/>
  <c r="A1435" i="5"/>
  <c r="A1714"/>
  <c r="A1226"/>
  <c r="A1420" i="6"/>
  <c r="A337"/>
  <c r="A416"/>
  <c r="A1604"/>
  <c r="A863" i="5"/>
  <c r="A95" i="6"/>
  <c r="A192" i="5"/>
  <c r="A681" i="6"/>
  <c r="A546"/>
  <c r="A157" i="5"/>
  <c r="A1378" i="6"/>
  <c r="A1020" i="5"/>
  <c r="A82" i="6"/>
  <c r="A110"/>
  <c r="A745"/>
  <c r="A59"/>
  <c r="A796" i="5"/>
  <c r="A35"/>
  <c r="A539"/>
  <c r="A283"/>
  <c r="A1370" i="6"/>
  <c r="A1632" i="5"/>
  <c r="A1077" i="6"/>
  <c r="A461"/>
  <c r="A307" i="5"/>
  <c r="A1528" i="6"/>
  <c r="A1481" i="5"/>
  <c r="A413" i="6"/>
  <c r="A575"/>
  <c r="A1069" i="5"/>
  <c r="A1218"/>
  <c r="A1035" i="6"/>
  <c r="A1533"/>
  <c r="A556"/>
  <c r="A1093" i="5"/>
  <c r="A1038"/>
  <c r="A432" i="6"/>
  <c r="A122" i="5"/>
  <c r="A610"/>
  <c r="A1732"/>
  <c r="A1381" i="6"/>
  <c r="A1802"/>
  <c r="A105" i="5"/>
  <c r="A1741"/>
  <c r="A166"/>
  <c r="A312" i="6"/>
  <c r="A317"/>
  <c r="A993" i="5"/>
  <c r="A1691"/>
  <c r="A767"/>
  <c r="A1547"/>
  <c r="A1623"/>
  <c r="A787" i="6"/>
  <c r="A1194" i="5"/>
  <c r="A750" i="6"/>
  <c r="A643" i="5"/>
  <c r="A210"/>
  <c r="A1396" i="6"/>
  <c r="A969" i="5"/>
  <c r="A1493" i="6"/>
  <c r="A363" i="5"/>
  <c r="A322"/>
  <c r="A919" i="6"/>
  <c r="A1278"/>
  <c r="A1619" i="5"/>
  <c r="A392" i="6"/>
  <c r="A712" i="5"/>
  <c r="A816"/>
  <c r="A1521"/>
  <c r="A401"/>
  <c r="A1117" i="6"/>
  <c r="A1197" i="5"/>
  <c r="A48" i="6"/>
  <c r="A1311" i="5"/>
  <c r="A985" i="6"/>
  <c r="A767"/>
  <c r="A1268"/>
  <c r="A1361"/>
  <c r="A1403" i="5"/>
  <c r="A1636"/>
  <c r="A781"/>
  <c r="A569"/>
  <c r="A1555"/>
  <c r="A115"/>
  <c r="A250" i="6"/>
  <c r="A1275" i="5"/>
  <c r="A318" i="6"/>
  <c r="A1440"/>
  <c r="A325" i="5"/>
  <c r="A1565" i="6"/>
  <c r="A1106"/>
  <c r="A1139" i="5"/>
  <c r="A1384"/>
  <c r="A87"/>
  <c r="A1462"/>
  <c r="A1142" i="6"/>
  <c r="A1642" i="5"/>
  <c r="A291"/>
  <c r="A1143"/>
  <c r="A694" i="6"/>
  <c r="A1055"/>
  <c r="A1424"/>
  <c r="A321" i="5"/>
  <c r="A404"/>
  <c r="A32"/>
  <c r="A1790" i="6"/>
  <c r="A894"/>
  <c r="A833" i="5"/>
  <c r="A147" i="6"/>
  <c r="A1687" i="5"/>
  <c r="A1142"/>
  <c r="A33"/>
  <c r="A929" i="6"/>
  <c r="A227"/>
  <c r="A587" i="5"/>
  <c r="A1144" i="6"/>
  <c r="A1749"/>
  <c r="A425"/>
  <c r="A1435"/>
  <c r="A1135"/>
  <c r="A822" i="5"/>
  <c r="A85"/>
  <c r="A1589"/>
  <c r="A1645"/>
  <c r="A1416" i="6"/>
  <c r="A173"/>
  <c r="A652" i="5"/>
  <c r="A89" i="6"/>
  <c r="A267" i="5"/>
  <c r="A1556"/>
  <c r="A465"/>
  <c r="A1141" i="6"/>
  <c r="A678"/>
  <c r="A1198"/>
  <c r="A1228"/>
  <c r="A1310" i="5"/>
  <c r="A1052" i="6"/>
  <c r="A1227" i="5"/>
  <c r="A1032"/>
  <c r="A734" i="6"/>
  <c r="A854"/>
  <c r="A566" i="5"/>
  <c r="A24" i="6"/>
  <c r="A1365"/>
  <c r="A237"/>
  <c r="A791" i="5"/>
  <c r="A531"/>
  <c r="A1327"/>
  <c r="A1446"/>
  <c r="A194" i="6"/>
  <c r="A662"/>
  <c r="A1517" i="5"/>
  <c r="A1573" i="6"/>
  <c r="A903"/>
  <c r="A500"/>
  <c r="A1148" i="5"/>
  <c r="A460"/>
  <c r="A161"/>
  <c r="A977" i="6"/>
  <c r="A1002" i="5"/>
  <c r="A645"/>
  <c r="A455"/>
  <c r="A396" i="6"/>
  <c r="A912" i="5"/>
  <c r="A1711" i="6"/>
  <c r="A268"/>
  <c r="A382" i="5"/>
  <c r="A1580"/>
  <c r="A1350" i="6"/>
  <c r="A466"/>
  <c r="A452" i="5"/>
  <c r="A779" i="6"/>
  <c r="A1011"/>
  <c r="A409"/>
  <c r="A983"/>
  <c r="A1554"/>
  <c r="A1043"/>
  <c r="A1465"/>
  <c r="A46" i="5"/>
  <c r="A1098" i="6"/>
  <c r="A1620" i="5"/>
  <c r="A1492"/>
  <c r="A161" i="6"/>
  <c r="A1614" i="5"/>
  <c r="A1221" i="6"/>
  <c r="A272" i="5"/>
  <c r="A1417" i="6"/>
  <c r="A1022" i="5"/>
  <c r="A150"/>
  <c r="A1355"/>
  <c r="A595" i="6"/>
  <c r="A1489" i="5"/>
  <c r="A786" i="6"/>
  <c r="A1086" i="5"/>
  <c r="A214"/>
  <c r="A732" i="6"/>
  <c r="A294" i="5"/>
  <c r="A1375" i="6"/>
  <c r="A699"/>
  <c r="A344"/>
  <c r="A1266" i="5"/>
  <c r="A1038" i="6"/>
  <c r="A1201" i="5"/>
  <c r="A1512" i="6"/>
  <c r="A1498" i="5"/>
  <c r="A1027"/>
  <c r="A1214"/>
  <c r="A972" i="6"/>
  <c r="A790"/>
  <c r="A468" i="5"/>
  <c r="A1521" i="6"/>
  <c r="A368" i="5"/>
  <c r="A128"/>
  <c r="A1172"/>
  <c r="A289"/>
  <c r="A54"/>
  <c r="A952" i="6"/>
  <c r="A1518"/>
  <c r="A568"/>
  <c r="A742" i="5"/>
  <c r="A1112"/>
  <c r="A1487"/>
  <c r="A1574" i="6"/>
  <c r="A896" i="5"/>
  <c r="A639"/>
  <c r="A1349" i="6"/>
  <c r="A1724"/>
  <c r="A580"/>
  <c r="A850" i="5"/>
  <c r="A100" i="6"/>
  <c r="A1447"/>
  <c r="A1061" i="5"/>
  <c r="A797" i="6"/>
  <c r="A350" i="5"/>
  <c r="A555"/>
  <c r="A1000" i="6"/>
  <c r="A196" i="5"/>
  <c r="A1721" i="6"/>
  <c r="A777" i="5"/>
  <c r="A88" i="6"/>
  <c r="A356" i="5"/>
  <c r="A1458" i="6"/>
  <c r="A1296"/>
  <c r="A344" i="5"/>
  <c r="A1515"/>
  <c r="A243" i="6"/>
  <c r="A545" i="5"/>
  <c r="A223" i="6"/>
  <c r="A263"/>
  <c r="A901"/>
  <c r="A531"/>
  <c r="A735"/>
  <c r="A81" i="5"/>
  <c r="A1630"/>
  <c r="A1249"/>
  <c r="A299"/>
  <c r="A203"/>
  <c r="A1429" i="6"/>
  <c r="A1012" i="5"/>
  <c r="A1720"/>
  <c r="A156" i="6"/>
  <c r="A1277" i="5"/>
  <c r="A613"/>
  <c r="A467" i="6"/>
  <c r="A1623"/>
  <c r="A303"/>
  <c r="A1149"/>
  <c r="A1047" i="5"/>
  <c r="A550" i="6"/>
  <c r="A79" i="5"/>
  <c r="A666" i="6"/>
  <c r="A79"/>
  <c r="A32"/>
  <c r="A560"/>
  <c r="A445" i="5"/>
  <c r="A1021" i="6"/>
  <c r="A508" i="5"/>
  <c r="A1354"/>
  <c r="A1114"/>
  <c r="A1337"/>
  <c r="A1143" i="6"/>
  <c r="A166"/>
  <c r="A1064" i="5"/>
  <c r="A142"/>
  <c r="A18" i="6"/>
  <c r="A414"/>
  <c r="A651"/>
  <c r="A749"/>
  <c r="A568" i="5"/>
  <c r="A204" i="6"/>
  <c r="A703"/>
  <c r="A1586" i="5"/>
  <c r="A779"/>
  <c r="A224"/>
  <c r="A1518"/>
  <c r="A1653" i="6"/>
  <c r="A1571"/>
  <c r="A1028"/>
  <c r="A1035" i="5"/>
  <c r="A1499"/>
  <c r="A1542" i="6"/>
  <c r="A1341"/>
  <c r="A872" i="5"/>
  <c r="A627" i="6"/>
  <c r="A1601"/>
  <c r="A1729" i="5"/>
  <c r="A774"/>
  <c r="A512"/>
  <c r="A698" i="6"/>
</calcChain>
</file>

<file path=xl/sharedStrings.xml><?xml version="1.0" encoding="utf-8"?>
<sst xmlns="http://schemas.openxmlformats.org/spreadsheetml/2006/main" count="10908" uniqueCount="716">
  <si>
    <t>Обеспечение выполнения муниципального задания бюджетным учреждением города в сфере информационных технологий по обеспечению надежного функционирования технической и сетевой инфраструктуры, информационных систем, средств связи органов мэрии города</t>
  </si>
  <si>
    <t>12 0 0000</t>
  </si>
  <si>
    <t>12 0 0002</t>
  </si>
  <si>
    <t>12 0 0003</t>
  </si>
  <si>
    <t>Развитие туристской, инженерной и транспортной инфраструктур</t>
  </si>
  <si>
    <t>13 0 0000</t>
  </si>
  <si>
    <t>13 0 0001</t>
  </si>
  <si>
    <t>Частичная оплата стоимости путевок в оздоровительные учреждения для детей работников органов городского самоуправления и муниципальных учреждений города</t>
  </si>
  <si>
    <t>13 0 0002</t>
  </si>
  <si>
    <t>13 0 9030</t>
  </si>
  <si>
    <t>Выплата ежемесячного социального пособия на оздоровление работникам учреждений здравоохранения</t>
  </si>
  <si>
    <t>13 0 9031</t>
  </si>
  <si>
    <t>13 0 9040</t>
  </si>
  <si>
    <t>13 0 9041</t>
  </si>
  <si>
    <t>13 0 9050</t>
  </si>
  <si>
    <t>Выплата вознаграждений лицам, имеющим знак «За особые заслуги перед городом Череповцом»</t>
  </si>
  <si>
    <t>13 0 9051</t>
  </si>
  <si>
    <t>13 0 9060</t>
  </si>
  <si>
    <t>Выплата вознаграждений лицам, имеющим звание «Почетный гражданин города Череповца</t>
  </si>
  <si>
    <t>13 0 9061</t>
  </si>
  <si>
    <t>13 0 0007</t>
  </si>
  <si>
    <t>13 0 0008</t>
  </si>
  <si>
    <t>Оплата услуг бани по льготным помывкам</t>
  </si>
  <si>
    <t>14 0 0000</t>
  </si>
  <si>
    <t>Муниципальная программа «Обеспечение жильем отдельных категорий граждан» на 2014-2020 годы</t>
  </si>
  <si>
    <t>14 1 0000</t>
  </si>
  <si>
    <t>Обеспечение жильем молодых семей</t>
  </si>
  <si>
    <t>14 1 0001</t>
  </si>
  <si>
    <t>Предоставление социальных выплат на приобретение (строительство) жилья молодыми семьями</t>
  </si>
  <si>
    <t>14 2 0000</t>
  </si>
  <si>
    <t>Оказание социальной помощи работникам бюджетных учреждений здравоохранения при приобретении жилья по ипотечному кредиту</t>
  </si>
  <si>
    <t>14 2 0001</t>
  </si>
  <si>
    <t>Предоставление единовременных и ежемесячных социальных выплат работникам бюджетных учреждений здравоохранения</t>
  </si>
  <si>
    <t>15 0 0000</t>
  </si>
  <si>
    <t>15 2 0000</t>
  </si>
  <si>
    <t>Энергосбережение и повышение энергетической эффективности в жилищном фонде</t>
  </si>
  <si>
    <t>15 2 0001</t>
  </si>
  <si>
    <t>Оснащение индивидуальными приборами учета коммунальных ресурсов жилых помещений, относящихся к муниципальному жилому фонду</t>
  </si>
  <si>
    <t>16 0 0000</t>
  </si>
  <si>
    <t>Муниципальная программа «Развитие городского общественного транспорта» на 2014-2016 годы</t>
  </si>
  <si>
    <t>16 0 0001</t>
  </si>
  <si>
    <t>Приобретение автобусов в муниципальную собственность</t>
  </si>
  <si>
    <t>17 0 0000</t>
  </si>
  <si>
    <t>17 0 0001</t>
  </si>
  <si>
    <t>Обеспечение подготовки градостроительной документации и нормативно-правовых актов</t>
  </si>
  <si>
    <t>17 0 0002</t>
  </si>
  <si>
    <t>18 0 0000</t>
  </si>
  <si>
    <t>18 1 0000</t>
  </si>
  <si>
    <t>Развитие благоустройства города</t>
  </si>
  <si>
    <t>18 1 0001</t>
  </si>
  <si>
    <t>Мероприятия по благоустройству и повышению внешней привлекательности города</t>
  </si>
  <si>
    <t>18 1 0002</t>
  </si>
  <si>
    <t>Мероприятия по содержанию и ремонту улично-дорожной  сети города</t>
  </si>
  <si>
    <t>18 1 0003</t>
  </si>
  <si>
    <t>Мероприятия по решению общегосударственных вопросов и вопросов в области национальной политики</t>
  </si>
  <si>
    <t>18 2 0000</t>
  </si>
  <si>
    <t>Содержание и ремонт жилищного фонда</t>
  </si>
  <si>
    <t>18 2 0001</t>
  </si>
  <si>
    <t>Капитальный ремонт жилищного фонда</t>
  </si>
  <si>
    <t>18 2 0002</t>
  </si>
  <si>
    <t>Содержание и ремонт временно незаселенных жилых помещений муниципального жилищного фонда</t>
  </si>
  <si>
    <t>19 0 0000</t>
  </si>
  <si>
    <t>Муниципальная программа «Развитие земельно-имущественного комплекса  города Череповца» на 2014-2018 годы</t>
  </si>
  <si>
    <t>19 0 0001</t>
  </si>
  <si>
    <t>Формирование и обеспечение сохранности муниципального земельно-имущественного комплекса</t>
  </si>
  <si>
    <t>19 0 0002</t>
  </si>
  <si>
    <t>Обеспечение поступлений в доход бюджета от использования и распоряжения земельно-имущественным комплексом</t>
  </si>
  <si>
    <t>19 0 0003</t>
  </si>
  <si>
    <t>Обеспечение исполнения полномочий органа местного самоуправления в области наружной рекламы</t>
  </si>
  <si>
    <t>20 0 0000</t>
  </si>
  <si>
    <t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t>
  </si>
  <si>
    <t>20 0 1000</t>
  </si>
  <si>
    <t>20 0 1001</t>
  </si>
  <si>
    <t>Строительство полигона твердых бытовых отходов (ТБО) №2</t>
  </si>
  <si>
    <t>20 0 1002</t>
  </si>
  <si>
    <t>20 0 1003</t>
  </si>
  <si>
    <t>20 0 1004</t>
  </si>
  <si>
    <t>20 0 2000</t>
  </si>
  <si>
    <t>20 0 3000</t>
  </si>
  <si>
    <t>21 0 0000</t>
  </si>
  <si>
    <t>Муниципальная программа «Развитие системы комплексной безопасности жизнедеятельности населения города» на 2014-2018 годы</t>
  </si>
  <si>
    <t>21 1 0000</t>
  </si>
  <si>
    <t>Обеспечение пожарной безопасности муниципальных учреждений города</t>
  </si>
  <si>
    <t>21 1 0001</t>
  </si>
  <si>
    <t>Установка, ремонт и обслуживание установок автоматической пожарной сигнализации и систем оповещения управления эвакуации людей при пожаре</t>
  </si>
  <si>
    <t>21 1 0002</t>
  </si>
  <si>
    <t>Приобретение первичных средств пожаротушения, перезарядка огнетушителей</t>
  </si>
  <si>
    <t>21 1 0003</t>
  </si>
  <si>
    <t>Ремонт и оборудование эвакуационных путей  зданий</t>
  </si>
  <si>
    <t>21 1 0004</t>
  </si>
  <si>
    <t>Ремонт и обслуживание электрооборудования зданий</t>
  </si>
  <si>
    <t>21 1 0005</t>
  </si>
  <si>
    <t>Ремонт и испытание наружных пожарных лестниц</t>
  </si>
  <si>
    <t>21 1 0006</t>
  </si>
  <si>
    <t>Комплектование, ремонт и испытание внутреннего противопожарного водоснабжения зданий (ПК)</t>
  </si>
  <si>
    <t>21 1 0007</t>
  </si>
  <si>
    <t>Огнезащитная обработка деревянных и металлических конструкций зданий, декорации и одежды сцены. Проведение экспертизы.</t>
  </si>
  <si>
    <t>21 1 0008</t>
  </si>
  <si>
    <t>Изготовление планов эвакуации при пожаре</t>
  </si>
  <si>
    <t>21 1 0009</t>
  </si>
  <si>
    <t>Приобретение наглядной агитации по пожарной безопасности (стенды, плакаты)</t>
  </si>
  <si>
    <t>21 1 0010</t>
  </si>
  <si>
    <t>Обучение по программе пожарно-технического минимума</t>
  </si>
  <si>
    <t>21 1 0011</t>
  </si>
  <si>
    <t>Установка распашных решеток на окнах зданий</t>
  </si>
  <si>
    <t>21 2 0000</t>
  </si>
  <si>
    <t>Снижение рисков и смягчение последствий чрезвычайных ситуаций природного и техногенного характера в городе</t>
  </si>
  <si>
    <t>21 2 0001</t>
  </si>
  <si>
    <t>21 2 0002</t>
  </si>
  <si>
    <t>01 3 0003</t>
  </si>
  <si>
    <t>Оказание методической помощи муниципальным общеобразовательным учреждениям, реализующим основные общеобразовательные программы – образовательные программы начального общего, основного общего, среднего общего образования</t>
  </si>
  <si>
    <t>от 10.12.2013 № 234</t>
  </si>
  <si>
    <t>Оборудование основных помещений МБДОУ бактерицидными лампами</t>
  </si>
  <si>
    <t>Ведомственная целевая программа «Отрасль «Культура города Череповца» (2012-2014 годы) (Организация мероприятий по ремонту, реставрации и эффективному использованию  объектов культурного наследия)</t>
  </si>
  <si>
    <t>Развитие библиотечного дела</t>
  </si>
  <si>
    <t>Ведомственная целевая программа «Отрасль «Культура города Череповца» (2012-2014 годы) (Комплектование библиотечных фондов)</t>
  </si>
  <si>
    <t>Ведомственная целевая программа «Отрасль «Культура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t>
  </si>
  <si>
    <t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 и памятными датами, событиями  мировой и отечественной культуры)</t>
  </si>
  <si>
    <t>Развитие музейного дела</t>
  </si>
  <si>
    <t>Приобретение лицензионного ПО, Крипто ПРО с лицензией СЭД</t>
  </si>
  <si>
    <t>21 2 0003</t>
  </si>
  <si>
    <t>Минимизация последствий от ЧС на опасных производственных объектах экономики (ОПОЭ)</t>
  </si>
  <si>
    <t>21 2 0004</t>
  </si>
  <si>
    <t>22 0 0000</t>
  </si>
  <si>
    <t>22 1 0000</t>
  </si>
  <si>
    <t>Создание условий для обеспечения выполнения органами муниципальной власти своих полномочий</t>
  </si>
  <si>
    <t>22 1 0001</t>
  </si>
  <si>
    <t>Обеспечение работы СЭД «Летограф»</t>
  </si>
  <si>
    <t>22 1 0002</t>
  </si>
  <si>
    <t>Материально-техническое обеспечение деятельности работников местного самоуправления</t>
  </si>
  <si>
    <t>22 2 0000</t>
  </si>
  <si>
    <t>Развитие муниципальной службы в мэрии города Череповца</t>
  </si>
  <si>
    <t>22 2 0002</t>
  </si>
  <si>
    <t>22 2 0003</t>
  </si>
  <si>
    <t>Повышение престижа муниципальной службы в городе</t>
  </si>
  <si>
    <t>22 4 0000</t>
  </si>
  <si>
    <t>Снижение административных барьеров, повышение качества и доступности муниципальных услуг, в том числе на базе многофункционального центра организации предоставления государственных и муниципальных услуг</t>
  </si>
  <si>
    <t>22 4 0001</t>
  </si>
  <si>
    <t>Совершенствование предоставления муниципальных услуг</t>
  </si>
  <si>
    <t>22 4 0003</t>
  </si>
  <si>
    <t>Создание и организация деятельности многофункционального центра</t>
  </si>
  <si>
    <t>23 0 0000</t>
  </si>
  <si>
    <t>23 0 0001</t>
  </si>
  <si>
    <t>23 0 0002</t>
  </si>
  <si>
    <t>23 0 0003</t>
  </si>
  <si>
    <t>23 0 0004</t>
  </si>
  <si>
    <t>23 0 0005</t>
  </si>
  <si>
    <t>Обеспечение информирования населения о деятельности органов местного самоуправления, органов мэрии Череповца и актуальных вопросах городской жизнедеятельности</t>
  </si>
  <si>
    <t>23 0 0006</t>
  </si>
  <si>
    <t>Опубликование муниципальных правовых актов, конкурсной документации муниципальных заказчиков, изготовление и размещение других материалов по вопросам местного значения в СМИ</t>
  </si>
  <si>
    <t>24 0 0000</t>
  </si>
  <si>
    <r>
      <t xml:space="preserve">Муниципальная программа </t>
    </r>
    <r>
      <rPr>
        <sz val="13"/>
        <rFont val="Times New Roman"/>
        <family val="1"/>
        <charset val="204"/>
      </rPr>
      <t>«Обеспечение законности, правопорядка и общественной безопасности в городе Череповце» на 2014-2020 годы</t>
    </r>
  </si>
  <si>
    <t>24 1 0000</t>
  </si>
  <si>
    <t>Профилактика преступлений и иных правонарушений в городе Череповце</t>
  </si>
  <si>
    <t>24 1 0005</t>
  </si>
  <si>
    <t>Привлечение общественности к охране общественного порядка</t>
  </si>
  <si>
    <t>24 2 0000</t>
  </si>
  <si>
    <t>Повышение безопасности дорожного движения в городе Череповце</t>
  </si>
  <si>
    <t>24 2 0003</t>
  </si>
  <si>
    <t>Совершенствование материально-технической базы образовательных учреждений, реализующих образовательные программы с изучением правил дорожного движения</t>
  </si>
  <si>
    <t>Охрана объектов растительного и животного мира и среды их обитания</t>
  </si>
  <si>
    <t>Охрана окружающей среды</t>
  </si>
  <si>
    <t>НАЦИОНАЛЬНАЯ БЕЗОПАСНОСТЬ И ПРАВООХРАНИТЕЛЬНАЯ  ДЕЯТЕЛЬНОСТЬ</t>
  </si>
  <si>
    <t xml:space="preserve">Другие вопросы в области культуры, кинематографии </t>
  </si>
  <si>
    <t>Другие вопросы в области жилищно-коммунального хозяйства</t>
  </si>
  <si>
    <t xml:space="preserve">Обеспечение деятельности финансовых, налоговых и таможенных органов и органов финансового (финансово-бюджетного) надзора </t>
  </si>
  <si>
    <t>ВСЕГО РАСХОДОВ</t>
  </si>
  <si>
    <t>КУЛЬТУРА, КИНЕМАТОГРАФИЯ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</si>
  <si>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</si>
  <si>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Председатель представительного органа муниципального образования</t>
  </si>
  <si>
    <t>Депутаты представительного органа муниципального образования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</si>
  <si>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</t>
  </si>
  <si>
    <t xml:space="preserve">РАСХОДЫ                                                                                                                                                                      </t>
  </si>
  <si>
    <t>Субсидии автономным учреждениям на иные цели</t>
  </si>
  <si>
    <t>РАСХОДЫ</t>
  </si>
  <si>
    <t>Физическая культура и спорт</t>
  </si>
  <si>
    <t>Жилищно-коммунальное хозяйство</t>
  </si>
  <si>
    <t>Образование</t>
  </si>
  <si>
    <t>Социальная политика</t>
  </si>
  <si>
    <t>Социальное обеспечение населения</t>
  </si>
  <si>
    <t>Дорожное хозяйство (дорожные фонды)</t>
  </si>
  <si>
    <t>Обслуживание государственного и муниципального долга</t>
  </si>
  <si>
    <t>УПРАВЛЕНИЕ ПО ДЕЛАМ КУЛЬТУРЫ МЭРИИ ГОРОДА</t>
  </si>
  <si>
    <t>Национальная экономика</t>
  </si>
  <si>
    <t xml:space="preserve">Культура </t>
  </si>
  <si>
    <t>Пенсионное обеспечение</t>
  </si>
  <si>
    <t>Физическая культура</t>
  </si>
  <si>
    <t>СОЦИАЛЬНАЯ ПОЛИТИКА</t>
  </si>
  <si>
    <t>10</t>
  </si>
  <si>
    <t>Другие вопросы в области социальной политики</t>
  </si>
  <si>
    <t>13</t>
  </si>
  <si>
    <t>ФИЗИЧЕСКАЯ КУЛЬТУРА И СПОРТ</t>
  </si>
  <si>
    <t>Другие вопросы в области физической культуры и спорта</t>
  </si>
  <si>
    <t>СРЕДСТВА МАССОВОЙ ИНФОРМАЦИИ</t>
  </si>
  <si>
    <t>ОБСЛУЖИВАНИЕ ГОСУДАРСТВЕННОГО И МУНИЦИПАЛЬНОГО ДОЛГА</t>
  </si>
  <si>
    <t>07</t>
  </si>
  <si>
    <t>12</t>
  </si>
  <si>
    <t>ППП</t>
  </si>
  <si>
    <t>Периодическая печать и издательства</t>
  </si>
  <si>
    <t>Молодежная политика и оздоровление детей</t>
  </si>
  <si>
    <t>Резервные фонды</t>
  </si>
  <si>
    <t>Резервные фонды мэрии города</t>
  </si>
  <si>
    <t>ТЕРРИТОРИАЛЬНАЯ ИЗБИРАТЕЛЬНАЯ КОМИССИЯ ГОРОДА ЧЕРЕПОВЦА</t>
  </si>
  <si>
    <t>Общеэкономические вопросы</t>
  </si>
  <si>
    <t>Охрана семьи и детства</t>
  </si>
  <si>
    <t>КОМИТЕТ ПО КОНТРОЛЮ В СФЕРЕ БЛАГОУСТРОЙСТВА И ОХРАНЫ ОКРУЖАЮЩЕЙ СРЕДЫ ГОРОДА</t>
  </si>
  <si>
    <t>Процентные платежи по долговым обязательствам</t>
  </si>
  <si>
    <t>Процентные платежи по муниципальному долгу</t>
  </si>
  <si>
    <t/>
  </si>
  <si>
    <t>Наименование</t>
  </si>
  <si>
    <t>Раздел</t>
  </si>
  <si>
    <t>Подраздел</t>
  </si>
  <si>
    <t>ОБЩЕГОСУДАРСТВЕННЫЕ  ВОПРОСЫ</t>
  </si>
  <si>
    <t>01</t>
  </si>
  <si>
    <t>02</t>
  </si>
  <si>
    <t>03</t>
  </si>
  <si>
    <t>04</t>
  </si>
  <si>
    <t>06</t>
  </si>
  <si>
    <t>Средства массовой информации</t>
  </si>
  <si>
    <t>09</t>
  </si>
  <si>
    <t>НАЦИОНАЛЬНАЯ ЭКОНОМИКА</t>
  </si>
  <si>
    <t>05</t>
  </si>
  <si>
    <t>08</t>
  </si>
  <si>
    <t>Другие вопросы в области национальной экономики</t>
  </si>
  <si>
    <t>11</t>
  </si>
  <si>
    <t>ЖИЛИЩНО-КОММУНАЛЬНОЕ ХОЗЯЙСТВО</t>
  </si>
  <si>
    <t>Жилищное хозяйство</t>
  </si>
  <si>
    <t>ПР</t>
  </si>
  <si>
    <t>ЦСР</t>
  </si>
  <si>
    <t>ВР</t>
  </si>
  <si>
    <t>Связь и информатика</t>
  </si>
  <si>
    <t>Субсидии бюджетным учреждениям на иные цели</t>
  </si>
  <si>
    <t>Субсидии бюджетным учреждениям на финансовое обеспечение муниципального задания на оказание муниципальных услуг (выполнение работ)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</si>
  <si>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</si>
  <si>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</si>
  <si>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</si>
  <si>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Центральный аппарат</t>
  </si>
  <si>
    <t>Другие общегосударственные вопросы</t>
  </si>
  <si>
    <t>Выполнение других обязательств органов местного самоуправления</t>
  </si>
  <si>
    <t>МЭРИЯ ГОРОДА</t>
  </si>
  <si>
    <t>ЧЕРЕПОВЕЦКАЯ ГОРОДСКАЯ ДУМА</t>
  </si>
  <si>
    <t>ДЕПАРТАМЕНТ ЖИЛИЩНО-КОММУНАЛЬНОГО ХОЗЯЙСТВА МЭРИИ ГОРОДА</t>
  </si>
  <si>
    <t>УПРАВЛЕНИЕ АРХИТЕКТУРЫ И ГРАДОСТРОИТЕЛЬСТВА МЭРИИ ГОРОДА</t>
  </si>
  <si>
    <t>УПРАВЛЕНИЕ ОБРАЗОВАНИЯ МЭРИИ ГОРОДА</t>
  </si>
  <si>
    <t>ФИНАНСОВОЕ УПРАВЛЕНИЕ МЭРИИ ГОРОДА</t>
  </si>
  <si>
    <t>КОМИТЕТ ПО ФИЗИЧЕСКОЙ КУЛЬТУРЕ И СПОРТУ МЭРИИ ГОРОДА</t>
  </si>
  <si>
    <t>КОМИТЕТ СОЦИАЛЬНОЙ ЗАЩИТЫ НАСЕЛЕНИЯ ГОРОДА</t>
  </si>
  <si>
    <t>КОМИТЕТ ПО УПРАВЛЕНИЮ ИМУЩЕСТВОМ ГОРОДА</t>
  </si>
  <si>
    <t>Приложение 13</t>
  </si>
  <si>
    <t>Приложение 15</t>
  </si>
  <si>
    <t>Общее образование</t>
  </si>
  <si>
    <t>Другие вопросы в области образования</t>
  </si>
  <si>
    <t>Благоустройство</t>
  </si>
  <si>
    <t>Коммунальное хозяйство</t>
  </si>
  <si>
    <t>ОХРАНА ОКРУЖАЮЩЕЙ СРЕДЫ</t>
  </si>
  <si>
    <t>Другие вопросы в области охраны окружающей среды</t>
  </si>
  <si>
    <t>ОБРАЗОВАНИЕ</t>
  </si>
  <si>
    <t>городской Думы</t>
  </si>
  <si>
    <t>Дошкольное образование</t>
  </si>
  <si>
    <t>Социальное обслуживание населения</t>
  </si>
  <si>
    <t>Строительство детского сада № 35 на 330 мест в 105 мкр.</t>
  </si>
  <si>
    <t xml:space="preserve">Обслуживание государственного внутреннего и муниципального долга </t>
  </si>
  <si>
    <t>Защита населения и территории от чрезвычайных ситуаций природного и техногенного характера, гражданская оборона</t>
  </si>
  <si>
    <t>Приложение 11</t>
  </si>
  <si>
    <t>Здравоохранение</t>
  </si>
  <si>
    <t>Санитарно-эпидемиологическое благополучие</t>
  </si>
  <si>
    <t>ЗДРАВООХРАНЕНИЕ</t>
  </si>
  <si>
    <t>Массовый спорт</t>
  </si>
  <si>
    <t xml:space="preserve">к решению Череповецкой </t>
  </si>
  <si>
    <t xml:space="preserve">  городского бюджета по разделам, подразделам функциональной классификации на 2014 год </t>
  </si>
  <si>
    <t>тыс. рублей</t>
  </si>
  <si>
    <t>01 0 0000</t>
  </si>
  <si>
    <t>Муниципальная программа «Развитие образования» на 2013-2022 годы</t>
  </si>
  <si>
    <t>01 0 0001</t>
  </si>
  <si>
    <t>01 0 0002</t>
  </si>
  <si>
    <t>Обеспечение питанием обучающихся в МОУ</t>
  </si>
  <si>
    <t>01 0 0003</t>
  </si>
  <si>
    <t>Обеспечение работы по организации и ведению бухгалтерского (бюджетного) учета и отчетности</t>
  </si>
  <si>
    <t>01 1 0000</t>
  </si>
  <si>
    <t>01 1 0002</t>
  </si>
  <si>
    <t>01 2 0000</t>
  </si>
  <si>
    <t>01 2 0001</t>
  </si>
  <si>
    <t>01 2 0002</t>
  </si>
  <si>
    <t>01 2 0003</t>
  </si>
  <si>
    <t>Формирование комплексной системы выявления, развития и поддержки одаренных детей и молодых талантов</t>
  </si>
  <si>
    <t>01 3 0000</t>
  </si>
  <si>
    <t>Дополнительное образование</t>
  </si>
  <si>
    <t>01 3 0001</t>
  </si>
  <si>
    <t xml:space="preserve">Организация предоставления дополнительного образования детям </t>
  </si>
  <si>
    <t>01 3 0002</t>
  </si>
  <si>
    <t xml:space="preserve">Организация и проведение массовых мероприятий муниципального уровня различной направленности с обучающимися, обеспечение участия в мероприятиях различного уровня </t>
  </si>
  <si>
    <t>01 4 0000</t>
  </si>
  <si>
    <t>Кадровое обеспечение муниципальной системы образования</t>
  </si>
  <si>
    <t>01 4 9010</t>
  </si>
  <si>
    <t xml:space="preserve">Осуществление выплат городских премий работникам муниципальных образовательных учреждений     </t>
  </si>
  <si>
    <t>01 4 9011</t>
  </si>
  <si>
    <t>01 4 9020</t>
  </si>
  <si>
    <t xml:space="preserve">Осуществление денежных выплат работникам муниципальных образовательных учреждений     </t>
  </si>
  <si>
    <t>01 4 9021</t>
  </si>
  <si>
    <t>99 0 0000</t>
  </si>
  <si>
    <t>Непрограммные направления деятельности органов местного самоуправления</t>
  </si>
  <si>
    <t>99 4 0000</t>
  </si>
  <si>
    <t>Расходы, не включенные в муниципальные программы города Череповца</t>
  </si>
  <si>
    <t>99 4 1000</t>
  </si>
  <si>
    <t>Руководство и управление в сфере установленных функций органов местного самоуправления</t>
  </si>
  <si>
    <t>99 4 1001</t>
  </si>
  <si>
    <t>99 4 1002</t>
  </si>
  <si>
    <t>99 4 1003</t>
  </si>
  <si>
    <t>99 4 1004</t>
  </si>
  <si>
    <t>99 4 2000</t>
  </si>
  <si>
    <t>Реализация функций органов местного самоуправления города, связанных с общегородским управлением</t>
  </si>
  <si>
    <t>99 4 2001</t>
  </si>
  <si>
    <t>Расходы на судебные издержки и исполнение судебных решений</t>
  </si>
  <si>
    <t>99 4 2002</t>
  </si>
  <si>
    <t>99 4 4000</t>
  </si>
  <si>
    <t>99 4 4001</t>
  </si>
  <si>
    <t>Код</t>
  </si>
  <si>
    <t>Иные закупки товаров, работ и услуг для обеспечения муниципальных нужд</t>
  </si>
  <si>
    <t>Закупка товаров, работ, услуг в сфере информационно-коммуникационных технологий</t>
  </si>
  <si>
    <t>Закупка товаров, работ, услуг в целях капитального ремонта муниципального имущества</t>
  </si>
  <si>
    <t>Пособия, компенсации, меры социальной поддержки по публичным нормативным обязательствам</t>
  </si>
  <si>
    <t>Пособия, компенсации и иные социальные выплаты гражданам, кроме публичных нормативных обязательств</t>
  </si>
  <si>
    <t>Субсидии гражданам на приобретение жилья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</si>
  <si>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</si>
  <si>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</si>
  <si>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</si>
  <si>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Бюджетные инвестиции в объекты капитального строительства муниципальной собственности</t>
  </si>
  <si>
    <t>Обслуживание муниципального долга</t>
  </si>
  <si>
    <t>Субсидии юридическим лицам (кроме некоммерческих организаций), индивидуальным предпринимателям, физическим лицам</t>
  </si>
  <si>
    <t>Уплата прочих налогов, сборов и иных платежей</t>
  </si>
  <si>
    <t>Расходы на выплаты персоналу казенных учреждений</t>
  </si>
  <si>
    <t>Капитальное строительство и реконструкция объектов муниципальной собственности</t>
  </si>
  <si>
    <t>Капитальный ремонт  объектов муниципальной собственности</t>
  </si>
  <si>
    <t>Общегосударственные  вопросы</t>
  </si>
  <si>
    <t>Национальная безопасность и правоохранительная  деятельность</t>
  </si>
  <si>
    <t>Культура, кинематография</t>
  </si>
  <si>
    <t>Социальная поддержка пенсионеров на условиях договора пожизненного содержания с иждивением</t>
  </si>
  <si>
    <t>99 4 5000</t>
  </si>
  <si>
    <t>Организационно-методическое обеспечение Программы</t>
  </si>
  <si>
    <t>Обеспечение развития и надежного функционирования городской сетевой инфраструктуры МСПД, базирующейся на современных технических решениях</t>
  </si>
  <si>
    <t>Муниципальная программа «Развитие жилищно-коммунального хозяйства города Череповца» на 2014-2018 годы</t>
  </si>
  <si>
    <t>Строительство объектов сметной стоимостью до 100 млн. рублей</t>
  </si>
  <si>
    <t>Строительство детского сада № 27 в 115 мкр.</t>
  </si>
  <si>
    <t>Расходы на выплаты персоналу в целях обеспечения выполнения функций муниципальными органами, казенными учреждениями</t>
  </si>
  <si>
    <t>Расходы на выплаты персоналу муниципальных органов</t>
  </si>
  <si>
    <t>Закупка товаров, работ и услуг для муниципальных нужд</t>
  </si>
  <si>
    <t xml:space="preserve">Прочая закупка товаров, работ и услуг для обеспечения муниципальных нужд         </t>
  </si>
  <si>
    <t>Социальное обеспечение и иные выплаты населению</t>
  </si>
  <si>
    <t>Публичные нормативные социальные выплаты гражданам</t>
  </si>
  <si>
    <t>Социальные выплаты гражданам, кроме публичных нормативных социальных выплат</t>
  </si>
  <si>
    <t>Иные выплаты населению</t>
  </si>
  <si>
    <t>Капитальные вложения в объекты недвижимого имущества муниципальной собственности</t>
  </si>
  <si>
    <t>Бюджетные инвестиции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</si>
  <si>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</si>
  <si>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</si>
  <si>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Субсидии автономным учреждениям</t>
  </si>
  <si>
    <t>Субсидии некоммерческим организациям (за исключением государственных (муниципальных) учреждений)</t>
  </si>
  <si>
    <t>Иные бюджетные ассигнования</t>
  </si>
  <si>
    <t>Исполнение судебных актов</t>
  </si>
  <si>
    <t>Уплата налогов, сборов и иных платежей</t>
  </si>
  <si>
    <t>Уплата налога на имущество организаций и земельного налога</t>
  </si>
  <si>
    <t>Транспорт</t>
  </si>
  <si>
    <t>Резервные средства</t>
  </si>
  <si>
    <t>Обслуживание государственного (муниципального) долга</t>
  </si>
  <si>
    <t>Создание условий для формирования комфортной городской среды</t>
  </si>
  <si>
    <t>13 0 0009</t>
  </si>
  <si>
    <t>Субсидии на возмещение затрат, связанных с потреблением: энергетических ресурсов, водоснабжения и водоотведения юридическим лицам, осуществляющим свою деятельность в сфере организации отдыха детей</t>
  </si>
  <si>
    <t>Обеспечение проведения выборов и референдумов</t>
  </si>
  <si>
    <t>Обеспечение мероприятий по предвыборной кампании</t>
  </si>
  <si>
    <t>Проведение выборов</t>
  </si>
  <si>
    <t>99 4 5001</t>
  </si>
  <si>
    <t>99 4 6000</t>
  </si>
  <si>
    <r>
      <t xml:space="preserve">Муниципальная программа </t>
    </r>
    <r>
      <rPr>
        <sz val="13"/>
        <rFont val="Times New Roman"/>
        <family val="1"/>
        <charset val="204"/>
      </rPr>
      <t>«Совершенствование муниципального управления в городе Череповце» на 2014-2018 годы</t>
    </r>
  </si>
  <si>
    <t>Кредиторская задолженность, сложившаяся по итогам 2013 года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</si>
  <si>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t>
  </si>
  <si>
    <t>Судебная система</t>
  </si>
  <si>
    <t>99 4 7214</t>
  </si>
  <si>
    <t>99 4 7215</t>
  </si>
  <si>
    <t>99 4 7216</t>
  </si>
  <si>
    <t>Осуществление отдельных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соответствующими статьями закона области от 8 декабря 2010 года № 2429-ОЗ «Об административных правонарушениях в Вологодской области»,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t>
  </si>
  <si>
    <t>99 4 7220</t>
  </si>
  <si>
    <t>Осуществление отдельных государственных полномочий в соответствии с законом области от 1 февраля 2013 года № 2985-ОЗ «О наделении органов местного самоуправления отдельными государственными полномочиями по обеспечению жилыми помещениями детей-сирот и детей, оставшихся без попечения родителей» за счет субвенций из областного бюджета</t>
  </si>
  <si>
    <t>99 4 5002</t>
  </si>
  <si>
    <t>99 4 5120</t>
  </si>
  <si>
    <t>04 0 7219</t>
  </si>
  <si>
    <t>Осуществление отдельных государственных полномочий в соответствии с законом области от 28 апреля 2006 года № 1443-ОЗ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архивного дела» за счет субвенций из областного бюджета</t>
  </si>
  <si>
    <t>24 1 0003</t>
  </si>
  <si>
    <t>Внедрение современных технических средств, направленных на предупреждение правонарушений и преступлений в общественных местах и на улицах</t>
  </si>
  <si>
    <t>24 1 7106</t>
  </si>
  <si>
    <r>
      <t xml:space="preserve">Внедрение и (или) эксплуатация аппаратно-программного комплекса «Безопасный город» </t>
    </r>
    <r>
      <rPr>
        <sz val="13"/>
        <rFont val="Times New Roman"/>
        <family val="1"/>
        <charset val="204"/>
      </rPr>
      <t>за счет субсидий из областного бюджета</t>
    </r>
  </si>
  <si>
    <t>99 4 7207</t>
  </si>
  <si>
    <t>Осуществление отдельных государственных полномочий по организации и осуществлению деятельности по опеке и попечительству в отношении несовершеннолетних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t>
  </si>
  <si>
    <t>99 4 7221</t>
  </si>
  <si>
    <t>Осуществление отдельных государственных полномочий в соответствии с законом области от 5 октября 2006 года № 1501-ОЗ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регулирования цен (тарифов)» за счет субвенций из областного бюджета</t>
  </si>
  <si>
    <t>99 4 7213</t>
  </si>
  <si>
    <t>Осуществление отдельных государственных полномочий по организации и осуществлению деятельности по опеке и попечительству в отношении совершеннолетних граждан, нуждающихся в опеке или попечительстве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t>
  </si>
  <si>
    <t xml:space="preserve">городского бюджета по целевым статьям (муниципальным программам и непрограммным направлениям деятельности), разделам, подразделам, группам и подгруппам видов расходов классификации расходов бюджетов на 2014 год </t>
  </si>
  <si>
    <t>городского бюджета по разделам, подразделам, целевым статьям, группам и подгруппам видов расходов в ведомственной структуре расходов на 2014 год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</si>
  <si>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за счет субвенций из федерального бюджета</t>
  </si>
  <si>
    <t>99 4 7212</t>
  </si>
  <si>
    <t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t>
  </si>
  <si>
    <t>99 4 5250</t>
  </si>
  <si>
    <t>Оплата жилищно-коммунальных услуг отдельным категориям граждан за счет субвенций из федерального бюджета</t>
  </si>
  <si>
    <t>99 4 7217</t>
  </si>
  <si>
    <t>Осуществление отдельных государственных полномочий в соответствии с законом области от 8 ноября 2011 года № 2642-ОЗ «О наделении органов местного самоуправления городского округа «город Череповец» отдельными государственными полномочиями в сфере труда» за счет субвенций из областного бюджета</t>
  </si>
  <si>
    <t>13 0 7213</t>
  </si>
  <si>
    <t>13 0 7212</t>
  </si>
  <si>
    <t>99 4 7218</t>
  </si>
  <si>
    <t>Осуществление отдельных государственных полномочий в соответствии с законом области от 28 июня 2006 года № 1465-ОЗ «О наделении органов местного самоуправления отдельными государственными полномочиями в сфере охраны окружающей среды» за счет субвенций из областного бюджета</t>
  </si>
  <si>
    <t>13 0 7103</t>
  </si>
  <si>
    <t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за счет субсидий из областного бюджета</t>
  </si>
  <si>
    <t>13 0 5250</t>
  </si>
  <si>
    <t>01 7 0000</t>
  </si>
  <si>
    <t>Социально-педагогическая поддержка детей-сирот и детей, оставшихся без попечения родителей</t>
  </si>
  <si>
    <t>01 7 7206</t>
  </si>
  <si>
    <t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t>
  </si>
  <si>
    <t>18 1 7223</t>
  </si>
  <si>
    <t>Субвенции на осуществление отдельных государственных полномочий в соответствии с законом области от 15 января 2013 года № 2966-ОЗ «О наделении органов местного самоуправления отдельными государственными полномочиями в сфере обеспечения санитарно-эпидемиологического благополучия населения» за счет субвенций из областного бюджета</t>
  </si>
  <si>
    <t>Обеспечение жильем отдельных категорий граждан, установленных федеральными законами от 12 января 1995 года № 5-ФЗ «О ветеранах» и от 24 ноября 1995 года № 181-ФЗ «О социальной защите инвалидов в Российской Федерации» за счет субвенций из федерального бюджета</t>
  </si>
  <si>
    <t>14 1 7121</t>
  </si>
  <si>
    <t>Предоставление социальных выплат молодым семьям – участникам подпрограммы «Обеспечение жильем молодых семей» федеральной целевой программы «Жилище» на 2011-2015 годы и государственной программы «Обеспечение населения Вологодской области доступным жильем и формирование комфортной среды проживания на 2014-2020 годы» подпрограммы «Обеспечение жильем отдельных категорий граждан» за счет субсидий из областного бюджета</t>
  </si>
  <si>
    <t>99 4 7224</t>
  </si>
  <si>
    <t>Осуществление отдельных государственных полномочий по защите прав граждан-участников долевого строительства в соответствии с законом области от 6 мая 2013 года № 3033-ОЗ «О наделении органов местного самоуправления отдельными государственными полномочиями по защите прав граждан-участников долевого строительства  многоквартирных домов, перед которыми застройщиками не исполнены обязательства по передаче им жилых помещений, на территории Вологодской области» за счет субвенций из областного бюджета</t>
  </si>
  <si>
    <t>13 0 5065</t>
  </si>
  <si>
    <t>Мероприятия по проведению оздоровительной кампании детей за счет субвенций из федерального бюджета</t>
  </si>
  <si>
    <t>01 0 7204</t>
  </si>
  <si>
    <t>Обеспечение питанием обучающихся в МОУ за счет субвенций из областного бюджета</t>
  </si>
  <si>
    <t>01 1 7209</t>
  </si>
  <si>
    <t>Организация предоставления общедоступного и бесплатного дошкольного образования в муниципальных дошкольных образовательных учреждениях за счет субвенций из областного бюджета</t>
  </si>
  <si>
    <t>01 1 7210</t>
  </si>
  <si>
    <t>Оказание содействия родителям (законным представителям) детей, посещающих дошкольные образовательные учреждения, реализующие основную образовательную программу дошкольного образования за счет субвенций из областного бюджета</t>
  </si>
  <si>
    <t>18 1 7135</t>
  </si>
  <si>
    <t>Осуществление дорожной деятельности в отношении автомобильных дорог общего пользования местного значения за счет субсидий из областного бюджета</t>
  </si>
  <si>
    <t>01 7 7208</t>
  </si>
  <si>
    <t>Социальная поддержка детей-сирот и детей, оставшихся без попечения родителей, находящихся под опекой (попечительством) в семьях (в том числе в приемных семьях), детей-сирот и детей, оставшихся без попечения родителей, находящихся под надзором в организованных по семейному принципу негосударственных организациях для детей-сирот и детей, оставшихся без попечения родителей, обеспечивающих их содержание и воспитание, лиц из числа детей указанных категорий, а также детей, в отношении которых установлена предварительная опека (попечительство) за счет субвенций из областного бюджета</t>
  </si>
  <si>
    <t>01 2 7202</t>
  </si>
  <si>
    <t>Социальная поддержка детей, обучающихся в муниципальных общеобразовательных учреждениях, из многодетных семей в части предоставления денежных выплат на проезд (кроме такси) на городском транспорте, а также на автобусах пригородных и внутрирайонных маршрутов и на приобретение комплекта одежды для посещения школьных занятий, спортивной формы для занятий физической культурой за счет субвенций из областного бюджета</t>
  </si>
  <si>
    <t>01 2 7203</t>
  </si>
  <si>
    <t>01 2 7201</t>
  </si>
  <si>
    <t>Осуществление отдельных государственных полномочий по созданию в муниципальных районах и городских округах области комиссий по делам несовершеннолетних и защите их прав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t>
  </si>
  <si>
    <t>Осуществление отдельных государственных полномочий по созданию в муниципальных районах и городских округах области административных комиссий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t>
  </si>
  <si>
    <t>14 0 5135</t>
  </si>
  <si>
    <t>99 4 8000</t>
  </si>
  <si>
    <t>99 4 8001</t>
  </si>
  <si>
    <t>99 4 9000</t>
  </si>
  <si>
    <t>Возмещение затрат по организации работ, связанных с уборкой улично-дорожной сети предприятиями жилищно-коммунального хозяйства города</t>
  </si>
  <si>
    <t>Предоставление платежей, взносов, безвозмездных перечислений субъектам международного права</t>
  </si>
  <si>
    <t>Взносы в международные организации</t>
  </si>
  <si>
    <t>Создание условий для осуществления присмотра и ухода за детьми в муниципальных дошкольных образовательных учреждениях, реализующих основную образовательную программу дошкольного образования</t>
  </si>
  <si>
    <t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</t>
  </si>
  <si>
    <t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</t>
  </si>
  <si>
    <t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 за счет субвенций из областного бюджета</t>
  </si>
  <si>
    <t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 за счет субвенций из областного бюджета</t>
  </si>
  <si>
    <t xml:space="preserve"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</t>
  </si>
  <si>
    <t>Субсидии автономным учреждениям на финансовое обеспечение муниципального задания на оказание муниципальных услуг (выполнение работ)</t>
  </si>
  <si>
    <t>01 4 9022</t>
  </si>
  <si>
    <t>01 4 9023</t>
  </si>
  <si>
    <t>01 4 9030</t>
  </si>
  <si>
    <t>Представление лучших педагогов сферы образования к поощрению  наградами всех уровней</t>
  </si>
  <si>
    <t>01 4 9031</t>
  </si>
  <si>
    <t>01 5 0000</t>
  </si>
  <si>
    <t>Одаренные дети</t>
  </si>
  <si>
    <t>01 6 0000</t>
  </si>
  <si>
    <t>Укрепление материально-технической базы образовательных учреждений города и обеспечение их безопасности</t>
  </si>
  <si>
    <t>02 0 0000</t>
  </si>
  <si>
    <t>Муниципальная программа «Культура, традиции и народное творчество в городе Череповце» на 2013-2018 годы</t>
  </si>
  <si>
    <t>02 1 0000</t>
  </si>
  <si>
    <t>Сохранение, эффективное использование  и популяризация объектов культурного наследия</t>
  </si>
  <si>
    <t>02 1 0001</t>
  </si>
  <si>
    <t>Сохранение, ремонт и  реставрация объектов культурного наследия</t>
  </si>
  <si>
    <t>02 1 0002</t>
  </si>
  <si>
    <t>02 2 0000</t>
  </si>
  <si>
    <t>02 2 0001</t>
  </si>
  <si>
    <t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 и памятными датами, событиями  мировой и отечественной культуры)</t>
  </si>
  <si>
    <t>02 2 0002</t>
  </si>
  <si>
    <t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t>
  </si>
  <si>
    <t>02 2 0003</t>
  </si>
  <si>
    <t xml:space="preserve">Оказание муниципальных услуг </t>
  </si>
  <si>
    <t>02 2 0004</t>
  </si>
  <si>
    <t xml:space="preserve">Хранение, изучение и обеспечение сохранности музейных предметов </t>
  </si>
  <si>
    <t>02 2 0005</t>
  </si>
  <si>
    <t>Формирование и учет музейного фонда</t>
  </si>
  <si>
    <t>02 3 0000</t>
  </si>
  <si>
    <t>02 3 0001</t>
  </si>
  <si>
    <t>02 3 0002</t>
  </si>
  <si>
    <t>02 3 0004</t>
  </si>
  <si>
    <t>Оказание муниципальных услуг</t>
  </si>
  <si>
    <t>02 3 0005</t>
  </si>
  <si>
    <t>Формирование и учет фондов библиотеки</t>
  </si>
  <si>
    <t>02 3 0006</t>
  </si>
  <si>
    <t>Обеспечение физической сохранности  и безопасности фонда библиотеки</t>
  </si>
  <si>
    <t>02 3 0007</t>
  </si>
  <si>
    <t>Библиографическая обработка документов и организация  каталогов</t>
  </si>
  <si>
    <t>02 4 0000</t>
  </si>
  <si>
    <t>Совершенствование культурно-досуговой деятельности</t>
  </si>
  <si>
    <t>02 4 0001</t>
  </si>
  <si>
    <t>Ведомственная целевая программа «Отрасль 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t>
  </si>
  <si>
    <t>02 4 0002</t>
  </si>
  <si>
    <t>Ведомственная целевая программа «Отрасль Культура города Череповца» (2012-2014 годы) (Укрепление материально-технической базы  муниципальных учреждений)</t>
  </si>
  <si>
    <t>02 4 0003</t>
  </si>
  <si>
    <t>02 4 0004</t>
  </si>
  <si>
    <t>02 4 0005</t>
  </si>
  <si>
    <t>Сохранение нематериального культурного наследия народов традиционной народной культуры</t>
  </si>
  <si>
    <t>02 5 0000</t>
  </si>
  <si>
    <t>Развитие исполнительских искусств</t>
  </si>
  <si>
    <t>02 5 0001</t>
  </si>
  <si>
    <t>02 5 0002</t>
  </si>
  <si>
    <t>02 5 0003</t>
  </si>
  <si>
    <t>02 6 0000</t>
  </si>
  <si>
    <t>Формирование постиндустриального образа города Череповца</t>
  </si>
  <si>
    <t>02 6 0001</t>
  </si>
  <si>
    <t>02 6 0002</t>
  </si>
  <si>
    <t>02 6 0003</t>
  </si>
  <si>
    <t xml:space="preserve">Организация и проведение городских культурно- массовых мероприятий </t>
  </si>
  <si>
    <t>02 8 0000</t>
  </si>
  <si>
    <t xml:space="preserve">Индустрия отдыха на территориях парков культуры и отдыха </t>
  </si>
  <si>
    <t>02 8 0001</t>
  </si>
  <si>
    <t>Работа по организации досуга населения на базе парков культуры и отдыха</t>
  </si>
  <si>
    <t>02 9 0000</t>
  </si>
  <si>
    <t>Дополнительное образование в сфере культуры и искусства, поддержка юных дарований</t>
  </si>
  <si>
    <t>02 9 0001</t>
  </si>
  <si>
    <t>02 9 0002</t>
  </si>
  <si>
    <t>02 0 0010</t>
  </si>
  <si>
    <t>Работа по организации и ведению бухгалтерского (бюджетного) учета и отчетности</t>
  </si>
  <si>
    <t>03 0 0000</t>
  </si>
  <si>
    <t>Муниципальная программа «Создание условий для развития физической культуры и спорта в городе Череповце» на 2013-2022 годы</t>
  </si>
  <si>
    <t>03 0 0001</t>
  </si>
  <si>
    <t>Обеспечение доступа к спортивным объектам</t>
  </si>
  <si>
    <t>03 0 0002</t>
  </si>
  <si>
    <t>03 0 0003</t>
  </si>
  <si>
    <t>03 0 0004</t>
  </si>
  <si>
    <t>03 0 0005</t>
  </si>
  <si>
    <t>Популяризация физической культуры и спорта</t>
  </si>
  <si>
    <t>03 1 0000</t>
  </si>
  <si>
    <t>Спортивный город</t>
  </si>
  <si>
    <t>04 0 0000</t>
  </si>
  <si>
    <t>Муниципальная программа «Развитие архивного дела» на 2013-2018 годы</t>
  </si>
  <si>
    <t>04 0 0002</t>
  </si>
  <si>
    <t>Обеспечение сохранности документов Архивного фонда и других архивных документов и предоставление потребителям ретроспективной информации</t>
  </si>
  <si>
    <t>05 0 0000</t>
  </si>
  <si>
    <t>Муниципальная программа «Охрана окружающей среды» на 2013-2022 годы</t>
  </si>
  <si>
    <t>05 0 0001</t>
  </si>
  <si>
    <t>Сбор и анализ информации о факторах окружающей среды и оценка их влияния на здоровье населения</t>
  </si>
  <si>
    <t>05 0 0002</t>
  </si>
  <si>
    <t>Организация мероприятий по экологическому образованию и воспитанию населения</t>
  </si>
  <si>
    <t>05 0 0004</t>
  </si>
  <si>
    <t>05 0 0006</t>
  </si>
  <si>
    <t>06 0 0000</t>
  </si>
  <si>
    <t>Муниципальная программа «Содействие развитию потребительского рынка в городе Череповце на 2013-2017 годы»</t>
  </si>
  <si>
    <t>06 0 0001</t>
  </si>
  <si>
    <t>07 0 0000</t>
  </si>
  <si>
    <t>Муниципальная программа «Поддержка и развитие малого и среднего предпринимательства в городе Череповце на 2013-2017 годы»</t>
  </si>
  <si>
    <t>07 0 0001</t>
  </si>
  <si>
    <t>Субсидии организациям, образующим инфраструктуру поддержки МСП: НП «Агентство Городского Развития»</t>
  </si>
  <si>
    <t>07 0 0002</t>
  </si>
  <si>
    <t>Субсидии организациям, образующим инфраструктуру поддержки МСП: Вологодская торгово-промышленная палата (членский взнос)</t>
  </si>
  <si>
    <t>08 0 0000</t>
  </si>
  <si>
    <t>Муниципальная программа «Повышение инвестиционной привлекательности города Череповца» на 2014-2018 годы</t>
  </si>
  <si>
    <t>08 0 0001</t>
  </si>
  <si>
    <t>Стимулирование экономического роста путем привлечения инвесторов</t>
  </si>
  <si>
    <t>08 0 0002</t>
  </si>
  <si>
    <t>Информационное и нормативно-правовое сопровождение инвестиционной деятельности</t>
  </si>
  <si>
    <t>08 0 0003</t>
  </si>
  <si>
    <t>Комплексное сопровождение инвестиционных проектов</t>
  </si>
  <si>
    <t>09 0 0000</t>
  </si>
  <si>
    <t>Муниципальная программа «Развитие молодежной политики» на 2013-2018 годы</t>
  </si>
  <si>
    <t>09 0 0001</t>
  </si>
  <si>
    <t>Организация временного трудоустройства несовершеннолетних в возрасте от 14 до 18 лет</t>
  </si>
  <si>
    <t>09 0 0002</t>
  </si>
  <si>
    <t>09 0 0003</t>
  </si>
  <si>
    <t>10 0 0000</t>
  </si>
  <si>
    <t>Муниципальная программа «Здоровый город» на 2014-2022 годы</t>
  </si>
  <si>
    <t>10 0 0001</t>
  </si>
  <si>
    <t>10 0 0002</t>
  </si>
  <si>
    <t>Сохранение и укрепление здоровья детей и подростков</t>
  </si>
  <si>
    <t>10 0 0003</t>
  </si>
  <si>
    <t>Пропаганда здорового образа жизни</t>
  </si>
  <si>
    <t>10 0 0004</t>
  </si>
  <si>
    <t>10 0 0005</t>
  </si>
  <si>
    <t>Здоровье на рабочем месте</t>
  </si>
  <si>
    <t>10 0 0006</t>
  </si>
  <si>
    <t>Активное долголетие</t>
  </si>
  <si>
    <t>11 0 0000</t>
  </si>
  <si>
    <t>Муниципальная программа «iCity – Современные информационные технологии г. Череповца»  на 2014-2020 годы</t>
  </si>
  <si>
    <t>11 0 0001</t>
  </si>
  <si>
    <t>11 0 0002</t>
  </si>
  <si>
    <t>Изменения</t>
  </si>
  <si>
    <t>Решение Череповецкой городской Думы от 10.12.2013 № 234</t>
  </si>
  <si>
    <t>Решение ЧГД от 25.02.2014 № 19</t>
  </si>
  <si>
    <t>99 4 1005</t>
  </si>
  <si>
    <t xml:space="preserve">Руководитель контрольно-счетной палаты муниципального образования и его заместители
</t>
  </si>
  <si>
    <t>Приложение 5</t>
  </si>
  <si>
    <t>20 0 1005</t>
  </si>
  <si>
    <t>Строительство детского сада № 20 в 112 мкр.</t>
  </si>
  <si>
    <t>Проведение мероприятий управлением образования мэрии (августовское совещание, Учитель года, День учителя, прием молодых специалистов)</t>
  </si>
  <si>
    <t>Городские премии имени И.А. Милютина в области образования в соответствии с постановлением Череповецкой городской Думы от 23.09.2003 № 120</t>
  </si>
  <si>
    <t>Денежная компенсация на оплату расходов по найму (поднайму) жилых помещений лицам, работающим в должности «воспитатель» в муниципальных дошкольных образовательных учреждениях в соответствии с решением Череповецкой городской Думы от 29.05.2012 № 97</t>
  </si>
  <si>
    <t>Ежемесячное социальное пособие на оздоровление отдельным категориям работников муниципальных дошкольных образовательных учреждений в соответствии с решением Череповецкой городской Думы от 29.05.2012 № 94</t>
  </si>
  <si>
    <t>Компенсация части родительской платы за содержание ребенка в детском саду (присмотр и уход за детьми) штатным работникам муниципальных дошкольных образовательных учреждений в соответствии с решением Череповецкой городской Думы от 30.10.2012 № 203</t>
  </si>
  <si>
    <t>Премии победителям конкурса профессионального мастерства «Учитель года» в соответствии с решением Череповецкой городской Думы от 29.06.2010 № 128</t>
  </si>
  <si>
    <t>02 4 0006</t>
  </si>
  <si>
    <t>Содержание и благоустройство территории парка имени Ленинского комсомола</t>
  </si>
  <si>
    <t>Ведомственная целевая программа «Отрасль «Культура города Череповца» (2012-2014 годы) (Участие творческих коллективов города в международных, всероссийских, региональных мероприятиях, фестивалях, конкурсах в целях поднятия имиджа города как культурного центра и развитие культурных связей)</t>
  </si>
  <si>
    <t>02 8 0002</t>
  </si>
  <si>
    <t>Ведомственная целевая программа «Отрасль «Культура города Череповца» (2012-2014 годы) (Укрепление материально-технической базы муниципальных учреждений)</t>
  </si>
  <si>
    <t>Осуществление сбора, транспортирования и утилизации ртутьсодержащих отходов от физических лиц (кроме потребителей ртутьсодержащих ламп, являющихся собственниками, нанимателями, пользователями помещений  в многоквартирных домах и имеющих заключенный собственниками указанных помещений договор управления многоквартирными домами или договор оказания услуги и (или) выполнения работ по содержанию и ремонту общего имущества в таких домах)</t>
  </si>
  <si>
    <t>Организация и проведение мероприятий с детьми и молодежью, организация поддержки детских и молодежных общественных объединений в рамках текущей деятельности муниципального бюджетного учреждения «Череповецкий молодежный центр»</t>
  </si>
  <si>
    <t>Муниципальная программа «Развитие внутреннего и въездного туризма в г. Череповце» на 2014-2022 годы</t>
  </si>
  <si>
    <t>Муниципальная программа «Социальная поддержка граждан» на 2014-2018 годы</t>
  </si>
  <si>
    <t>Ежемесячное социальное пособие на оздоровление отдельным категориям работников учреждений здравоохранения в соответствии с решением Череповецкой городской Думы от 29.05.2012 № 93</t>
  </si>
  <si>
    <t>Выплата ежемесячного социального пособия за найм (поднайм) жилых помещений специалистам учреждений здравоохранения</t>
  </si>
  <si>
    <t>Ежемесячное социальное пособие за найм (поднайм) жилых помещений специалистам учреждений здравоохранения в соответствии с решением Череповецкой городской Думы от 29.05.2012 № 98</t>
  </si>
  <si>
    <t>Выплата вознаграждений лицам, имеющим знак «За особые заслуги перед городом Череповцом» в соответствии с постановлением Череповецкой городской Думы от 27.09.2005 № 88</t>
  </si>
  <si>
    <t>Выплата вознаграждений лицам, имеющим звание «Почетный гражданин города Череповца» в соответствии с постановлением Череповецкой городской Думы от 27.09.2005 № 87</t>
  </si>
  <si>
    <t>Муниципальная программа «Энергосбережение и повышение энергетической эффективности на территории муниципального образования «Город Череповец» на 2014-2018 годы</t>
  </si>
  <si>
    <t>Муниципальная программа «Реализация градостроительной политики города Череповца» на 2014-2022 годы</t>
  </si>
  <si>
    <t>Совершенствование организационных и правовых механизмов профессиональной служебной деятельности муниципальных служащих</t>
  </si>
  <si>
    <t>Организация и проведение мероприятий с детьми и молодежью в рамках плана мероприятий с детьми и молодежью за счет средств городского бюджета, утверждаемого постановлением мэрии города</t>
  </si>
  <si>
    <t>Ведомственная целевая программа «Отрасль «Культура города Череповца» (2012-2014 годы) (Предоставление пользователям информационных продуктов, подписка на печатные периодические издания)</t>
  </si>
  <si>
    <t xml:space="preserve">КОНТРОЛЬНО-СЧЕТНАЯ ПАЛАТА ГОРОДА ЧЕРЕПОВЦА </t>
  </si>
  <si>
    <t>изменения</t>
  </si>
  <si>
    <t>Решение ЧГД от 25.03.2014 № 54</t>
  </si>
  <si>
    <t>20 0 1006</t>
  </si>
  <si>
    <t>Научно-исследовательские и опытно-конструкторские работы</t>
  </si>
  <si>
    <t>Приложение 4</t>
  </si>
  <si>
    <t>Решение ЧГД от 28.04.2014 № 78</t>
  </si>
  <si>
    <t>99 4 5083</t>
  </si>
  <si>
    <t>Реализация дополнительных мероприятий в сфере занятости населения за счет иных межбюджетных трансфертов из федерального бюджета</t>
  </si>
  <si>
    <t>99 4 2402</t>
  </si>
  <si>
    <t>Реализация мероприятий по содействию в трудоустройстве незанятых инвалидов на оборудованные (оснащенные) для них рабочие места за счет иных межбюджетных трансфертов из областного бюджета</t>
  </si>
  <si>
    <t>13 0 9120</t>
  </si>
  <si>
    <t>Предоставление мер социальной поддержки инвалидам Великой Отечественной войны, проживающим в городе Череповце, в виде единовременной денежной выплаты на возмещение затрат по замене газового оборудования, подлежащего замене  в соответствии с актом специализированной организации, выполняющей техническое обслуживание внутридомового газового оборудования, в жилых помещениях, принадлежащих им на праве собственности или занимаемых ими по договору социального найма</t>
  </si>
  <si>
    <t>13 0 9121</t>
  </si>
  <si>
    <t>Единовременная денежная выплата инвалидам Великой Отечественной войны, проживающим в городе Череповце, на возмещение затрат по замене газового оборудования (подлежащего замене в соответствии с актом специализированной организации, выполняющей техническое обслуживание внутридомового газового оборудования) в жилых помещениях, принадлежащих им на праве собственности или занимаемых ими по договору социального найма, в соответствии с решением Череповецкой городской Думы от 27.09.2011 № 170</t>
  </si>
  <si>
    <t>Решение ЧГД от 02.06.2014 № 112</t>
  </si>
  <si>
    <t>тыс.рублей</t>
  </si>
  <si>
    <t>16 0 0003</t>
  </si>
  <si>
    <t>Туристско-рекреационный кластер «Центральная городская набережная»</t>
  </si>
  <si>
    <t>Решение ЧГД от 30.06.2014 № 138</t>
  </si>
  <si>
    <t>14 1 5020</t>
  </si>
  <si>
    <t>20 0 5059</t>
  </si>
  <si>
    <t>Модернизация региональных систем дошкольного образования за счет субсидии из федерального бюджета</t>
  </si>
  <si>
    <t>13 0 5027</t>
  </si>
  <si>
    <t>07 0 5064</t>
  </si>
  <si>
    <t>02 9 5014</t>
  </si>
  <si>
    <t>Оснащение аварийно-спасательных подразделений МБУ «СпаС» современными аварийно-спасательными средствами и инструментом</t>
  </si>
  <si>
    <t xml:space="preserve">Обеспечение создания условий для реализации подпрограммы 2 </t>
  </si>
  <si>
    <t>Государственная поддержка малого и среднего предпринимательства, включая крестьянские (фермерские) хозяйства, за счет субсидий из федерального бюджета</t>
  </si>
  <si>
    <t>20 0 1007</t>
  </si>
  <si>
    <t>Строительство средней общеобразовательной школы № 24 в 112 мкр.</t>
  </si>
  <si>
    <t>20 0 1008</t>
  </si>
  <si>
    <t>Реконструкция Октябрьского проспекта на участке от Октябрьского моста до ул. Любецкой</t>
  </si>
  <si>
    <t>20 0 1009</t>
  </si>
  <si>
    <t>Реконструкция пр. Строителей</t>
  </si>
  <si>
    <t>20 0 1010</t>
  </si>
  <si>
    <t>Реконструкция ул. Мамлеева</t>
  </si>
  <si>
    <t>20 0 1011</t>
  </si>
  <si>
    <t>Реконструкция ул. Данилова</t>
  </si>
  <si>
    <t>18 2 0003</t>
  </si>
  <si>
    <t>13 0 0010</t>
  </si>
  <si>
    <t>13 0 9151</t>
  </si>
  <si>
    <t>13 0 9150</t>
  </si>
  <si>
    <t>13 0 9152</t>
  </si>
  <si>
    <t>Выплата единовременной социальной помощи в связи с рождением троих детей многодетным семьям</t>
  </si>
  <si>
    <t>Обеспечение участия в физкультурных мероприятиях и спортивных мероприятиях различного уровня (регионального, всероссийского и международного)</t>
  </si>
  <si>
    <t>Реализация  дополнительных общеобразовательных программ</t>
  </si>
  <si>
    <t>Организация и ведение бухгалтерского (бюджетного) учета и отчетности</t>
  </si>
  <si>
    <t>город</t>
  </si>
  <si>
    <t>область</t>
  </si>
  <si>
    <t>02 1 7125</t>
  </si>
  <si>
    <t>02 2 7125</t>
  </si>
  <si>
    <t>02 3 7125</t>
  </si>
  <si>
    <t>02 4 7125</t>
  </si>
  <si>
    <t>02 5 7125</t>
  </si>
  <si>
    <t>Частичное обеспечение расходов на повышение оплаты труда работников муниципальных учреждений культуры за счет субсидии из областного бюджета</t>
  </si>
  <si>
    <t>первон</t>
  </si>
  <si>
    <t>02 2 0006</t>
  </si>
  <si>
    <t>Субсидии на иные цели МБУК «Череповецкое музейное объединение» для погашения кредиторской задолженности</t>
  </si>
  <si>
    <t>Другие вопросы в области культуры, кинематографии</t>
  </si>
  <si>
    <t>Мероприятия подпрограммы «Обеспечение жильем молодых семей» федеральной целевой программы «Жилище» на 2011-2015 годы за счет субсидий из федерального бюджета</t>
  </si>
  <si>
    <t>Выплата единовременной социальной помощи Степановой К.Н. в связи с рождением троих детей в соответствии с решением Череповецкой городской Думы от 06.10.2014 № 154</t>
  </si>
  <si>
    <t>Выплата единовременной социальной помощи Бовыкиной Я.А. в связи с рождением троих детей в соответствии с решением Череповецкой городской Думы от 06.10.2014 № 154</t>
  </si>
  <si>
    <t>Мероприятия по подпрограмме «Безбарьерная среда» в рамках софинансирования с государственной программой «Социальная поддержка граждан в Вологодской области на 2014-2018 годы»</t>
  </si>
  <si>
    <t>Мероприятия государственной программы Российской Федерации «Доступная среда» на 2011-2015 годы за счет средств федерального бюджета</t>
  </si>
  <si>
    <t>Реализация мероприятий федеральной целевой программы «Культура России» (2012-2018 годы) за счет субсидий из федерального бюджета</t>
  </si>
  <si>
    <t>Проект решения</t>
  </si>
  <si>
    <t xml:space="preserve">от              № </t>
  </si>
  <si>
    <t>от              №</t>
  </si>
  <si>
    <t xml:space="preserve">от                 № </t>
  </si>
  <si>
    <t>22 4 5392</t>
  </si>
  <si>
    <t>20 0 7108</t>
  </si>
  <si>
    <t>Реализация перспективных проектов в сфере развития туризма за счет субсидии из областного бюджета</t>
  </si>
  <si>
    <t>20 0 5392</t>
  </si>
  <si>
    <t>Создание и развитие сети многофункциональных центров предоставления государственных и муниципальных услуг за счет иных межбюджетных трасфертов из федерального бюджета</t>
  </si>
  <si>
    <t>Осуществление полномочий собственника муниципального жилищного фонда городского округа в части внесения взносов в фонд капитального ремонта</t>
  </si>
  <si>
    <t>70 0 0000</t>
  </si>
  <si>
    <t>Резервные фонды Правительства области</t>
  </si>
  <si>
    <t>70 4 0000</t>
  </si>
  <si>
    <t>Резервные фонды исполнительных органов государственной власти субъектов Российской Федерации (на частичное финансирование непредвиденных расходов по созданию детских музейных центров)</t>
  </si>
  <si>
    <t>99 4 5224</t>
  </si>
  <si>
    <t>Повышение качества и безопасности товаров и услуг на потребительском рынке посредством проведения конкурсов среди предприятий сферы потребительского рынка</t>
  </si>
  <si>
    <t xml:space="preserve">Обеспечение создания условий для реализации муниципальной программы </t>
  </si>
  <si>
    <r>
      <t xml:space="preserve">Муниципальная программа </t>
    </r>
    <r>
      <rPr>
        <sz val="13"/>
        <rFont val="Times New Roman"/>
        <family val="1"/>
        <charset val="204"/>
      </rPr>
      <t>«Содействие развитию институтов гражданского общества и информационной открытости органов местного самоуправления в городе Череповце» на 2014-2018 годы</t>
    </r>
  </si>
  <si>
    <t>Формирование положительного имиджа Череповца, как социально ориентированного города, посредством изготовления и размещения социальной рекламы</t>
  </si>
  <si>
    <t>Формирование положительного имиджа Череповца на внутреннем, межрегиональном и международном уровнях посредством проведения имиджевых мероприятий, стимулирующих формирование общественного мнения</t>
  </si>
  <si>
    <t>Формирование положительного имиджа Череповца на межрегиональном уровне посредством участия города в деятельности союзов и ассоциаций</t>
  </si>
  <si>
    <t>Формирование положительного имиджа Череповца на внутреннем, межрегиональном и международном уровнях посредством формирования презентационных пакетов, соответствующих Стандарту качества презентационных пакетов</t>
  </si>
  <si>
    <t>Финансовое обеспечение мероприятий по временному социально-бытовому обустройству лиц, вынужденно покинувших территорию Украины и находящихся в пунктах временного размещения за счет иных межбюджетных трансфертов из федерального бюджета</t>
  </si>
  <si>
    <t>99 4 7406</t>
  </si>
  <si>
    <t xml:space="preserve">Поддержка общеобразовательных организаций, работающих в сложных социальных условиях за счет иных межбюджетных трансфертов из областного бюджета </t>
  </si>
  <si>
    <t>Продвижение городского туристского продукта на российском рынке</t>
  </si>
  <si>
    <t>Ведомственная целевая программа «Отрасль «Культура города Череповца» (2012-2014 годы) (Приобщение населения города к народным традициям, старинному быту и обычаям русского народа, организация и проведение конкурсов, фестивалей и смотров самодеятельного художественного творчества, выставок)</t>
  </si>
  <si>
    <t>Обеспечение равной доступности услуг общественного транспорта по перевозке пассажиров по социально-значимым маршрутам</t>
  </si>
  <si>
    <t>Приложение 6</t>
  </si>
  <si>
    <t>Решение ЧГД от 10.12.2013 № 234 
(с изменениями)</t>
  </si>
  <si>
    <t>скрыть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</si>
</sst>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0"/>
  </numFmts>
  <fonts count="19">
    <font>
      <sz val="10"/>
      <name val="Arial Cyr"/>
      <charset val="204"/>
    </font>
    <font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3"/>
      <name val="Times New Roman"/>
      <family val="1"/>
    </font>
    <font>
      <sz val="8"/>
      <name val="Arial Cyr"/>
      <charset val="204"/>
    </font>
    <font>
      <sz val="13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8"/>
      <color theme="10"/>
      <name val="Arial Cyr"/>
      <charset val="204"/>
    </font>
    <font>
      <sz val="13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3" fillId="0" borderId="0"/>
    <xf numFmtId="0" fontId="11" fillId="0" borderId="0"/>
    <xf numFmtId="0" fontId="6" fillId="0" borderId="0"/>
    <xf numFmtId="0" fontId="3" fillId="0" borderId="0"/>
    <xf numFmtId="0" fontId="10" fillId="0" borderId="0"/>
    <xf numFmtId="0" fontId="16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87"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right"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justify" vertical="center" wrapText="1"/>
    </xf>
    <xf numFmtId="164" fontId="1" fillId="0" borderId="1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justify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1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164" fontId="1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right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right" vertical="center" wrapText="1"/>
    </xf>
    <xf numFmtId="164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0" xfId="0" applyNumberFormat="1" applyFill="1"/>
    <xf numFmtId="0" fontId="1" fillId="0" borderId="3" xfId="0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49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 applyProtection="1">
      <alignment vertical="center" wrapText="1"/>
    </xf>
    <xf numFmtId="164" fontId="1" fillId="0" borderId="1" xfId="0" applyNumberFormat="1" applyFont="1" applyFill="1" applyBorder="1" applyAlignment="1" applyProtection="1">
      <alignment vertical="center" wrapText="1"/>
    </xf>
    <xf numFmtId="164" fontId="12" fillId="0" borderId="0" xfId="19" applyNumberFormat="1" applyFont="1" applyFill="1" applyBorder="1" applyAlignment="1">
      <alignment vertical="center" wrapText="1"/>
    </xf>
    <xf numFmtId="164" fontId="14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justify" vertical="center" wrapText="1"/>
    </xf>
    <xf numFmtId="1" fontId="1" fillId="0" borderId="1" xfId="0" applyNumberFormat="1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7" applyNumberFormat="1" applyFont="1" applyFill="1" applyBorder="1" applyAlignment="1" applyProtection="1">
      <alignment horizontal="justify" vertical="center" wrapText="1"/>
      <protection hidden="1"/>
    </xf>
    <xf numFmtId="49" fontId="1" fillId="0" borderId="1" xfId="0" applyNumberFormat="1" applyFont="1" applyFill="1" applyBorder="1" applyAlignment="1">
      <alignment horizontal="justify" vertical="center" wrapText="1"/>
    </xf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Border="1" applyAlignment="1">
      <alignment horizontal="justify" vertical="center"/>
    </xf>
    <xf numFmtId="0" fontId="1" fillId="0" borderId="0" xfId="24" applyNumberFormat="1" applyFont="1" applyFill="1" applyBorder="1" applyAlignment="1" applyProtection="1">
      <alignment horizontal="justify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0" fontId="1" fillId="0" borderId="0" xfId="7" applyNumberFormat="1" applyFont="1" applyFill="1" applyBorder="1" applyAlignment="1" applyProtection="1">
      <alignment horizontal="justify" vertical="center" wrapText="1"/>
      <protection hidden="1"/>
    </xf>
    <xf numFmtId="0" fontId="1" fillId="0" borderId="0" xfId="11" applyNumberFormat="1" applyFont="1" applyFill="1" applyBorder="1" applyAlignment="1" applyProtection="1">
      <alignment horizontal="justify" vertical="center" wrapText="1"/>
      <protection hidden="1"/>
    </xf>
    <xf numFmtId="164" fontId="1" fillId="0" borderId="1" xfId="0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right" vertical="center"/>
    </xf>
    <xf numFmtId="164" fontId="1" fillId="3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 applyProtection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8" fillId="0" borderId="1" xfId="25" applyFont="1" applyBorder="1" applyAlignment="1" applyProtection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righ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165" fontId="1" fillId="4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164" fontId="1" fillId="4" borderId="1" xfId="0" applyNumberFormat="1" applyFont="1" applyFill="1" applyBorder="1" applyAlignment="1" applyProtection="1">
      <alignment horizontal="right" vertical="center" wrapText="1"/>
    </xf>
    <xf numFmtId="0" fontId="1" fillId="4" borderId="0" xfId="0" applyFont="1" applyFill="1" applyBorder="1" applyAlignment="1">
      <alignment vertical="center" wrapText="1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1" xfId="0" applyFont="1" applyFill="1" applyBorder="1" applyAlignment="1">
      <alignment horizontal="justify" vertical="center"/>
    </xf>
  </cellXfs>
  <cellStyles count="26">
    <cellStyle name="Excel Built-in Normal" xfId="1"/>
    <cellStyle name="Excel Built-in Normal 1" xfId="2"/>
    <cellStyle name="Excel Built-in Normal 2" xfId="3"/>
    <cellStyle name="Excel Built-in Normal 3" xfId="4"/>
    <cellStyle name="Гиперссылка" xfId="25" builtinId="8"/>
    <cellStyle name="Обычный" xfId="0" builtinId="0"/>
    <cellStyle name="Обычный 10" xfId="5"/>
    <cellStyle name="Обычный 11" xfId="6"/>
    <cellStyle name="Обычный 2" xfId="7"/>
    <cellStyle name="Обычный 2 2" xfId="8"/>
    <cellStyle name="Обычный 2 2 2" xfId="9"/>
    <cellStyle name="Обычный 2 2 3" xfId="10"/>
    <cellStyle name="Обычный 2 3" xfId="11"/>
    <cellStyle name="Обычный 2 4" xfId="12"/>
    <cellStyle name="Обычный 2 5" xfId="13"/>
    <cellStyle name="Обычный 3" xfId="14"/>
    <cellStyle name="Обычный 4" xfId="15"/>
    <cellStyle name="Обычный 5" xfId="16"/>
    <cellStyle name="Обычный 6" xfId="17"/>
    <cellStyle name="Обычный 7" xfId="18"/>
    <cellStyle name="Обычный 8" xfId="19"/>
    <cellStyle name="Обычный 8 2" xfId="20"/>
    <cellStyle name="Обычный 8 2 2" xfId="21"/>
    <cellStyle name="Обычный 8 3" xfId="22"/>
    <cellStyle name="Обычный 9" xfId="23"/>
    <cellStyle name="Обычный_tmp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25" name="Picture 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26" name="Picture 6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27" name="Picture 18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28" name="Picture 19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29" name="Picture 20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30" name="Picture 2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31" name="Picture 22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32" name="Picture 23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33" name="Picture 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34" name="Picture 6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35" name="Picture 18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36" name="Picture 19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37" name="Picture 20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38" name="Picture 2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39" name="Picture 22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40" name="Picture 23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41" name="Picture 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42" name="Picture 6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43" name="Picture 18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44" name="Picture 19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45" name="Picture 20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46" name="Picture 2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47" name="Picture 22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48" name="Picture 23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49" name="Picture 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50" name="Picture 6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51" name="Picture 18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52" name="Picture 19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53" name="Picture 20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54" name="Picture 21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802822</xdr:colOff>
      <xdr:row>0</xdr:row>
      <xdr:rowOff>0</xdr:rowOff>
    </xdr:to>
    <xdr:pic>
      <xdr:nvPicPr>
        <xdr:cNvPr id="1055" name="Picture 22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18</xdr:col>
      <xdr:colOff>821872</xdr:colOff>
      <xdr:row>0</xdr:row>
      <xdr:rowOff>0</xdr:rowOff>
    </xdr:to>
    <xdr:pic>
      <xdr:nvPicPr>
        <xdr:cNvPr id="1056" name="Picture 23" descr="SO013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82325" y="0"/>
          <a:ext cx="819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workbookViewId="0">
      <selection activeCell="B13" sqref="B13"/>
    </sheetView>
  </sheetViews>
  <sheetFormatPr defaultColWidth="9.140625" defaultRowHeight="12.75"/>
  <cols>
    <col min="1" max="1" width="9.140625" style="34"/>
    <col min="2" max="2" width="50.7109375" style="34" customWidth="1"/>
    <col min="3" max="16384" width="9.140625" style="34"/>
  </cols>
  <sheetData>
    <row r="1" spans="1:2" ht="16.5">
      <c r="A1" s="26" t="s">
        <v>316</v>
      </c>
      <c r="B1" s="33" t="s">
        <v>209</v>
      </c>
    </row>
    <row r="2" spans="1:2" ht="16.5">
      <c r="A2" s="6">
        <v>801</v>
      </c>
      <c r="B2" s="16" t="s">
        <v>239</v>
      </c>
    </row>
    <row r="3" spans="1:2" ht="16.5">
      <c r="A3" s="6">
        <v>802</v>
      </c>
      <c r="B3" s="11" t="s">
        <v>240</v>
      </c>
    </row>
    <row r="4" spans="1:2" ht="49.5">
      <c r="A4" s="6">
        <v>803</v>
      </c>
      <c r="B4" s="17" t="s">
        <v>241</v>
      </c>
    </row>
    <row r="5" spans="1:2" ht="33">
      <c r="A5" s="6">
        <v>804</v>
      </c>
      <c r="B5" s="17" t="s">
        <v>242</v>
      </c>
    </row>
    <row r="6" spans="1:2" ht="33">
      <c r="A6" s="6">
        <v>805</v>
      </c>
      <c r="B6" s="17" t="s">
        <v>243</v>
      </c>
    </row>
    <row r="7" spans="1:2" ht="33">
      <c r="A7" s="6">
        <v>807</v>
      </c>
      <c r="B7" s="17" t="s">
        <v>244</v>
      </c>
    </row>
    <row r="8" spans="1:2" ht="33">
      <c r="A8" s="6">
        <v>808</v>
      </c>
      <c r="B8" s="17" t="s">
        <v>182</v>
      </c>
    </row>
    <row r="9" spans="1:2" ht="33">
      <c r="A9" s="6">
        <v>809</v>
      </c>
      <c r="B9" s="17" t="s">
        <v>245</v>
      </c>
    </row>
    <row r="10" spans="1:2" ht="33">
      <c r="A10" s="6">
        <v>810</v>
      </c>
      <c r="B10" s="17" t="s">
        <v>246</v>
      </c>
    </row>
    <row r="11" spans="1:2" ht="33">
      <c r="A11" s="6">
        <v>811</v>
      </c>
      <c r="B11" s="17" t="s">
        <v>247</v>
      </c>
    </row>
    <row r="12" spans="1:2" ht="33">
      <c r="A12" s="66">
        <v>812</v>
      </c>
      <c r="B12" s="17" t="s">
        <v>619</v>
      </c>
    </row>
    <row r="13" spans="1:2" ht="49.5">
      <c r="A13" s="6">
        <v>840</v>
      </c>
      <c r="B13" s="17" t="s">
        <v>205</v>
      </c>
    </row>
    <row r="14" spans="1:2" ht="33">
      <c r="A14" s="6">
        <v>842</v>
      </c>
      <c r="B14" s="10" t="s">
        <v>202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A2" sqref="A2:B13"/>
    </sheetView>
  </sheetViews>
  <sheetFormatPr defaultColWidth="9.140625" defaultRowHeight="12.75"/>
  <cols>
    <col min="1" max="1" width="13.140625" style="37" customWidth="1"/>
    <col min="2" max="2" width="55.5703125" style="34" customWidth="1"/>
    <col min="3" max="16384" width="9.140625" style="34"/>
  </cols>
  <sheetData>
    <row r="1" spans="1:2" ht="16.5">
      <c r="A1" s="40" t="s">
        <v>316</v>
      </c>
      <c r="B1" s="38" t="s">
        <v>209</v>
      </c>
    </row>
    <row r="2" spans="1:2" ht="16.5">
      <c r="A2" s="9" t="s">
        <v>213</v>
      </c>
      <c r="B2" s="39" t="s">
        <v>333</v>
      </c>
    </row>
    <row r="3" spans="1:2" ht="33">
      <c r="A3" s="9" t="s">
        <v>215</v>
      </c>
      <c r="B3" s="39" t="s">
        <v>334</v>
      </c>
    </row>
    <row r="4" spans="1:2" ht="16.5">
      <c r="A4" s="9" t="s">
        <v>216</v>
      </c>
      <c r="B4" s="39" t="s">
        <v>183</v>
      </c>
    </row>
    <row r="5" spans="1:2" ht="16.5">
      <c r="A5" s="9" t="s">
        <v>221</v>
      </c>
      <c r="B5" s="39" t="s">
        <v>176</v>
      </c>
    </row>
    <row r="6" spans="1:2" ht="16.5">
      <c r="A6" s="9" t="s">
        <v>217</v>
      </c>
      <c r="B6" s="39" t="s">
        <v>161</v>
      </c>
    </row>
    <row r="7" spans="1:2" ht="16.5">
      <c r="A7" s="9" t="s">
        <v>195</v>
      </c>
      <c r="B7" s="39" t="s">
        <v>177</v>
      </c>
    </row>
    <row r="8" spans="1:2" ht="16.5">
      <c r="A8" s="9" t="s">
        <v>222</v>
      </c>
      <c r="B8" s="39" t="s">
        <v>335</v>
      </c>
    </row>
    <row r="9" spans="1:2" ht="16.5">
      <c r="A9" s="9" t="s">
        <v>219</v>
      </c>
      <c r="B9" s="39" t="s">
        <v>264</v>
      </c>
    </row>
    <row r="10" spans="1:2" ht="16.5">
      <c r="A10" s="9" t="s">
        <v>188</v>
      </c>
      <c r="B10" s="39" t="s">
        <v>178</v>
      </c>
    </row>
    <row r="11" spans="1:2" ht="16.5">
      <c r="A11" s="9" t="s">
        <v>224</v>
      </c>
      <c r="B11" s="39" t="s">
        <v>175</v>
      </c>
    </row>
    <row r="12" spans="1:2" ht="16.5">
      <c r="A12" s="9" t="s">
        <v>196</v>
      </c>
      <c r="B12" s="39" t="s">
        <v>218</v>
      </c>
    </row>
    <row r="13" spans="1:2" ht="33">
      <c r="A13" s="9" t="s">
        <v>190</v>
      </c>
      <c r="B13" s="39" t="s">
        <v>181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281"/>
  <sheetViews>
    <sheetView topLeftCell="A155" zoomScale="80" zoomScaleNormal="80" workbookViewId="0">
      <selection activeCell="C160" sqref="C160"/>
    </sheetView>
  </sheetViews>
  <sheetFormatPr defaultColWidth="9.140625" defaultRowHeight="16.5"/>
  <cols>
    <col min="1" max="1" width="13.7109375" style="27" customWidth="1"/>
    <col min="2" max="2" width="89" style="4" customWidth="1"/>
    <col min="3" max="16384" width="9.140625" style="4"/>
  </cols>
  <sheetData>
    <row r="1" spans="1:2">
      <c r="A1" s="26" t="s">
        <v>316</v>
      </c>
      <c r="B1" s="24" t="s">
        <v>209</v>
      </c>
    </row>
    <row r="2" spans="1:2">
      <c r="A2" s="25" t="s">
        <v>271</v>
      </c>
      <c r="B2" s="24" t="s">
        <v>272</v>
      </c>
    </row>
    <row r="3" spans="1:2" ht="39.950000000000003" customHeight="1">
      <c r="A3" s="25" t="s">
        <v>273</v>
      </c>
      <c r="B3" s="24" t="s">
        <v>594</v>
      </c>
    </row>
    <row r="4" spans="1:2">
      <c r="A4" s="25" t="s">
        <v>274</v>
      </c>
      <c r="B4" s="24" t="s">
        <v>275</v>
      </c>
    </row>
    <row r="5" spans="1:2" ht="33">
      <c r="A5" s="25" t="s">
        <v>276</v>
      </c>
      <c r="B5" s="24" t="s">
        <v>277</v>
      </c>
    </row>
    <row r="6" spans="1:2" ht="33">
      <c r="A6" s="25" t="s">
        <v>425</v>
      </c>
      <c r="B6" s="24" t="s">
        <v>426</v>
      </c>
    </row>
    <row r="7" spans="1:2">
      <c r="A7" s="25" t="s">
        <v>278</v>
      </c>
      <c r="B7" s="24" t="s">
        <v>258</v>
      </c>
    </row>
    <row r="8" spans="1:2" ht="49.5">
      <c r="A8" s="25" t="s">
        <v>279</v>
      </c>
      <c r="B8" s="24" t="s">
        <v>448</v>
      </c>
    </row>
    <row r="9" spans="1:2" ht="49.5">
      <c r="A9" s="25" t="s">
        <v>427</v>
      </c>
      <c r="B9" s="24" t="s">
        <v>428</v>
      </c>
    </row>
    <row r="10" spans="1:2" ht="66">
      <c r="A10" s="25" t="s">
        <v>429</v>
      </c>
      <c r="B10" s="24" t="s">
        <v>430</v>
      </c>
    </row>
    <row r="11" spans="1:2">
      <c r="A11" s="25" t="s">
        <v>280</v>
      </c>
      <c r="B11" s="24" t="s">
        <v>250</v>
      </c>
    </row>
    <row r="12" spans="1:2" ht="53.25" customHeight="1">
      <c r="A12" s="25" t="s">
        <v>281</v>
      </c>
      <c r="B12" s="24" t="s">
        <v>449</v>
      </c>
    </row>
    <row r="13" spans="1:2" ht="75.95" customHeight="1">
      <c r="A13" s="25" t="s">
        <v>282</v>
      </c>
      <c r="B13" s="24" t="s">
        <v>450</v>
      </c>
    </row>
    <row r="14" spans="1:2" ht="33">
      <c r="A14" s="25" t="s">
        <v>283</v>
      </c>
      <c r="B14" s="24" t="s">
        <v>284</v>
      </c>
    </row>
    <row r="15" spans="1:2" ht="53.25" customHeight="1">
      <c r="A15" s="25" t="s">
        <v>438</v>
      </c>
      <c r="B15" s="24" t="s">
        <v>451</v>
      </c>
    </row>
    <row r="16" spans="1:2" ht="121.5" customHeight="1">
      <c r="A16" s="25" t="s">
        <v>435</v>
      </c>
      <c r="B16" s="24" t="s">
        <v>436</v>
      </c>
    </row>
    <row r="17" spans="1:2" ht="84.75" customHeight="1">
      <c r="A17" s="25" t="s">
        <v>437</v>
      </c>
      <c r="B17" s="24" t="s">
        <v>452</v>
      </c>
    </row>
    <row r="18" spans="1:2">
      <c r="A18" s="25" t="s">
        <v>285</v>
      </c>
      <c r="B18" s="24" t="s">
        <v>286</v>
      </c>
    </row>
    <row r="19" spans="1:2">
      <c r="A19" s="25" t="s">
        <v>287</v>
      </c>
      <c r="B19" s="24" t="s">
        <v>288</v>
      </c>
    </row>
    <row r="20" spans="1:2" ht="49.5">
      <c r="A20" s="25" t="s">
        <v>289</v>
      </c>
      <c r="B20" s="44" t="s">
        <v>290</v>
      </c>
    </row>
    <row r="21" spans="1:2" ht="66.75" customHeight="1">
      <c r="A21" s="25" t="s">
        <v>109</v>
      </c>
      <c r="B21" s="24" t="s">
        <v>110</v>
      </c>
    </row>
    <row r="22" spans="1:2">
      <c r="A22" s="25" t="s">
        <v>291</v>
      </c>
      <c r="B22" s="24" t="s">
        <v>292</v>
      </c>
    </row>
    <row r="23" spans="1:2" ht="33">
      <c r="A23" s="25" t="s">
        <v>293</v>
      </c>
      <c r="B23" s="24" t="s">
        <v>294</v>
      </c>
    </row>
    <row r="24" spans="1:2" ht="38.25" customHeight="1">
      <c r="A24" s="25" t="s">
        <v>295</v>
      </c>
      <c r="B24" s="11" t="s">
        <v>595</v>
      </c>
    </row>
    <row r="25" spans="1:2" ht="33">
      <c r="A25" s="25" t="s">
        <v>296</v>
      </c>
      <c r="B25" s="24" t="s">
        <v>297</v>
      </c>
    </row>
    <row r="26" spans="1:2" ht="76.5" customHeight="1">
      <c r="A26" s="25" t="s">
        <v>298</v>
      </c>
      <c r="B26" s="44" t="s">
        <v>596</v>
      </c>
    </row>
    <row r="27" spans="1:2" ht="61.5" customHeight="1">
      <c r="A27" s="25" t="s">
        <v>455</v>
      </c>
      <c r="B27" s="44" t="s">
        <v>597</v>
      </c>
    </row>
    <row r="28" spans="1:2" ht="78" customHeight="1">
      <c r="A28" s="25" t="s">
        <v>456</v>
      </c>
      <c r="B28" s="24" t="s">
        <v>598</v>
      </c>
    </row>
    <row r="29" spans="1:2" ht="33">
      <c r="A29" s="25" t="s">
        <v>457</v>
      </c>
      <c r="B29" s="24" t="s">
        <v>458</v>
      </c>
    </row>
    <row r="30" spans="1:2" ht="37.5" customHeight="1">
      <c r="A30" s="25" t="s">
        <v>459</v>
      </c>
      <c r="B30" s="24" t="s">
        <v>599</v>
      </c>
    </row>
    <row r="31" spans="1:2">
      <c r="A31" s="25" t="s">
        <v>460</v>
      </c>
      <c r="B31" s="24" t="s">
        <v>461</v>
      </c>
    </row>
    <row r="32" spans="1:2" ht="33">
      <c r="A32" s="25" t="s">
        <v>462</v>
      </c>
      <c r="B32" s="24" t="s">
        <v>463</v>
      </c>
    </row>
    <row r="33" spans="1:2" ht="33">
      <c r="A33" s="25" t="s">
        <v>412</v>
      </c>
      <c r="B33" s="24" t="s">
        <v>413</v>
      </c>
    </row>
    <row r="34" spans="1:2" ht="70.7" customHeight="1">
      <c r="A34" s="25" t="s">
        <v>414</v>
      </c>
      <c r="B34" s="24" t="s">
        <v>415</v>
      </c>
    </row>
    <row r="35" spans="1:2" ht="143.25" customHeight="1">
      <c r="A35" s="25" t="s">
        <v>433</v>
      </c>
      <c r="B35" s="24" t="s">
        <v>434</v>
      </c>
    </row>
    <row r="36" spans="1:2" ht="33">
      <c r="A36" s="25" t="s">
        <v>464</v>
      </c>
      <c r="B36" s="24" t="s">
        <v>465</v>
      </c>
    </row>
    <row r="37" spans="1:2" ht="33">
      <c r="A37" s="25" t="s">
        <v>466</v>
      </c>
      <c r="B37" s="24" t="s">
        <v>467</v>
      </c>
    </row>
    <row r="38" spans="1:2">
      <c r="A38" s="25" t="s">
        <v>468</v>
      </c>
      <c r="B38" s="24" t="s">
        <v>469</v>
      </c>
    </row>
    <row r="39" spans="1:2" ht="49.5">
      <c r="A39" s="25" t="s">
        <v>470</v>
      </c>
      <c r="B39" s="24" t="s">
        <v>113</v>
      </c>
    </row>
    <row r="40" spans="1:2" ht="39.75" customHeight="1">
      <c r="A40" s="25" t="s">
        <v>669</v>
      </c>
      <c r="B40" s="24" t="s">
        <v>674</v>
      </c>
    </row>
    <row r="41" spans="1:2">
      <c r="A41" s="25" t="s">
        <v>471</v>
      </c>
      <c r="B41" s="24" t="s">
        <v>118</v>
      </c>
    </row>
    <row r="42" spans="1:2" ht="66">
      <c r="A42" s="25" t="s">
        <v>472</v>
      </c>
      <c r="B42" s="24" t="s">
        <v>473</v>
      </c>
    </row>
    <row r="43" spans="1:2" ht="49.5">
      <c r="A43" s="25" t="s">
        <v>474</v>
      </c>
      <c r="B43" s="24" t="s">
        <v>475</v>
      </c>
    </row>
    <row r="44" spans="1:2">
      <c r="A44" s="25" t="s">
        <v>476</v>
      </c>
      <c r="B44" s="24" t="s">
        <v>477</v>
      </c>
    </row>
    <row r="45" spans="1:2">
      <c r="A45" s="25" t="s">
        <v>478</v>
      </c>
      <c r="B45" s="24" t="s">
        <v>479</v>
      </c>
    </row>
    <row r="46" spans="1:2">
      <c r="A46" s="25" t="s">
        <v>480</v>
      </c>
      <c r="B46" s="24" t="s">
        <v>481</v>
      </c>
    </row>
    <row r="47" spans="1:2" ht="33">
      <c r="A47" s="25" t="s">
        <v>676</v>
      </c>
      <c r="B47" s="24" t="s">
        <v>677</v>
      </c>
    </row>
    <row r="48" spans="1:2" ht="33">
      <c r="A48" s="25" t="s">
        <v>670</v>
      </c>
      <c r="B48" s="24" t="s">
        <v>674</v>
      </c>
    </row>
    <row r="49" spans="1:2">
      <c r="A49" s="25" t="s">
        <v>482</v>
      </c>
      <c r="B49" s="24" t="s">
        <v>114</v>
      </c>
    </row>
    <row r="50" spans="1:2" ht="33">
      <c r="A50" s="25" t="s">
        <v>483</v>
      </c>
      <c r="B50" s="24" t="s">
        <v>115</v>
      </c>
    </row>
    <row r="51" spans="1:2" ht="49.5">
      <c r="A51" s="25" t="s">
        <v>484</v>
      </c>
      <c r="B51" s="24" t="s">
        <v>618</v>
      </c>
    </row>
    <row r="52" spans="1:2">
      <c r="A52" s="25" t="s">
        <v>485</v>
      </c>
      <c r="B52" s="24" t="s">
        <v>486</v>
      </c>
    </row>
    <row r="53" spans="1:2">
      <c r="A53" s="25" t="s">
        <v>487</v>
      </c>
      <c r="B53" s="24" t="s">
        <v>488</v>
      </c>
    </row>
    <row r="54" spans="1:2">
      <c r="A54" s="25" t="s">
        <v>489</v>
      </c>
      <c r="B54" s="24" t="s">
        <v>490</v>
      </c>
    </row>
    <row r="55" spans="1:2">
      <c r="A55" s="25" t="s">
        <v>491</v>
      </c>
      <c r="B55" s="24" t="s">
        <v>492</v>
      </c>
    </row>
    <row r="56" spans="1:2" ht="39.75" customHeight="1">
      <c r="A56" s="25" t="s">
        <v>671</v>
      </c>
      <c r="B56" s="24" t="s">
        <v>674</v>
      </c>
    </row>
    <row r="57" spans="1:2">
      <c r="A57" s="25" t="s">
        <v>493</v>
      </c>
      <c r="B57" s="24" t="s">
        <v>494</v>
      </c>
    </row>
    <row r="58" spans="1:2" ht="49.5">
      <c r="A58" s="25" t="s">
        <v>495</v>
      </c>
      <c r="B58" s="24" t="s">
        <v>496</v>
      </c>
    </row>
    <row r="59" spans="1:2" ht="49.5">
      <c r="A59" s="25" t="s">
        <v>497</v>
      </c>
      <c r="B59" s="24" t="s">
        <v>498</v>
      </c>
    </row>
    <row r="60" spans="1:2" ht="76.5" customHeight="1">
      <c r="A60" s="25" t="s">
        <v>499</v>
      </c>
      <c r="B60" s="24" t="s">
        <v>711</v>
      </c>
    </row>
    <row r="61" spans="1:2">
      <c r="A61" s="25" t="s">
        <v>500</v>
      </c>
      <c r="B61" s="24" t="s">
        <v>486</v>
      </c>
    </row>
    <row r="62" spans="1:2" ht="33">
      <c r="A62" s="25" t="s">
        <v>501</v>
      </c>
      <c r="B62" s="24" t="s">
        <v>502</v>
      </c>
    </row>
    <row r="63" spans="1:2" ht="21" customHeight="1">
      <c r="A63" s="43" t="s">
        <v>600</v>
      </c>
      <c r="B63" s="33" t="s">
        <v>601</v>
      </c>
    </row>
    <row r="64" spans="1:2" ht="39.75" customHeight="1">
      <c r="A64" s="43" t="s">
        <v>672</v>
      </c>
      <c r="B64" s="24" t="s">
        <v>674</v>
      </c>
    </row>
    <row r="65" spans="1:2">
      <c r="A65" s="25" t="s">
        <v>503</v>
      </c>
      <c r="B65" s="24" t="s">
        <v>504</v>
      </c>
    </row>
    <row r="66" spans="1:2" ht="49.5">
      <c r="A66" s="25" t="s">
        <v>505</v>
      </c>
      <c r="B66" s="24" t="s">
        <v>116</v>
      </c>
    </row>
    <row r="67" spans="1:2" ht="49.5">
      <c r="A67" s="25" t="s">
        <v>506</v>
      </c>
      <c r="B67" s="24" t="s">
        <v>475</v>
      </c>
    </row>
    <row r="68" spans="1:2">
      <c r="A68" s="25" t="s">
        <v>507</v>
      </c>
      <c r="B68" s="24" t="s">
        <v>486</v>
      </c>
    </row>
    <row r="69" spans="1:2" ht="41.25" customHeight="1">
      <c r="A69" s="25" t="s">
        <v>673</v>
      </c>
      <c r="B69" s="24" t="s">
        <v>674</v>
      </c>
    </row>
    <row r="70" spans="1:2">
      <c r="A70" s="25" t="s">
        <v>508</v>
      </c>
      <c r="B70" s="24" t="s">
        <v>509</v>
      </c>
    </row>
    <row r="71" spans="1:2" ht="69.75" customHeight="1">
      <c r="A71" s="25" t="s">
        <v>510</v>
      </c>
      <c r="B71" s="24" t="s">
        <v>117</v>
      </c>
    </row>
    <row r="72" spans="1:2" ht="73.5" customHeight="1">
      <c r="A72" s="25" t="s">
        <v>511</v>
      </c>
      <c r="B72" s="24" t="s">
        <v>602</v>
      </c>
    </row>
    <row r="73" spans="1:2">
      <c r="A73" s="25" t="s">
        <v>512</v>
      </c>
      <c r="B73" s="24" t="s">
        <v>513</v>
      </c>
    </row>
    <row r="74" spans="1:2">
      <c r="A74" s="25" t="s">
        <v>514</v>
      </c>
      <c r="B74" s="24" t="s">
        <v>515</v>
      </c>
    </row>
    <row r="75" spans="1:2">
      <c r="A75" s="25" t="s">
        <v>516</v>
      </c>
      <c r="B75" s="24" t="s">
        <v>517</v>
      </c>
    </row>
    <row r="76" spans="1:2" ht="53.25" customHeight="1">
      <c r="A76" s="25" t="s">
        <v>603</v>
      </c>
      <c r="B76" s="24" t="s">
        <v>604</v>
      </c>
    </row>
    <row r="77" spans="1:2" ht="33">
      <c r="A77" s="25" t="s">
        <v>518</v>
      </c>
      <c r="B77" s="24" t="s">
        <v>519</v>
      </c>
    </row>
    <row r="78" spans="1:2" ht="49.5">
      <c r="A78" s="25" t="s">
        <v>520</v>
      </c>
      <c r="B78" s="24" t="s">
        <v>475</v>
      </c>
    </row>
    <row r="79" spans="1:2" ht="23.25" customHeight="1">
      <c r="A79" s="25" t="s">
        <v>521</v>
      </c>
      <c r="B79" s="24" t="s">
        <v>486</v>
      </c>
    </row>
    <row r="80" spans="1:2" ht="51" customHeight="1">
      <c r="A80" s="25" t="s">
        <v>644</v>
      </c>
      <c r="B80" s="24" t="s">
        <v>684</v>
      </c>
    </row>
    <row r="81" spans="1:2" ht="33">
      <c r="A81" s="25" t="s">
        <v>522</v>
      </c>
      <c r="B81" s="24" t="s">
        <v>523</v>
      </c>
    </row>
    <row r="82" spans="1:2" ht="33">
      <c r="A82" s="25" t="s">
        <v>524</v>
      </c>
      <c r="B82" s="24" t="s">
        <v>525</v>
      </c>
    </row>
    <row r="83" spans="1:2">
      <c r="A83" s="25" t="s">
        <v>526</v>
      </c>
      <c r="B83" s="24" t="s">
        <v>527</v>
      </c>
    </row>
    <row r="84" spans="1:2" ht="39.950000000000003" customHeight="1">
      <c r="A84" s="25" t="s">
        <v>528</v>
      </c>
      <c r="B84" s="24" t="s">
        <v>664</v>
      </c>
    </row>
    <row r="85" spans="1:2">
      <c r="A85" s="25" t="s">
        <v>529</v>
      </c>
      <c r="B85" s="24" t="s">
        <v>665</v>
      </c>
    </row>
    <row r="86" spans="1:2">
      <c r="A86" s="25" t="s">
        <v>530</v>
      </c>
      <c r="B86" s="24" t="s">
        <v>666</v>
      </c>
    </row>
    <row r="87" spans="1:2">
      <c r="A87" s="25" t="s">
        <v>531</v>
      </c>
      <c r="B87" s="24" t="s">
        <v>532</v>
      </c>
    </row>
    <row r="88" spans="1:2">
      <c r="A88" s="25" t="s">
        <v>533</v>
      </c>
      <c r="B88" s="24" t="s">
        <v>534</v>
      </c>
    </row>
    <row r="89" spans="1:2">
      <c r="A89" s="25" t="s">
        <v>535</v>
      </c>
      <c r="B89" s="24" t="s">
        <v>536</v>
      </c>
    </row>
    <row r="90" spans="1:2" ht="33">
      <c r="A90" s="25" t="s">
        <v>537</v>
      </c>
      <c r="B90" s="24" t="s">
        <v>538</v>
      </c>
    </row>
    <row r="91" spans="1:2" ht="83.45" customHeight="1">
      <c r="A91" s="25" t="s">
        <v>384</v>
      </c>
      <c r="B91" s="24" t="s">
        <v>385</v>
      </c>
    </row>
    <row r="92" spans="1:2">
      <c r="A92" s="42" t="s">
        <v>539</v>
      </c>
      <c r="B92" s="24" t="s">
        <v>540</v>
      </c>
    </row>
    <row r="93" spans="1:2" ht="33">
      <c r="A93" s="42" t="s">
        <v>541</v>
      </c>
      <c r="B93" s="44" t="s">
        <v>542</v>
      </c>
    </row>
    <row r="94" spans="1:2" ht="33">
      <c r="A94" s="42" t="s">
        <v>543</v>
      </c>
      <c r="B94" s="44" t="s">
        <v>544</v>
      </c>
    </row>
    <row r="95" spans="1:2">
      <c r="A95" s="42" t="s">
        <v>545</v>
      </c>
      <c r="B95" s="44" t="s">
        <v>112</v>
      </c>
    </row>
    <row r="96" spans="1:2" ht="103.5" customHeight="1">
      <c r="A96" s="42" t="s">
        <v>546</v>
      </c>
      <c r="B96" s="44" t="s">
        <v>605</v>
      </c>
    </row>
    <row r="97" spans="1:2" ht="33">
      <c r="A97" s="42" t="s">
        <v>547</v>
      </c>
      <c r="B97" s="24" t="s">
        <v>548</v>
      </c>
    </row>
    <row r="98" spans="1:2" ht="49.5">
      <c r="A98" s="42" t="s">
        <v>549</v>
      </c>
      <c r="B98" s="24" t="s">
        <v>700</v>
      </c>
    </row>
    <row r="99" spans="1:2" ht="33">
      <c r="A99" s="42" t="s">
        <v>550</v>
      </c>
      <c r="B99" s="44" t="s">
        <v>551</v>
      </c>
    </row>
    <row r="100" spans="1:2" ht="33">
      <c r="A100" s="42" t="s">
        <v>552</v>
      </c>
      <c r="B100" s="44" t="s">
        <v>553</v>
      </c>
    </row>
    <row r="101" spans="1:2" ht="33">
      <c r="A101" s="42" t="s">
        <v>554</v>
      </c>
      <c r="B101" s="44" t="s">
        <v>555</v>
      </c>
    </row>
    <row r="102" spans="1:2" ht="37.5" customHeight="1">
      <c r="A102" s="42" t="s">
        <v>643</v>
      </c>
      <c r="B102" s="44" t="s">
        <v>647</v>
      </c>
    </row>
    <row r="103" spans="1:2" ht="33">
      <c r="A103" s="42" t="s">
        <v>556</v>
      </c>
      <c r="B103" s="44" t="s">
        <v>557</v>
      </c>
    </row>
    <row r="104" spans="1:2">
      <c r="A104" s="42" t="s">
        <v>558</v>
      </c>
      <c r="B104" s="24" t="s">
        <v>559</v>
      </c>
    </row>
    <row r="105" spans="1:2" ht="33">
      <c r="A105" s="42" t="s">
        <v>560</v>
      </c>
      <c r="B105" s="24" t="s">
        <v>561</v>
      </c>
    </row>
    <row r="106" spans="1:2">
      <c r="A106" s="42" t="s">
        <v>562</v>
      </c>
      <c r="B106" s="24" t="s">
        <v>563</v>
      </c>
    </row>
    <row r="107" spans="1:2">
      <c r="A107" s="25" t="s">
        <v>564</v>
      </c>
      <c r="B107" s="24" t="s">
        <v>565</v>
      </c>
    </row>
    <row r="108" spans="1:2" ht="33">
      <c r="A108" s="25" t="s">
        <v>566</v>
      </c>
      <c r="B108" s="24" t="s">
        <v>567</v>
      </c>
    </row>
    <row r="109" spans="1:2" ht="49.5">
      <c r="A109" s="25" t="s">
        <v>568</v>
      </c>
      <c r="B109" s="24" t="s">
        <v>617</v>
      </c>
    </row>
    <row r="110" spans="1:2" ht="72" customHeight="1">
      <c r="A110" s="25" t="s">
        <v>569</v>
      </c>
      <c r="B110" s="24" t="s">
        <v>606</v>
      </c>
    </row>
    <row r="111" spans="1:2">
      <c r="A111" s="25" t="s">
        <v>570</v>
      </c>
      <c r="B111" s="24" t="s">
        <v>571</v>
      </c>
    </row>
    <row r="112" spans="1:2">
      <c r="A112" s="25" t="s">
        <v>572</v>
      </c>
      <c r="B112" s="58" t="s">
        <v>338</v>
      </c>
    </row>
    <row r="113" spans="1:2">
      <c r="A113" s="25" t="s">
        <v>573</v>
      </c>
      <c r="B113" s="44" t="s">
        <v>574</v>
      </c>
    </row>
    <row r="114" spans="1:2">
      <c r="A114" s="25" t="s">
        <v>575</v>
      </c>
      <c r="B114" s="44" t="s">
        <v>576</v>
      </c>
    </row>
    <row r="115" spans="1:2">
      <c r="A115" s="25" t="s">
        <v>577</v>
      </c>
      <c r="B115" s="44" t="s">
        <v>579</v>
      </c>
    </row>
    <row r="116" spans="1:2">
      <c r="A116" s="25" t="s">
        <v>578</v>
      </c>
      <c r="B116" s="44" t="s">
        <v>579</v>
      </c>
    </row>
    <row r="117" spans="1:2">
      <c r="A117" s="25" t="s">
        <v>580</v>
      </c>
      <c r="B117" s="44" t="s">
        <v>581</v>
      </c>
    </row>
    <row r="118" spans="1:2" ht="33">
      <c r="A118" s="25" t="s">
        <v>582</v>
      </c>
      <c r="B118" s="24" t="s">
        <v>583</v>
      </c>
    </row>
    <row r="119" spans="1:2" ht="33">
      <c r="A119" s="25" t="s">
        <v>584</v>
      </c>
      <c r="B119" s="24" t="s">
        <v>339</v>
      </c>
    </row>
    <row r="120" spans="1:2" ht="75.95" customHeight="1">
      <c r="A120" s="25" t="s">
        <v>585</v>
      </c>
      <c r="B120" s="24" t="s">
        <v>0</v>
      </c>
    </row>
    <row r="121" spans="1:2" ht="38.25" customHeight="1">
      <c r="A121" s="42" t="s">
        <v>1</v>
      </c>
      <c r="B121" s="24" t="s">
        <v>607</v>
      </c>
    </row>
    <row r="122" spans="1:2">
      <c r="A122" s="42" t="s">
        <v>2</v>
      </c>
      <c r="B122" s="24" t="s">
        <v>710</v>
      </c>
    </row>
    <row r="123" spans="1:2">
      <c r="A123" s="42" t="s">
        <v>3</v>
      </c>
      <c r="B123" s="24" t="s">
        <v>4</v>
      </c>
    </row>
    <row r="124" spans="1:2" ht="21.95" customHeight="1">
      <c r="A124" s="42" t="s">
        <v>5</v>
      </c>
      <c r="B124" s="24" t="s">
        <v>608</v>
      </c>
    </row>
    <row r="125" spans="1:2" ht="49.5">
      <c r="A125" s="42" t="s">
        <v>6</v>
      </c>
      <c r="B125" s="24" t="s">
        <v>7</v>
      </c>
    </row>
    <row r="126" spans="1:2" ht="56.25" customHeight="1">
      <c r="A126" s="42" t="s">
        <v>8</v>
      </c>
      <c r="B126" s="24" t="s">
        <v>453</v>
      </c>
    </row>
    <row r="127" spans="1:2" ht="33">
      <c r="A127" s="42" t="s">
        <v>9</v>
      </c>
      <c r="B127" s="24" t="s">
        <v>10</v>
      </c>
    </row>
    <row r="128" spans="1:2" ht="49.5">
      <c r="A128" s="42" t="s">
        <v>11</v>
      </c>
      <c r="B128" s="24" t="s">
        <v>609</v>
      </c>
    </row>
    <row r="129" spans="1:2" ht="33">
      <c r="A129" s="42" t="s">
        <v>12</v>
      </c>
      <c r="B129" s="24" t="s">
        <v>610</v>
      </c>
    </row>
    <row r="130" spans="1:2" ht="49.5">
      <c r="A130" s="42" t="s">
        <v>13</v>
      </c>
      <c r="B130" s="24" t="s">
        <v>611</v>
      </c>
    </row>
    <row r="131" spans="1:2" ht="33">
      <c r="A131" s="42" t="s">
        <v>14</v>
      </c>
      <c r="B131" s="24" t="s">
        <v>15</v>
      </c>
    </row>
    <row r="132" spans="1:2" ht="53.25" customHeight="1">
      <c r="A132" s="42" t="s">
        <v>16</v>
      </c>
      <c r="B132" s="24" t="s">
        <v>612</v>
      </c>
    </row>
    <row r="133" spans="1:2" ht="39" customHeight="1">
      <c r="A133" s="42" t="s">
        <v>17</v>
      </c>
      <c r="B133" s="24" t="s">
        <v>18</v>
      </c>
    </row>
    <row r="134" spans="1:2" ht="52.7" customHeight="1">
      <c r="A134" s="42" t="s">
        <v>19</v>
      </c>
      <c r="B134" s="24" t="s">
        <v>613</v>
      </c>
    </row>
    <row r="135" spans="1:2" ht="33">
      <c r="A135" s="42" t="s">
        <v>20</v>
      </c>
      <c r="B135" s="24" t="s">
        <v>336</v>
      </c>
    </row>
    <row r="136" spans="1:2">
      <c r="A136" s="42" t="s">
        <v>21</v>
      </c>
      <c r="B136" s="24" t="s">
        <v>22</v>
      </c>
    </row>
    <row r="137" spans="1:2" ht="56.25" customHeight="1">
      <c r="A137" s="42" t="s">
        <v>365</v>
      </c>
      <c r="B137" s="24" t="s">
        <v>366</v>
      </c>
    </row>
    <row r="138" spans="1:2" ht="61.5" customHeight="1">
      <c r="A138" s="42" t="s">
        <v>659</v>
      </c>
      <c r="B138" s="24" t="s">
        <v>682</v>
      </c>
    </row>
    <row r="139" spans="1:2" ht="39" customHeight="1">
      <c r="A139" s="42" t="s">
        <v>642</v>
      </c>
      <c r="B139" s="113" t="s">
        <v>683</v>
      </c>
    </row>
    <row r="140" spans="1:2" ht="33">
      <c r="A140" s="42" t="s">
        <v>423</v>
      </c>
      <c r="B140" s="24" t="s">
        <v>424</v>
      </c>
    </row>
    <row r="141" spans="1:2" ht="39.950000000000003" customHeight="1">
      <c r="A141" s="42" t="s">
        <v>411</v>
      </c>
      <c r="B141" s="24" t="s">
        <v>402</v>
      </c>
    </row>
    <row r="142" spans="1:2" ht="69" customHeight="1">
      <c r="A142" s="42" t="s">
        <v>409</v>
      </c>
      <c r="B142" s="24" t="s">
        <v>410</v>
      </c>
    </row>
    <row r="143" spans="1:2" ht="76.5" customHeight="1">
      <c r="A143" s="42" t="s">
        <v>406</v>
      </c>
      <c r="B143" s="24" t="s">
        <v>400</v>
      </c>
    </row>
    <row r="144" spans="1:2" ht="125.25" customHeight="1">
      <c r="A144" s="42" t="s">
        <v>405</v>
      </c>
      <c r="B144" s="24" t="s">
        <v>395</v>
      </c>
    </row>
    <row r="145" spans="1:2" ht="123" customHeight="1">
      <c r="A145" s="42" t="s">
        <v>630</v>
      </c>
      <c r="B145" s="24" t="s">
        <v>631</v>
      </c>
    </row>
    <row r="146" spans="1:2" ht="120" customHeight="1">
      <c r="A146" s="42" t="s">
        <v>632</v>
      </c>
      <c r="B146" s="24" t="s">
        <v>633</v>
      </c>
    </row>
    <row r="147" spans="1:2" ht="49.5" customHeight="1">
      <c r="A147" s="125" t="s">
        <v>661</v>
      </c>
      <c r="B147" s="24" t="s">
        <v>663</v>
      </c>
    </row>
    <row r="148" spans="1:2" ht="57" customHeight="1">
      <c r="A148" s="42" t="s">
        <v>660</v>
      </c>
      <c r="B148" s="24" t="s">
        <v>680</v>
      </c>
    </row>
    <row r="149" spans="1:2" ht="53.25" customHeight="1">
      <c r="A149" s="42" t="s">
        <v>662</v>
      </c>
      <c r="B149" s="24" t="s">
        <v>681</v>
      </c>
    </row>
    <row r="150" spans="1:2" ht="33">
      <c r="A150" s="42" t="s">
        <v>23</v>
      </c>
      <c r="B150" s="24" t="s">
        <v>24</v>
      </c>
    </row>
    <row r="151" spans="1:2" ht="73.5" customHeight="1">
      <c r="A151" s="42" t="s">
        <v>441</v>
      </c>
      <c r="B151" s="24" t="s">
        <v>418</v>
      </c>
    </row>
    <row r="152" spans="1:2">
      <c r="A152" s="42" t="s">
        <v>25</v>
      </c>
      <c r="B152" s="24" t="s">
        <v>26</v>
      </c>
    </row>
    <row r="153" spans="1:2" ht="33">
      <c r="A153" s="42" t="s">
        <v>27</v>
      </c>
      <c r="B153" s="24" t="s">
        <v>28</v>
      </c>
    </row>
    <row r="154" spans="1:2" ht="53.25" customHeight="1">
      <c r="A154" s="42" t="s">
        <v>639</v>
      </c>
      <c r="B154" s="24" t="s">
        <v>679</v>
      </c>
    </row>
    <row r="155" spans="1:2" ht="121.5" customHeight="1">
      <c r="A155" s="42" t="s">
        <v>419</v>
      </c>
      <c r="B155" s="24" t="s">
        <v>420</v>
      </c>
    </row>
    <row r="156" spans="1:2" ht="33">
      <c r="A156" s="47" t="s">
        <v>29</v>
      </c>
      <c r="B156" s="33" t="s">
        <v>30</v>
      </c>
    </row>
    <row r="157" spans="1:2" ht="33">
      <c r="A157" s="42" t="s">
        <v>31</v>
      </c>
      <c r="B157" s="24" t="s">
        <v>32</v>
      </c>
    </row>
    <row r="158" spans="1:2" ht="49.5">
      <c r="A158" s="42" t="s">
        <v>33</v>
      </c>
      <c r="B158" s="24" t="s">
        <v>614</v>
      </c>
    </row>
    <row r="159" spans="1:2" ht="33">
      <c r="A159" s="42" t="s">
        <v>34</v>
      </c>
      <c r="B159" s="24" t="s">
        <v>35</v>
      </c>
    </row>
    <row r="160" spans="1:2" ht="33">
      <c r="A160" s="42" t="s">
        <v>36</v>
      </c>
      <c r="B160" s="24" t="s">
        <v>37</v>
      </c>
    </row>
    <row r="161" spans="1:2" ht="33">
      <c r="A161" s="42" t="s">
        <v>38</v>
      </c>
      <c r="B161" s="44" t="s">
        <v>39</v>
      </c>
    </row>
    <row r="162" spans="1:2">
      <c r="A162" s="42" t="s">
        <v>40</v>
      </c>
      <c r="B162" s="44" t="s">
        <v>41</v>
      </c>
    </row>
    <row r="163" spans="1:2" ht="33">
      <c r="A163" s="42" t="s">
        <v>636</v>
      </c>
      <c r="B163" s="39" t="s">
        <v>712</v>
      </c>
    </row>
    <row r="164" spans="1:2" ht="37.5" customHeight="1">
      <c r="A164" s="42" t="s">
        <v>42</v>
      </c>
      <c r="B164" s="44" t="s">
        <v>615</v>
      </c>
    </row>
    <row r="165" spans="1:2" ht="33">
      <c r="A165" s="42" t="s">
        <v>43</v>
      </c>
      <c r="B165" s="44" t="s">
        <v>44</v>
      </c>
    </row>
    <row r="166" spans="1:2">
      <c r="A166" s="42" t="s">
        <v>45</v>
      </c>
      <c r="B166" s="44" t="s">
        <v>364</v>
      </c>
    </row>
    <row r="167" spans="1:2" ht="33">
      <c r="A167" s="42" t="s">
        <v>46</v>
      </c>
      <c r="B167" s="44" t="s">
        <v>340</v>
      </c>
    </row>
    <row r="168" spans="1:2">
      <c r="A168" s="42" t="s">
        <v>47</v>
      </c>
      <c r="B168" s="44" t="s">
        <v>48</v>
      </c>
    </row>
    <row r="169" spans="1:2" ht="33">
      <c r="A169" s="42" t="s">
        <v>49</v>
      </c>
      <c r="B169" s="44" t="s">
        <v>50</v>
      </c>
    </row>
    <row r="170" spans="1:2">
      <c r="A170" s="42" t="s">
        <v>51</v>
      </c>
      <c r="B170" s="44" t="s">
        <v>52</v>
      </c>
    </row>
    <row r="171" spans="1:2" ht="33">
      <c r="A171" s="42" t="s">
        <v>53</v>
      </c>
      <c r="B171" s="44" t="s">
        <v>54</v>
      </c>
    </row>
    <row r="172" spans="1:2" ht="42.75" customHeight="1">
      <c r="A172" s="42" t="s">
        <v>431</v>
      </c>
      <c r="B172" s="44" t="s">
        <v>432</v>
      </c>
    </row>
    <row r="173" spans="1:2" ht="87" customHeight="1">
      <c r="A173" s="42" t="s">
        <v>416</v>
      </c>
      <c r="B173" s="44" t="s">
        <v>417</v>
      </c>
    </row>
    <row r="174" spans="1:2">
      <c r="A174" s="42" t="s">
        <v>55</v>
      </c>
      <c r="B174" s="44" t="s">
        <v>56</v>
      </c>
    </row>
    <row r="175" spans="1:2">
      <c r="A175" s="42" t="s">
        <v>57</v>
      </c>
      <c r="B175" s="44" t="s">
        <v>58</v>
      </c>
    </row>
    <row r="176" spans="1:2" ht="33">
      <c r="A176" s="42" t="s">
        <v>59</v>
      </c>
      <c r="B176" s="44" t="s">
        <v>60</v>
      </c>
    </row>
    <row r="177" spans="1:2" ht="55.5" customHeight="1">
      <c r="A177" s="42" t="s">
        <v>658</v>
      </c>
      <c r="B177" s="44" t="s">
        <v>694</v>
      </c>
    </row>
    <row r="178" spans="1:2" ht="33">
      <c r="A178" s="42" t="s">
        <v>61</v>
      </c>
      <c r="B178" s="50" t="s">
        <v>62</v>
      </c>
    </row>
    <row r="179" spans="1:2" ht="33">
      <c r="A179" s="42" t="s">
        <v>63</v>
      </c>
      <c r="B179" s="50" t="s">
        <v>64</v>
      </c>
    </row>
    <row r="180" spans="1:2" ht="33">
      <c r="A180" s="42" t="s">
        <v>65</v>
      </c>
      <c r="B180" s="50" t="s">
        <v>66</v>
      </c>
    </row>
    <row r="181" spans="1:2" ht="33">
      <c r="A181" s="42" t="s">
        <v>67</v>
      </c>
      <c r="B181" s="50" t="s">
        <v>68</v>
      </c>
    </row>
    <row r="182" spans="1:2" ht="49.5">
      <c r="A182" s="49" t="s">
        <v>69</v>
      </c>
      <c r="B182" s="59" t="s">
        <v>70</v>
      </c>
    </row>
    <row r="183" spans="1:2" ht="33">
      <c r="A183" s="49" t="s">
        <v>71</v>
      </c>
      <c r="B183" s="59" t="s">
        <v>331</v>
      </c>
    </row>
    <row r="184" spans="1:2">
      <c r="A184" s="49" t="s">
        <v>72</v>
      </c>
      <c r="B184" s="59" t="s">
        <v>341</v>
      </c>
    </row>
    <row r="185" spans="1:2">
      <c r="A185" s="49" t="s">
        <v>74</v>
      </c>
      <c r="B185" s="59" t="s">
        <v>260</v>
      </c>
    </row>
    <row r="186" spans="1:2">
      <c r="A186" s="49" t="s">
        <v>75</v>
      </c>
      <c r="B186" s="59" t="s">
        <v>342</v>
      </c>
    </row>
    <row r="187" spans="1:2">
      <c r="A187" s="49" t="s">
        <v>76</v>
      </c>
      <c r="B187" s="59" t="s">
        <v>73</v>
      </c>
    </row>
    <row r="188" spans="1:2">
      <c r="A188" s="49" t="s">
        <v>592</v>
      </c>
      <c r="B188" s="59" t="s">
        <v>593</v>
      </c>
    </row>
    <row r="189" spans="1:2">
      <c r="A189" s="49" t="s">
        <v>622</v>
      </c>
      <c r="B189" s="59" t="s">
        <v>637</v>
      </c>
    </row>
    <row r="190" spans="1:2">
      <c r="A190" s="49" t="s">
        <v>648</v>
      </c>
      <c r="B190" s="59" t="s">
        <v>649</v>
      </c>
    </row>
    <row r="191" spans="1:2" ht="33">
      <c r="A191" s="49" t="s">
        <v>650</v>
      </c>
      <c r="B191" s="59" t="s">
        <v>651</v>
      </c>
    </row>
    <row r="192" spans="1:2">
      <c r="A192" s="49" t="s">
        <v>652</v>
      </c>
      <c r="B192" s="59" t="s">
        <v>653</v>
      </c>
    </row>
    <row r="193" spans="1:2">
      <c r="A193" s="49" t="s">
        <v>654</v>
      </c>
      <c r="B193" s="59" t="s">
        <v>655</v>
      </c>
    </row>
    <row r="194" spans="1:2">
      <c r="A194" s="49" t="s">
        <v>656</v>
      </c>
      <c r="B194" s="59" t="s">
        <v>657</v>
      </c>
    </row>
    <row r="195" spans="1:2">
      <c r="A195" s="49" t="s">
        <v>77</v>
      </c>
      <c r="B195" s="59" t="s">
        <v>332</v>
      </c>
    </row>
    <row r="196" spans="1:2">
      <c r="A196" s="42" t="s">
        <v>78</v>
      </c>
      <c r="B196" s="3" t="s">
        <v>701</v>
      </c>
    </row>
    <row r="197" spans="1:2" ht="43.5" customHeight="1">
      <c r="A197" s="42" t="s">
        <v>640</v>
      </c>
      <c r="B197" s="3" t="s">
        <v>641</v>
      </c>
    </row>
    <row r="198" spans="1:2" ht="62.25" customHeight="1">
      <c r="A198" s="42" t="s">
        <v>692</v>
      </c>
      <c r="B198" s="3" t="s">
        <v>693</v>
      </c>
    </row>
    <row r="199" spans="1:2" ht="39" customHeight="1">
      <c r="A199" s="42" t="s">
        <v>690</v>
      </c>
      <c r="B199" s="3" t="s">
        <v>691</v>
      </c>
    </row>
    <row r="200" spans="1:2" ht="33">
      <c r="A200" s="42" t="s">
        <v>79</v>
      </c>
      <c r="B200" s="50" t="s">
        <v>80</v>
      </c>
    </row>
    <row r="201" spans="1:2">
      <c r="A201" s="42" t="s">
        <v>81</v>
      </c>
      <c r="B201" s="50" t="s">
        <v>82</v>
      </c>
    </row>
    <row r="202" spans="1:2" ht="33">
      <c r="A202" s="42" t="s">
        <v>83</v>
      </c>
      <c r="B202" s="44" t="s">
        <v>84</v>
      </c>
    </row>
    <row r="203" spans="1:2">
      <c r="A203" s="42" t="s">
        <v>85</v>
      </c>
      <c r="B203" s="44" t="s">
        <v>86</v>
      </c>
    </row>
    <row r="204" spans="1:2">
      <c r="A204" s="42" t="s">
        <v>87</v>
      </c>
      <c r="B204" s="44" t="s">
        <v>88</v>
      </c>
    </row>
    <row r="205" spans="1:2">
      <c r="A205" s="42" t="s">
        <v>89</v>
      </c>
      <c r="B205" s="44" t="s">
        <v>90</v>
      </c>
    </row>
    <row r="206" spans="1:2">
      <c r="A206" s="42" t="s">
        <v>91</v>
      </c>
      <c r="B206" s="44" t="s">
        <v>92</v>
      </c>
    </row>
    <row r="207" spans="1:2" ht="33">
      <c r="A207" s="42" t="s">
        <v>93</v>
      </c>
      <c r="B207" s="44" t="s">
        <v>94</v>
      </c>
    </row>
    <row r="208" spans="1:2" ht="33">
      <c r="A208" s="42" t="s">
        <v>95</v>
      </c>
      <c r="B208" s="44" t="s">
        <v>96</v>
      </c>
    </row>
    <row r="209" spans="1:2">
      <c r="A209" s="42" t="s">
        <v>97</v>
      </c>
      <c r="B209" s="44" t="s">
        <v>98</v>
      </c>
    </row>
    <row r="210" spans="1:2">
      <c r="A210" s="42" t="s">
        <v>99</v>
      </c>
      <c r="B210" s="44" t="s">
        <v>100</v>
      </c>
    </row>
    <row r="211" spans="1:2">
      <c r="A211" s="42" t="s">
        <v>101</v>
      </c>
      <c r="B211" s="44" t="s">
        <v>102</v>
      </c>
    </row>
    <row r="212" spans="1:2">
      <c r="A212" s="42" t="s">
        <v>103</v>
      </c>
      <c r="B212" s="44" t="s">
        <v>104</v>
      </c>
    </row>
    <row r="213" spans="1:2" ht="33">
      <c r="A213" s="42" t="s">
        <v>105</v>
      </c>
      <c r="B213" s="44" t="s">
        <v>106</v>
      </c>
    </row>
    <row r="214" spans="1:2" ht="39" customHeight="1">
      <c r="A214" s="47" t="s">
        <v>107</v>
      </c>
      <c r="B214" s="56" t="s">
        <v>645</v>
      </c>
    </row>
    <row r="215" spans="1:2">
      <c r="A215" s="42" t="s">
        <v>108</v>
      </c>
      <c r="B215" s="44" t="s">
        <v>119</v>
      </c>
    </row>
    <row r="216" spans="1:2" ht="33">
      <c r="A216" s="42" t="s">
        <v>120</v>
      </c>
      <c r="B216" s="44" t="s">
        <v>121</v>
      </c>
    </row>
    <row r="217" spans="1:2">
      <c r="A217" s="42" t="s">
        <v>122</v>
      </c>
      <c r="B217" s="44" t="s">
        <v>646</v>
      </c>
    </row>
    <row r="218" spans="1:2" ht="33">
      <c r="A218" s="42" t="s">
        <v>123</v>
      </c>
      <c r="B218" s="44" t="s">
        <v>372</v>
      </c>
    </row>
    <row r="219" spans="1:2" ht="33">
      <c r="A219" s="42" t="s">
        <v>124</v>
      </c>
      <c r="B219" s="44" t="s">
        <v>125</v>
      </c>
    </row>
    <row r="220" spans="1:2">
      <c r="A220" s="42" t="s">
        <v>126</v>
      </c>
      <c r="B220" s="44" t="s">
        <v>127</v>
      </c>
    </row>
    <row r="221" spans="1:2" ht="33">
      <c r="A221" s="42" t="s">
        <v>128</v>
      </c>
      <c r="B221" s="44" t="s">
        <v>129</v>
      </c>
    </row>
    <row r="222" spans="1:2">
      <c r="A222" s="42" t="s">
        <v>130</v>
      </c>
      <c r="B222" s="44" t="s">
        <v>131</v>
      </c>
    </row>
    <row r="223" spans="1:2" ht="33">
      <c r="A223" s="42" t="s">
        <v>132</v>
      </c>
      <c r="B223" s="44" t="s">
        <v>616</v>
      </c>
    </row>
    <row r="224" spans="1:2">
      <c r="A224" s="42" t="s">
        <v>133</v>
      </c>
      <c r="B224" s="44" t="s">
        <v>134</v>
      </c>
    </row>
    <row r="225" spans="1:2" ht="49.5">
      <c r="A225" s="42" t="s">
        <v>135</v>
      </c>
      <c r="B225" s="44" t="s">
        <v>136</v>
      </c>
    </row>
    <row r="226" spans="1:2">
      <c r="A226" s="42" t="s">
        <v>137</v>
      </c>
      <c r="B226" s="44" t="s">
        <v>138</v>
      </c>
    </row>
    <row r="227" spans="1:2">
      <c r="A227" s="42" t="s">
        <v>139</v>
      </c>
      <c r="B227" s="44" t="s">
        <v>140</v>
      </c>
    </row>
    <row r="228" spans="1:2" ht="56.25" customHeight="1">
      <c r="A228" s="42" t="s">
        <v>689</v>
      </c>
      <c r="B228" s="44" t="s">
        <v>693</v>
      </c>
    </row>
    <row r="229" spans="1:2" ht="49.5">
      <c r="A229" s="42" t="s">
        <v>141</v>
      </c>
      <c r="B229" s="44" t="s">
        <v>702</v>
      </c>
    </row>
    <row r="230" spans="1:2" ht="49.5">
      <c r="A230" s="42" t="s">
        <v>142</v>
      </c>
      <c r="B230" s="44" t="s">
        <v>703</v>
      </c>
    </row>
    <row r="231" spans="1:2" ht="56.25" customHeight="1">
      <c r="A231" s="42" t="s">
        <v>143</v>
      </c>
      <c r="B231" s="44" t="s">
        <v>704</v>
      </c>
    </row>
    <row r="232" spans="1:2" ht="66">
      <c r="A232" s="42" t="s">
        <v>144</v>
      </c>
      <c r="B232" s="44" t="s">
        <v>706</v>
      </c>
    </row>
    <row r="233" spans="1:2" ht="33">
      <c r="A233" s="42" t="s">
        <v>145</v>
      </c>
      <c r="B233" s="44" t="s">
        <v>705</v>
      </c>
    </row>
    <row r="234" spans="1:2" ht="49.5">
      <c r="A234" s="42" t="s">
        <v>146</v>
      </c>
      <c r="B234" s="44" t="s">
        <v>147</v>
      </c>
    </row>
    <row r="235" spans="1:2" ht="49.5">
      <c r="A235" s="42" t="s">
        <v>148</v>
      </c>
      <c r="B235" s="44" t="s">
        <v>149</v>
      </c>
    </row>
    <row r="236" spans="1:2" ht="33">
      <c r="A236" s="42" t="s">
        <v>150</v>
      </c>
      <c r="B236" s="44" t="s">
        <v>151</v>
      </c>
    </row>
    <row r="237" spans="1:2">
      <c r="A237" s="42" t="s">
        <v>152</v>
      </c>
      <c r="B237" s="24" t="s">
        <v>153</v>
      </c>
    </row>
    <row r="238" spans="1:2" ht="33">
      <c r="A238" s="47" t="s">
        <v>386</v>
      </c>
      <c r="B238" s="33" t="s">
        <v>387</v>
      </c>
    </row>
    <row r="239" spans="1:2">
      <c r="A239" s="42" t="s">
        <v>154</v>
      </c>
      <c r="B239" s="24" t="s">
        <v>155</v>
      </c>
    </row>
    <row r="240" spans="1:2" ht="33">
      <c r="A240" s="25" t="s">
        <v>388</v>
      </c>
      <c r="B240" s="24" t="s">
        <v>389</v>
      </c>
    </row>
    <row r="241" spans="1:2">
      <c r="A241" s="25" t="s">
        <v>156</v>
      </c>
      <c r="B241" s="24" t="s">
        <v>157</v>
      </c>
    </row>
    <row r="242" spans="1:2" ht="49.5">
      <c r="A242" s="25" t="s">
        <v>158</v>
      </c>
      <c r="B242" s="24" t="s">
        <v>159</v>
      </c>
    </row>
    <row r="243" spans="1:2">
      <c r="A243" s="25" t="s">
        <v>695</v>
      </c>
      <c r="B243" s="24" t="s">
        <v>696</v>
      </c>
    </row>
    <row r="244" spans="1:2" ht="49.5">
      <c r="A244" s="25" t="s">
        <v>697</v>
      </c>
      <c r="B244" s="24" t="s">
        <v>698</v>
      </c>
    </row>
    <row r="245" spans="1:2">
      <c r="A245" s="25" t="s">
        <v>299</v>
      </c>
      <c r="B245" s="24" t="s">
        <v>300</v>
      </c>
    </row>
    <row r="246" spans="1:2">
      <c r="A246" s="25" t="s">
        <v>301</v>
      </c>
      <c r="B246" s="24" t="s">
        <v>302</v>
      </c>
    </row>
    <row r="247" spans="1:2" ht="33">
      <c r="A247" s="25" t="s">
        <v>303</v>
      </c>
      <c r="B247" s="24" t="s">
        <v>304</v>
      </c>
    </row>
    <row r="248" spans="1:2">
      <c r="A248" s="25" t="s">
        <v>305</v>
      </c>
      <c r="B248" s="24" t="s">
        <v>234</v>
      </c>
    </row>
    <row r="249" spans="1:2">
      <c r="A249" s="25" t="s">
        <v>306</v>
      </c>
      <c r="B249" s="24" t="s">
        <v>236</v>
      </c>
    </row>
    <row r="250" spans="1:2">
      <c r="A250" s="25" t="s">
        <v>307</v>
      </c>
      <c r="B250" s="24" t="s">
        <v>169</v>
      </c>
    </row>
    <row r="251" spans="1:2">
      <c r="A251" s="25" t="s">
        <v>308</v>
      </c>
      <c r="B251" s="24" t="s">
        <v>170</v>
      </c>
    </row>
    <row r="252" spans="1:2" ht="38.25" customHeight="1">
      <c r="A252" s="25" t="s">
        <v>589</v>
      </c>
      <c r="B252" s="24" t="s">
        <v>590</v>
      </c>
    </row>
    <row r="253" spans="1:2" ht="33">
      <c r="A253" s="25" t="s">
        <v>309</v>
      </c>
      <c r="B253" s="24" t="s">
        <v>310</v>
      </c>
    </row>
    <row r="254" spans="1:2">
      <c r="A254" s="25" t="s">
        <v>311</v>
      </c>
      <c r="B254" s="24" t="s">
        <v>312</v>
      </c>
    </row>
    <row r="255" spans="1:2">
      <c r="A255" s="25" t="s">
        <v>313</v>
      </c>
      <c r="B255" s="24" t="s">
        <v>238</v>
      </c>
    </row>
    <row r="256" spans="1:2">
      <c r="A256" s="22" t="s">
        <v>442</v>
      </c>
      <c r="B256" s="59" t="s">
        <v>200</v>
      </c>
    </row>
    <row r="257" spans="1:2">
      <c r="A257" s="22" t="s">
        <v>443</v>
      </c>
      <c r="B257" s="59" t="s">
        <v>201</v>
      </c>
    </row>
    <row r="258" spans="1:2">
      <c r="A258" s="22" t="s">
        <v>314</v>
      </c>
      <c r="B258" s="59" t="s">
        <v>206</v>
      </c>
    </row>
    <row r="259" spans="1:2">
      <c r="A259" s="22" t="s">
        <v>315</v>
      </c>
      <c r="B259" s="60" t="s">
        <v>207</v>
      </c>
    </row>
    <row r="260" spans="1:2">
      <c r="A260" s="22" t="s">
        <v>337</v>
      </c>
      <c r="B260" s="59" t="s">
        <v>367</v>
      </c>
    </row>
    <row r="261" spans="1:2">
      <c r="A261" s="22" t="s">
        <v>370</v>
      </c>
      <c r="B261" s="60" t="s">
        <v>368</v>
      </c>
    </row>
    <row r="262" spans="1:2">
      <c r="A262" s="22" t="s">
        <v>382</v>
      </c>
      <c r="B262" s="59" t="s">
        <v>369</v>
      </c>
    </row>
    <row r="263" spans="1:2" ht="66">
      <c r="A263" s="22" t="s">
        <v>699</v>
      </c>
      <c r="B263" s="59" t="s">
        <v>707</v>
      </c>
    </row>
    <row r="264" spans="1:2">
      <c r="A264" s="25" t="s">
        <v>371</v>
      </c>
      <c r="B264" s="59" t="s">
        <v>373</v>
      </c>
    </row>
    <row r="265" spans="1:2" ht="54" customHeight="1">
      <c r="A265" s="22" t="s">
        <v>628</v>
      </c>
      <c r="B265" s="59" t="s">
        <v>629</v>
      </c>
    </row>
    <row r="266" spans="1:2" ht="55.5" customHeight="1">
      <c r="A266" s="22" t="s">
        <v>383</v>
      </c>
      <c r="B266" s="59" t="s">
        <v>398</v>
      </c>
    </row>
    <row r="267" spans="1:2" ht="40.5" customHeight="1">
      <c r="A267" s="22" t="s">
        <v>401</v>
      </c>
      <c r="B267" s="59" t="s">
        <v>402</v>
      </c>
    </row>
    <row r="268" spans="1:2" ht="40.5" customHeight="1">
      <c r="A268" s="22" t="s">
        <v>626</v>
      </c>
      <c r="B268" s="59" t="s">
        <v>627</v>
      </c>
    </row>
    <row r="269" spans="1:2" ht="111" customHeight="1">
      <c r="A269" s="22" t="s">
        <v>390</v>
      </c>
      <c r="B269" s="59" t="s">
        <v>391</v>
      </c>
    </row>
    <row r="270" spans="1:2" ht="78" customHeight="1">
      <c r="A270" s="22" t="s">
        <v>399</v>
      </c>
      <c r="B270" s="59" t="s">
        <v>400</v>
      </c>
    </row>
    <row r="271" spans="1:2" ht="133.5" customHeight="1">
      <c r="A271" s="22" t="s">
        <v>394</v>
      </c>
      <c r="B271" s="59" t="s">
        <v>395</v>
      </c>
    </row>
    <row r="272" spans="1:2" ht="102.75" customHeight="1">
      <c r="A272" s="22" t="s">
        <v>376</v>
      </c>
      <c r="B272" s="59" t="s">
        <v>439</v>
      </c>
    </row>
    <row r="273" spans="1:2" ht="114.75" customHeight="1">
      <c r="A273" s="46" t="s">
        <v>377</v>
      </c>
      <c r="B273" s="61" t="s">
        <v>440</v>
      </c>
    </row>
    <row r="274" spans="1:2" ht="141.75" customHeight="1">
      <c r="A274" s="46" t="s">
        <v>378</v>
      </c>
      <c r="B274" s="61" t="s">
        <v>379</v>
      </c>
    </row>
    <row r="275" spans="1:2" ht="90" customHeight="1">
      <c r="A275" s="22" t="s">
        <v>403</v>
      </c>
      <c r="B275" s="59" t="s">
        <v>404</v>
      </c>
    </row>
    <row r="276" spans="1:2" ht="72" customHeight="1">
      <c r="A276" s="22" t="s">
        <v>407</v>
      </c>
      <c r="B276" s="59" t="s">
        <v>408</v>
      </c>
    </row>
    <row r="277" spans="1:2" ht="88.7" customHeight="1">
      <c r="A277" s="22" t="s">
        <v>380</v>
      </c>
      <c r="B277" s="59" t="s">
        <v>381</v>
      </c>
    </row>
    <row r="278" spans="1:2" ht="87" customHeight="1">
      <c r="A278" s="22" t="s">
        <v>392</v>
      </c>
      <c r="B278" s="59" t="s">
        <v>393</v>
      </c>
    </row>
    <row r="279" spans="1:2" ht="126.75" customHeight="1">
      <c r="A279" s="22" t="s">
        <v>421</v>
      </c>
      <c r="B279" s="59" t="s">
        <v>422</v>
      </c>
    </row>
    <row r="280" spans="1:2" ht="51.75" customHeight="1">
      <c r="A280" s="22" t="s">
        <v>708</v>
      </c>
      <c r="B280" s="59" t="s">
        <v>709</v>
      </c>
    </row>
    <row r="281" spans="1:2" ht="33">
      <c r="A281" s="22" t="s">
        <v>444</v>
      </c>
      <c r="B281" s="59" t="s">
        <v>445</v>
      </c>
    </row>
  </sheetData>
  <phoneticPr fontId="8" type="noConversion"/>
  <pageMargins left="0.70866141732283472" right="0.70866141732283472" top="0.74803149606299213" bottom="0.74803149606299213" header="0.31496062992125984" footer="0.31496062992125984"/>
  <pageSetup paperSize="9" scale="86" fitToHeight="1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44"/>
  <sheetViews>
    <sheetView workbookViewId="0">
      <selection activeCell="A7" sqref="A7:XFD7"/>
    </sheetView>
  </sheetViews>
  <sheetFormatPr defaultColWidth="9.140625" defaultRowHeight="16.5"/>
  <cols>
    <col min="1" max="1" width="9.7109375" style="48" customWidth="1"/>
    <col min="2" max="2" width="101.140625" style="48" customWidth="1"/>
    <col min="3" max="16384" width="9.140625" style="48"/>
  </cols>
  <sheetData>
    <row r="1" spans="1:2">
      <c r="A1" s="26" t="s">
        <v>316</v>
      </c>
      <c r="B1" s="22" t="s">
        <v>209</v>
      </c>
    </row>
    <row r="2" spans="1:2" ht="33">
      <c r="A2" s="49">
        <v>100</v>
      </c>
      <c r="B2" s="44" t="s">
        <v>343</v>
      </c>
    </row>
    <row r="3" spans="1:2">
      <c r="A3" s="49">
        <v>110</v>
      </c>
      <c r="B3" s="50" t="s">
        <v>330</v>
      </c>
    </row>
    <row r="4" spans="1:2">
      <c r="A4" s="49">
        <v>120</v>
      </c>
      <c r="B4" s="44" t="s">
        <v>344</v>
      </c>
    </row>
    <row r="5" spans="1:2">
      <c r="A5" s="49">
        <v>200</v>
      </c>
      <c r="B5" s="44" t="s">
        <v>345</v>
      </c>
    </row>
    <row r="6" spans="1:2">
      <c r="A6" s="49">
        <v>220</v>
      </c>
      <c r="B6" s="44"/>
    </row>
    <row r="7" spans="1:2">
      <c r="A7" s="49">
        <v>240</v>
      </c>
      <c r="B7" s="44" t="s">
        <v>317</v>
      </c>
    </row>
    <row r="8" spans="1:2">
      <c r="A8" s="49">
        <v>241</v>
      </c>
      <c r="B8" s="44" t="s">
        <v>623</v>
      </c>
    </row>
    <row r="9" spans="1:2">
      <c r="A9" s="49">
        <v>242</v>
      </c>
      <c r="B9" s="44" t="s">
        <v>318</v>
      </c>
    </row>
    <row r="10" spans="1:2">
      <c r="A10" s="49">
        <v>243</v>
      </c>
      <c r="B10" s="44" t="s">
        <v>319</v>
      </c>
    </row>
    <row r="11" spans="1:2">
      <c r="A11" s="49">
        <v>244</v>
      </c>
      <c r="B11" s="44" t="s">
        <v>346</v>
      </c>
    </row>
    <row r="12" spans="1:2">
      <c r="A12" s="49">
        <v>300</v>
      </c>
      <c r="B12" s="44" t="s">
        <v>347</v>
      </c>
    </row>
    <row r="13" spans="1:2">
      <c r="A13" s="49">
        <v>310</v>
      </c>
      <c r="B13" s="44" t="s">
        <v>348</v>
      </c>
    </row>
    <row r="14" spans="1:2" ht="33">
      <c r="A14" s="51">
        <v>313</v>
      </c>
      <c r="B14" s="44" t="s">
        <v>320</v>
      </c>
    </row>
    <row r="15" spans="1:2">
      <c r="A15" s="49">
        <v>320</v>
      </c>
      <c r="B15" s="44" t="s">
        <v>349</v>
      </c>
    </row>
    <row r="16" spans="1:2" ht="33">
      <c r="A16" s="49">
        <v>321</v>
      </c>
      <c r="B16" s="52" t="s">
        <v>321</v>
      </c>
    </row>
    <row r="17" spans="1:2">
      <c r="A17" s="49">
        <v>322</v>
      </c>
      <c r="B17" s="44" t="s">
        <v>322</v>
      </c>
    </row>
    <row r="18" spans="1:2">
      <c r="A18" s="49">
        <v>323</v>
      </c>
      <c r="B18" s="44" t="s">
        <v>323</v>
      </c>
    </row>
    <row r="19" spans="1:2">
      <c r="A19" s="53">
        <v>340</v>
      </c>
      <c r="B19" s="54" t="s">
        <v>324</v>
      </c>
    </row>
    <row r="20" spans="1:2">
      <c r="A20" s="53">
        <v>350</v>
      </c>
      <c r="B20" s="54" t="s">
        <v>325</v>
      </c>
    </row>
    <row r="21" spans="1:2">
      <c r="A21" s="49">
        <v>360</v>
      </c>
      <c r="B21" s="44" t="s">
        <v>350</v>
      </c>
    </row>
    <row r="22" spans="1:2">
      <c r="A22" s="49">
        <v>400</v>
      </c>
      <c r="B22" s="44" t="s">
        <v>351</v>
      </c>
    </row>
    <row r="23" spans="1:2">
      <c r="A23" s="49">
        <v>410</v>
      </c>
      <c r="B23" s="44" t="s">
        <v>352</v>
      </c>
    </row>
    <row r="24" spans="1:2">
      <c r="A24" s="49">
        <v>414</v>
      </c>
      <c r="B24" s="44" t="s">
        <v>326</v>
      </c>
    </row>
    <row r="25" spans="1:2" ht="33">
      <c r="A25" s="55">
        <v>600</v>
      </c>
      <c r="B25" s="56" t="s">
        <v>353</v>
      </c>
    </row>
    <row r="26" spans="1:2">
      <c r="A26" s="55">
        <v>610</v>
      </c>
      <c r="B26" s="33" t="s">
        <v>354</v>
      </c>
    </row>
    <row r="27" spans="1:2" ht="33">
      <c r="A27" s="49">
        <v>611</v>
      </c>
      <c r="B27" s="44" t="s">
        <v>232</v>
      </c>
    </row>
    <row r="28" spans="1:2">
      <c r="A28" s="49">
        <v>612</v>
      </c>
      <c r="B28" s="44" t="s">
        <v>231</v>
      </c>
    </row>
    <row r="29" spans="1:2">
      <c r="A29" s="49">
        <v>620</v>
      </c>
      <c r="B29" s="44" t="s">
        <v>355</v>
      </c>
    </row>
    <row r="30" spans="1:2" ht="33">
      <c r="A30" s="49">
        <v>621</v>
      </c>
      <c r="B30" s="44" t="s">
        <v>454</v>
      </c>
    </row>
    <row r="31" spans="1:2">
      <c r="A31" s="49">
        <v>622</v>
      </c>
      <c r="B31" s="44" t="s">
        <v>173</v>
      </c>
    </row>
    <row r="32" spans="1:2" ht="33">
      <c r="A32" s="49">
        <v>630</v>
      </c>
      <c r="B32" s="44" t="s">
        <v>356</v>
      </c>
    </row>
    <row r="33" spans="1:2">
      <c r="A33" s="49">
        <v>700</v>
      </c>
      <c r="B33" s="44" t="s">
        <v>363</v>
      </c>
    </row>
    <row r="34" spans="1:2">
      <c r="A34" s="49">
        <v>730</v>
      </c>
      <c r="B34" s="44" t="s">
        <v>327</v>
      </c>
    </row>
    <row r="35" spans="1:2">
      <c r="A35" s="49">
        <v>800</v>
      </c>
      <c r="B35" s="44" t="s">
        <v>357</v>
      </c>
    </row>
    <row r="36" spans="1:2" ht="33">
      <c r="A36" s="49">
        <v>810</v>
      </c>
      <c r="B36" s="44" t="s">
        <v>328</v>
      </c>
    </row>
    <row r="37" spans="1:2">
      <c r="A37" s="49">
        <v>830</v>
      </c>
      <c r="B37" s="44" t="s">
        <v>358</v>
      </c>
    </row>
    <row r="38" spans="1:2" ht="66">
      <c r="A38" s="49">
        <v>831</v>
      </c>
      <c r="B38" s="44" t="s">
        <v>374</v>
      </c>
    </row>
    <row r="39" spans="1:2">
      <c r="A39" s="49">
        <v>850</v>
      </c>
      <c r="B39" s="44" t="s">
        <v>359</v>
      </c>
    </row>
    <row r="40" spans="1:2">
      <c r="A40" s="22">
        <v>851</v>
      </c>
      <c r="B40" s="24" t="s">
        <v>360</v>
      </c>
    </row>
    <row r="41" spans="1:2">
      <c r="A41" s="53">
        <v>852</v>
      </c>
      <c r="B41" s="54" t="s">
        <v>329</v>
      </c>
    </row>
    <row r="42" spans="1:2" ht="33">
      <c r="A42" s="53">
        <v>860</v>
      </c>
      <c r="B42" s="39" t="s">
        <v>446</v>
      </c>
    </row>
    <row r="43" spans="1:2">
      <c r="A43" s="53">
        <v>862</v>
      </c>
      <c r="B43" s="39" t="s">
        <v>447</v>
      </c>
    </row>
    <row r="44" spans="1:2">
      <c r="A44" s="22">
        <v>870</v>
      </c>
      <c r="B44" s="24" t="s">
        <v>362</v>
      </c>
    </row>
  </sheetData>
  <phoneticPr fontId="8" type="noConversion"/>
  <dataValidations count="1">
    <dataValidation type="list" allowBlank="1" showInputMessage="1" showErrorMessage="1" sqref="B45:B65538">
      <formula1>$A$2:$A$41</formula1>
    </dataValidation>
  </dataValidations>
  <pageMargins left="0.70866141732283472" right="0.43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X70"/>
  <sheetViews>
    <sheetView showZeros="0" tabSelected="1" view="pageBreakPreview" topLeftCell="A49" zoomScale="80" zoomScaleNormal="75" zoomScaleSheetLayoutView="80" workbookViewId="0">
      <selection activeCell="A74" sqref="A74"/>
    </sheetView>
  </sheetViews>
  <sheetFormatPr defaultColWidth="9.140625" defaultRowHeight="16.5"/>
  <cols>
    <col min="1" max="1" width="81.85546875" style="79" customWidth="1"/>
    <col min="2" max="2" width="14.140625" style="86" customWidth="1"/>
    <col min="3" max="3" width="13.5703125" style="86" customWidth="1"/>
    <col min="4" max="4" width="22" style="86" hidden="1" customWidth="1"/>
    <col min="5" max="5" width="16" style="86" hidden="1" customWidth="1"/>
    <col min="6" max="6" width="18" style="86" hidden="1" customWidth="1"/>
    <col min="7" max="7" width="20.85546875" style="86" hidden="1" customWidth="1"/>
    <col min="8" max="8" width="21.7109375" style="86" hidden="1" customWidth="1"/>
    <col min="9" max="9" width="24.85546875" style="86" hidden="1" customWidth="1"/>
    <col min="10" max="10" width="19.5703125" style="86" hidden="1" customWidth="1"/>
    <col min="11" max="11" width="13.5703125" style="86" hidden="1" customWidth="1"/>
    <col min="12" max="12" width="22" style="86" hidden="1" customWidth="1"/>
    <col min="13" max="13" width="15.42578125" style="86" hidden="1" customWidth="1"/>
    <col min="14" max="14" width="22" style="86" hidden="1" customWidth="1"/>
    <col min="15" max="15" width="21.7109375" style="86" hidden="1" customWidth="1"/>
    <col min="16" max="16" width="29" style="86" customWidth="1"/>
    <col min="17" max="17" width="19.5703125" style="86" customWidth="1"/>
    <col min="18" max="18" width="24" style="86" customWidth="1"/>
    <col min="19" max="16384" width="9.140625" style="86"/>
  </cols>
  <sheetData>
    <row r="1" spans="1:24">
      <c r="C1" s="73"/>
      <c r="D1" s="73"/>
      <c r="E1" s="73"/>
      <c r="F1" s="73"/>
      <c r="N1" s="73"/>
      <c r="O1" s="73"/>
      <c r="Q1" s="164" t="s">
        <v>624</v>
      </c>
      <c r="R1" s="164"/>
      <c r="S1" s="100"/>
      <c r="T1" s="100"/>
      <c r="U1" s="100"/>
      <c r="V1" s="100"/>
      <c r="W1" s="100"/>
    </row>
    <row r="2" spans="1:24">
      <c r="N2" s="100"/>
      <c r="O2" s="100"/>
      <c r="Q2" s="103" t="s">
        <v>268</v>
      </c>
      <c r="R2" s="100"/>
      <c r="S2" s="100"/>
      <c r="T2" s="100"/>
      <c r="U2" s="100"/>
      <c r="V2" s="100"/>
      <c r="W2" s="100"/>
    </row>
    <row r="3" spans="1:24">
      <c r="N3" s="100"/>
      <c r="O3" s="100"/>
      <c r="Q3" s="103" t="s">
        <v>257</v>
      </c>
      <c r="R3" s="100"/>
      <c r="S3" s="100"/>
      <c r="T3" s="100"/>
      <c r="U3" s="100"/>
      <c r="V3" s="100"/>
      <c r="W3" s="100"/>
    </row>
    <row r="4" spans="1:24">
      <c r="B4" s="20"/>
      <c r="N4" s="100"/>
      <c r="O4" s="100"/>
      <c r="Q4" s="133" t="s">
        <v>686</v>
      </c>
      <c r="R4" s="100"/>
      <c r="S4" s="100"/>
      <c r="T4" s="100"/>
      <c r="U4" s="100"/>
      <c r="V4" s="100"/>
      <c r="W4" s="100"/>
    </row>
    <row r="5" spans="1:24">
      <c r="B5" s="20"/>
      <c r="C5" s="65"/>
      <c r="D5" s="65"/>
      <c r="E5" s="65"/>
      <c r="F5" s="65"/>
      <c r="N5" s="65"/>
      <c r="O5" s="65"/>
      <c r="Q5" s="65"/>
      <c r="R5" s="100"/>
      <c r="S5" s="100"/>
      <c r="T5" s="100"/>
      <c r="U5" s="100"/>
      <c r="V5" s="100"/>
      <c r="W5" s="100"/>
    </row>
    <row r="6" spans="1:24">
      <c r="B6" s="20"/>
      <c r="C6" s="65"/>
      <c r="D6" s="65"/>
      <c r="E6" s="65"/>
      <c r="F6" s="65"/>
      <c r="N6" s="65"/>
      <c r="O6" s="65"/>
      <c r="Q6" s="65"/>
      <c r="R6" s="100"/>
      <c r="S6" s="100"/>
      <c r="T6" s="100"/>
      <c r="U6" s="100"/>
      <c r="V6" s="100"/>
      <c r="W6" s="100"/>
    </row>
    <row r="7" spans="1:24">
      <c r="B7" s="20"/>
      <c r="C7" s="73"/>
      <c r="D7" s="73"/>
      <c r="E7" s="73"/>
      <c r="F7" s="73"/>
      <c r="N7" s="73"/>
      <c r="O7" s="73"/>
      <c r="Q7" s="73" t="s">
        <v>263</v>
      </c>
      <c r="R7" s="100"/>
      <c r="S7" s="100"/>
      <c r="T7" s="100"/>
      <c r="U7" s="100"/>
      <c r="V7" s="100"/>
      <c r="W7" s="100"/>
    </row>
    <row r="8" spans="1:24">
      <c r="B8" s="20"/>
      <c r="N8" s="100"/>
      <c r="O8" s="100"/>
      <c r="Q8" s="103" t="s">
        <v>268</v>
      </c>
      <c r="R8" s="100"/>
      <c r="S8" s="100"/>
      <c r="T8" s="100"/>
      <c r="U8" s="100"/>
      <c r="V8" s="100"/>
      <c r="W8" s="100"/>
    </row>
    <row r="9" spans="1:24">
      <c r="B9" s="20"/>
      <c r="N9" s="100"/>
      <c r="O9" s="100"/>
      <c r="Q9" s="103" t="s">
        <v>257</v>
      </c>
      <c r="R9" s="100"/>
      <c r="S9" s="100"/>
      <c r="T9" s="100"/>
      <c r="U9" s="100"/>
      <c r="V9" s="100"/>
      <c r="W9" s="100"/>
    </row>
    <row r="10" spans="1:24">
      <c r="B10" s="20"/>
      <c r="N10" s="100"/>
      <c r="O10" s="100"/>
      <c r="Q10" s="103" t="s">
        <v>111</v>
      </c>
      <c r="R10" s="100"/>
      <c r="S10" s="100"/>
      <c r="T10" s="100"/>
      <c r="U10" s="100"/>
      <c r="V10" s="100"/>
      <c r="W10" s="100"/>
    </row>
    <row r="11" spans="1:24">
      <c r="C11" s="87"/>
      <c r="D11" s="87"/>
    </row>
    <row r="12" spans="1:24">
      <c r="C12" s="15"/>
    </row>
    <row r="13" spans="1:24">
      <c r="A13" s="167" t="s">
        <v>172</v>
      </c>
      <c r="B13" s="168"/>
      <c r="C13" s="168"/>
      <c r="D13" s="168"/>
    </row>
    <row r="14" spans="1:24">
      <c r="A14" s="171" t="s">
        <v>269</v>
      </c>
      <c r="B14" s="172"/>
      <c r="C14" s="172"/>
      <c r="D14" s="172"/>
    </row>
    <row r="15" spans="1:24">
      <c r="A15" s="14"/>
      <c r="B15" s="5"/>
      <c r="C15" s="5"/>
      <c r="S15" s="20"/>
      <c r="T15" s="20"/>
      <c r="U15" s="20"/>
      <c r="V15" s="20"/>
    </row>
    <row r="16" spans="1:24">
      <c r="A16" s="14"/>
      <c r="B16" s="5"/>
      <c r="C16" s="99"/>
      <c r="D16" s="99"/>
      <c r="E16" s="99"/>
      <c r="F16" s="99"/>
      <c r="G16" s="99"/>
      <c r="H16" s="99"/>
      <c r="I16" s="99"/>
      <c r="J16" s="99"/>
      <c r="K16" s="99"/>
      <c r="L16" s="102"/>
      <c r="M16" s="100"/>
      <c r="N16" s="99"/>
      <c r="O16" s="99"/>
      <c r="Q16" s="99"/>
      <c r="R16" s="107" t="s">
        <v>270</v>
      </c>
      <c r="S16" s="135"/>
      <c r="T16" s="135"/>
      <c r="U16" s="135"/>
      <c r="V16" s="135"/>
      <c r="W16" s="102"/>
      <c r="X16" s="100"/>
    </row>
    <row r="17" spans="1:22" ht="21" customHeight="1">
      <c r="A17" s="169" t="s">
        <v>209</v>
      </c>
      <c r="B17" s="169" t="s">
        <v>210</v>
      </c>
      <c r="C17" s="169" t="s">
        <v>211</v>
      </c>
      <c r="D17" s="170" t="s">
        <v>587</v>
      </c>
      <c r="E17" s="165" t="s">
        <v>586</v>
      </c>
      <c r="F17" s="165" t="s">
        <v>588</v>
      </c>
      <c r="G17" s="165" t="s">
        <v>586</v>
      </c>
      <c r="H17" s="173" t="s">
        <v>621</v>
      </c>
      <c r="I17" s="173" t="s">
        <v>586</v>
      </c>
      <c r="J17" s="173" t="s">
        <v>625</v>
      </c>
      <c r="K17" s="173" t="s">
        <v>586</v>
      </c>
      <c r="L17" s="173" t="s">
        <v>634</v>
      </c>
      <c r="M17" s="173" t="s">
        <v>586</v>
      </c>
      <c r="N17" s="173" t="s">
        <v>638</v>
      </c>
      <c r="O17" s="173" t="s">
        <v>586</v>
      </c>
      <c r="P17" s="165" t="s">
        <v>714</v>
      </c>
      <c r="Q17" s="173" t="s">
        <v>586</v>
      </c>
      <c r="R17" s="175" t="s">
        <v>685</v>
      </c>
      <c r="S17" s="20"/>
      <c r="T17" s="20"/>
      <c r="U17" s="20"/>
      <c r="V17" s="20"/>
    </row>
    <row r="18" spans="1:22" ht="33" customHeight="1">
      <c r="A18" s="165"/>
      <c r="B18" s="165"/>
      <c r="C18" s="169"/>
      <c r="D18" s="166"/>
      <c r="E18" s="166"/>
      <c r="F18" s="166"/>
      <c r="G18" s="166"/>
      <c r="H18" s="177"/>
      <c r="I18" s="177"/>
      <c r="J18" s="177"/>
      <c r="K18" s="177"/>
      <c r="L18" s="174"/>
      <c r="M18" s="174"/>
      <c r="N18" s="174"/>
      <c r="O18" s="174"/>
      <c r="P18" s="178"/>
      <c r="Q18" s="174"/>
      <c r="R18" s="176"/>
    </row>
    <row r="19" spans="1:22">
      <c r="A19" s="12" t="s">
        <v>212</v>
      </c>
      <c r="B19" s="1" t="s">
        <v>213</v>
      </c>
      <c r="C19" s="1"/>
      <c r="D19" s="2">
        <f>SUM(D20:D26)</f>
        <v>406688.20000000007</v>
      </c>
      <c r="E19" s="2">
        <f>SUM(E20:E26)</f>
        <v>-9691.9</v>
      </c>
      <c r="F19" s="35">
        <f>D19+E19</f>
        <v>396996.30000000005</v>
      </c>
      <c r="G19" s="2">
        <f>SUM(G20:G26)</f>
        <v>320.20000000000107</v>
      </c>
      <c r="H19" s="35">
        <f>F19+G19</f>
        <v>397316.50000000006</v>
      </c>
      <c r="I19" s="2">
        <f>SUM(I20:I26)</f>
        <v>-42730.6</v>
      </c>
      <c r="J19" s="35">
        <f>H19+I19</f>
        <v>354585.90000000008</v>
      </c>
      <c r="K19" s="2">
        <f>SUM(K20:K26)</f>
        <v>-4077.7999999999997</v>
      </c>
      <c r="L19" s="35">
        <f>J19+K19</f>
        <v>350508.10000000009</v>
      </c>
      <c r="M19" s="2">
        <f>SUM(M20:M26)</f>
        <v>0</v>
      </c>
      <c r="N19" s="35">
        <f>L19+M19</f>
        <v>350508.10000000009</v>
      </c>
      <c r="O19" s="2">
        <f>SUM(O20:O26)</f>
        <v>1370.6000000000004</v>
      </c>
      <c r="P19" s="35">
        <f>N19+O19</f>
        <v>351878.70000000007</v>
      </c>
      <c r="Q19" s="2">
        <f>SUM(Q20:Q26)</f>
        <v>16240.999999999998</v>
      </c>
      <c r="R19" s="35">
        <f>P19+Q19</f>
        <v>368119.70000000007</v>
      </c>
    </row>
    <row r="20" spans="1:22" ht="33">
      <c r="A20" s="75" t="s">
        <v>233</v>
      </c>
      <c r="B20" s="1" t="s">
        <v>213</v>
      </c>
      <c r="C20" s="1" t="s">
        <v>214</v>
      </c>
      <c r="D20" s="2">
        <f>прил.6!G23</f>
        <v>2998</v>
      </c>
      <c r="E20" s="2">
        <f>прил.6!H23</f>
        <v>0</v>
      </c>
      <c r="F20" s="35">
        <f t="shared" ref="F20:F67" si="0">D20+E20</f>
        <v>2998</v>
      </c>
      <c r="G20" s="2">
        <f>прил.6!J23</f>
        <v>0</v>
      </c>
      <c r="H20" s="35">
        <f t="shared" ref="H20:H67" si="1">F20+G20</f>
        <v>2998</v>
      </c>
      <c r="I20" s="2">
        <f>прил.6!L23</f>
        <v>0</v>
      </c>
      <c r="J20" s="35">
        <f t="shared" ref="J20:J67" si="2">H20+I20</f>
        <v>2998</v>
      </c>
      <c r="K20" s="2">
        <f>прил.6!N23</f>
        <v>0</v>
      </c>
      <c r="L20" s="35">
        <f t="shared" ref="L20:L67" si="3">J20+K20</f>
        <v>2998</v>
      </c>
      <c r="M20" s="2">
        <f>прил.6!P23</f>
        <v>0</v>
      </c>
      <c r="N20" s="35">
        <f t="shared" ref="N20:N67" si="4">L20+M20</f>
        <v>2998</v>
      </c>
      <c r="O20" s="2">
        <f>прил.6!R23</f>
        <v>0</v>
      </c>
      <c r="P20" s="35">
        <f t="shared" ref="P20:P67" si="5">N20+O20</f>
        <v>2998</v>
      </c>
      <c r="Q20" s="2">
        <f>прил.6!T23</f>
        <v>0</v>
      </c>
      <c r="R20" s="35">
        <f t="shared" ref="R20:R66" si="6">P20+Q20</f>
        <v>2998</v>
      </c>
    </row>
    <row r="21" spans="1:22" ht="49.5">
      <c r="A21" s="12" t="s">
        <v>168</v>
      </c>
      <c r="B21" s="1" t="s">
        <v>213</v>
      </c>
      <c r="C21" s="1" t="s">
        <v>215</v>
      </c>
      <c r="D21" s="35">
        <f>прил.6!G394</f>
        <v>28887.4</v>
      </c>
      <c r="E21" s="35">
        <f>прил.6!H394</f>
        <v>0</v>
      </c>
      <c r="F21" s="35">
        <f t="shared" si="0"/>
        <v>28887.4</v>
      </c>
      <c r="G21" s="35">
        <f>прил.6!J394</f>
        <v>-8530.4</v>
      </c>
      <c r="H21" s="35">
        <f t="shared" si="1"/>
        <v>20357</v>
      </c>
      <c r="I21" s="35">
        <f>прил.6!L394</f>
        <v>0</v>
      </c>
      <c r="J21" s="35">
        <f t="shared" si="2"/>
        <v>20357</v>
      </c>
      <c r="K21" s="35">
        <f>прил.6!N394</f>
        <v>0</v>
      </c>
      <c r="L21" s="35">
        <f t="shared" si="3"/>
        <v>20357</v>
      </c>
      <c r="M21" s="35">
        <f>прил.6!P394</f>
        <v>0</v>
      </c>
      <c r="N21" s="35">
        <f t="shared" si="4"/>
        <v>20357</v>
      </c>
      <c r="O21" s="35">
        <f>прил.6!R394</f>
        <v>-209.8</v>
      </c>
      <c r="P21" s="35">
        <f t="shared" si="5"/>
        <v>20147.2</v>
      </c>
      <c r="Q21" s="35">
        <f>прил.6!T394</f>
        <v>0</v>
      </c>
      <c r="R21" s="35">
        <f t="shared" si="6"/>
        <v>20147.2</v>
      </c>
    </row>
    <row r="22" spans="1:22" ht="49.5">
      <c r="A22" s="76" t="s">
        <v>235</v>
      </c>
      <c r="B22" s="1" t="s">
        <v>213</v>
      </c>
      <c r="C22" s="1" t="s">
        <v>216</v>
      </c>
      <c r="D22" s="2">
        <f>прил.6!G30</f>
        <v>126109.40000000001</v>
      </c>
      <c r="E22" s="2">
        <f>прил.6!H30</f>
        <v>0</v>
      </c>
      <c r="F22" s="35">
        <f t="shared" si="0"/>
        <v>126109.40000000001</v>
      </c>
      <c r="G22" s="2">
        <f>прил.6!J30</f>
        <v>0</v>
      </c>
      <c r="H22" s="35">
        <f t="shared" si="1"/>
        <v>126109.40000000001</v>
      </c>
      <c r="I22" s="2">
        <f>прил.6!L30</f>
        <v>0</v>
      </c>
      <c r="J22" s="35">
        <f t="shared" si="2"/>
        <v>126109.40000000001</v>
      </c>
      <c r="K22" s="2">
        <f>прил.6!N30</f>
        <v>222.5</v>
      </c>
      <c r="L22" s="35">
        <f t="shared" si="3"/>
        <v>126331.90000000001</v>
      </c>
      <c r="M22" s="2">
        <f>прил.6!P30</f>
        <v>0</v>
      </c>
      <c r="N22" s="35">
        <f t="shared" si="4"/>
        <v>126331.90000000001</v>
      </c>
      <c r="O22" s="2">
        <f>прил.6!R30</f>
        <v>1542.5</v>
      </c>
      <c r="P22" s="35">
        <f t="shared" si="5"/>
        <v>127874.40000000001</v>
      </c>
      <c r="Q22" s="2">
        <f>прил.6!T30</f>
        <v>0</v>
      </c>
      <c r="R22" s="35">
        <f t="shared" si="6"/>
        <v>127874.40000000001</v>
      </c>
    </row>
    <row r="23" spans="1:22">
      <c r="A23" s="76" t="s">
        <v>375</v>
      </c>
      <c r="B23" s="1" t="s">
        <v>213</v>
      </c>
      <c r="C23" s="1" t="s">
        <v>221</v>
      </c>
      <c r="D23" s="2">
        <f>прил.6!G65</f>
        <v>0</v>
      </c>
      <c r="E23" s="2">
        <f>прил.6!H65</f>
        <v>0</v>
      </c>
      <c r="F23" s="35">
        <f t="shared" si="0"/>
        <v>0</v>
      </c>
      <c r="G23" s="2">
        <f>прил.6!J65</f>
        <v>0</v>
      </c>
      <c r="H23" s="35">
        <f t="shared" si="1"/>
        <v>0</v>
      </c>
      <c r="I23" s="2">
        <f>прил.6!L65</f>
        <v>0</v>
      </c>
      <c r="J23" s="35">
        <f t="shared" si="2"/>
        <v>0</v>
      </c>
      <c r="K23" s="2">
        <f>прил.6!N65</f>
        <v>21.9</v>
      </c>
      <c r="L23" s="35">
        <f t="shared" si="3"/>
        <v>21.9</v>
      </c>
      <c r="M23" s="2">
        <f>прил.6!P65</f>
        <v>0</v>
      </c>
      <c r="N23" s="35">
        <f t="shared" si="4"/>
        <v>21.9</v>
      </c>
      <c r="O23" s="2">
        <f>прил.6!R65</f>
        <v>0</v>
      </c>
      <c r="P23" s="35">
        <f t="shared" si="5"/>
        <v>21.9</v>
      </c>
      <c r="Q23" s="2">
        <f>прил.6!T65</f>
        <v>0</v>
      </c>
      <c r="R23" s="35">
        <f t="shared" si="6"/>
        <v>21.9</v>
      </c>
    </row>
    <row r="24" spans="1:22" ht="33">
      <c r="A24" s="12" t="s">
        <v>165</v>
      </c>
      <c r="B24" s="1" t="s">
        <v>213</v>
      </c>
      <c r="C24" s="1" t="s">
        <v>217</v>
      </c>
      <c r="D24" s="2">
        <f>прил.6!G861</f>
        <v>34284.999999999993</v>
      </c>
      <c r="E24" s="2">
        <f>прил.6!H861</f>
        <v>0</v>
      </c>
      <c r="F24" s="35">
        <f t="shared" si="0"/>
        <v>34284.999999999993</v>
      </c>
      <c r="G24" s="2">
        <f>прил.6!J861+прил.6!J1700</f>
        <v>8199.9</v>
      </c>
      <c r="H24" s="35">
        <f t="shared" si="1"/>
        <v>42484.899999999994</v>
      </c>
      <c r="I24" s="2">
        <f>прил.6!L861+прил.6!L1700</f>
        <v>0</v>
      </c>
      <c r="J24" s="35">
        <f t="shared" si="2"/>
        <v>42484.899999999994</v>
      </c>
      <c r="K24" s="2">
        <f>прил.6!N861+прил.6!N1700</f>
        <v>0</v>
      </c>
      <c r="L24" s="35">
        <f t="shared" si="3"/>
        <v>42484.899999999994</v>
      </c>
      <c r="M24" s="2">
        <f>прил.6!P861+прил.6!P1700</f>
        <v>0</v>
      </c>
      <c r="N24" s="35">
        <f t="shared" si="4"/>
        <v>42484.899999999994</v>
      </c>
      <c r="O24" s="2">
        <f>прил.6!R861+прил.6!R1700</f>
        <v>55.7</v>
      </c>
      <c r="P24" s="35">
        <f t="shared" si="5"/>
        <v>42540.599999999991</v>
      </c>
      <c r="Q24" s="2">
        <f>прил.6!T861+прил.6!T1700</f>
        <v>0</v>
      </c>
      <c r="R24" s="35">
        <f t="shared" si="6"/>
        <v>42540.599999999991</v>
      </c>
    </row>
    <row r="25" spans="1:22">
      <c r="A25" s="12" t="s">
        <v>200</v>
      </c>
      <c r="B25" s="1" t="s">
        <v>213</v>
      </c>
      <c r="C25" s="1" t="s">
        <v>224</v>
      </c>
      <c r="D25" s="2">
        <f>прил.6!G877</f>
        <v>69251.3</v>
      </c>
      <c r="E25" s="2">
        <f>прил.6!H877</f>
        <v>-9691.9</v>
      </c>
      <c r="F25" s="35">
        <f t="shared" si="0"/>
        <v>59559.4</v>
      </c>
      <c r="G25" s="2">
        <f>прил.6!J877</f>
        <v>-630.1</v>
      </c>
      <c r="H25" s="35">
        <f t="shared" si="1"/>
        <v>58929.3</v>
      </c>
      <c r="I25" s="2">
        <f>прил.6!L877</f>
        <v>-42706.7</v>
      </c>
      <c r="J25" s="35">
        <f t="shared" si="2"/>
        <v>16222.600000000006</v>
      </c>
      <c r="K25" s="2">
        <f>прил.6!N877</f>
        <v>-4163</v>
      </c>
      <c r="L25" s="35">
        <f t="shared" si="3"/>
        <v>12059.600000000006</v>
      </c>
      <c r="M25" s="2">
        <f>прил.6!P877</f>
        <v>0</v>
      </c>
      <c r="N25" s="35">
        <f t="shared" si="4"/>
        <v>12059.600000000006</v>
      </c>
      <c r="O25" s="2">
        <f>прил.6!R877</f>
        <v>-310.09999999999991</v>
      </c>
      <c r="P25" s="35">
        <f t="shared" si="5"/>
        <v>11749.500000000005</v>
      </c>
      <c r="Q25" s="2">
        <f>прил.6!T877</f>
        <v>0</v>
      </c>
      <c r="R25" s="35">
        <f t="shared" si="6"/>
        <v>11749.500000000005</v>
      </c>
    </row>
    <row r="26" spans="1:22">
      <c r="A26" s="12" t="s">
        <v>237</v>
      </c>
      <c r="B26" s="1" t="s">
        <v>213</v>
      </c>
      <c r="C26" s="1" t="s">
        <v>190</v>
      </c>
      <c r="D26" s="2">
        <f>прил.6!G72+прил.6!G416+прил.6!G884+прил.6!G1485</f>
        <v>145157.1</v>
      </c>
      <c r="E26" s="2">
        <f>прил.6!H72+прил.6!H416+прил.6!H884+прил.6!H1485</f>
        <v>0</v>
      </c>
      <c r="F26" s="35">
        <f t="shared" si="0"/>
        <v>145157.1</v>
      </c>
      <c r="G26" s="2">
        <f>прил.6!J72+прил.6!J416+прил.6!J884+прил.6!J1485</f>
        <v>1280.8000000000011</v>
      </c>
      <c r="H26" s="35">
        <f t="shared" si="1"/>
        <v>146437.9</v>
      </c>
      <c r="I26" s="2">
        <f>прил.6!L72+прил.6!L416+прил.6!L884+прил.6!L1485</f>
        <v>-23.900000000000091</v>
      </c>
      <c r="J26" s="35">
        <f t="shared" si="2"/>
        <v>146414</v>
      </c>
      <c r="K26" s="2">
        <f>прил.6!N72+прил.6!N416+прил.6!N884+прил.6!N1485</f>
        <v>-159.20000000000002</v>
      </c>
      <c r="L26" s="35">
        <f t="shared" si="3"/>
        <v>146254.79999999999</v>
      </c>
      <c r="M26" s="2">
        <f>прил.6!P72+прил.6!P416+прил.6!P884+прил.6!P1485</f>
        <v>0</v>
      </c>
      <c r="N26" s="35">
        <f t="shared" si="4"/>
        <v>146254.79999999999</v>
      </c>
      <c r="O26" s="2">
        <f>прил.6!R72+прил.6!R416+прил.6!R884+прил.6!R1485</f>
        <v>292.30000000000018</v>
      </c>
      <c r="P26" s="35">
        <f t="shared" si="5"/>
        <v>146547.09999999998</v>
      </c>
      <c r="Q26" s="2">
        <f>прил.6!T72+прил.6!T416+прил.6!T884+прил.6!T1485+прил.6!T1290</f>
        <v>16240.999999999998</v>
      </c>
      <c r="R26" s="35">
        <f t="shared" si="6"/>
        <v>162788.09999999998</v>
      </c>
    </row>
    <row r="27" spans="1:22" ht="33">
      <c r="A27" s="12" t="s">
        <v>162</v>
      </c>
      <c r="B27" s="1" t="s">
        <v>215</v>
      </c>
      <c r="C27" s="1"/>
      <c r="D27" s="2">
        <f>SUM(D28)</f>
        <v>59148.7</v>
      </c>
      <c r="E27" s="2">
        <f>SUM(E28)</f>
        <v>0</v>
      </c>
      <c r="F27" s="35">
        <f t="shared" si="0"/>
        <v>59148.7</v>
      </c>
      <c r="G27" s="2">
        <f>SUM(G28)</f>
        <v>0</v>
      </c>
      <c r="H27" s="35">
        <f t="shared" si="1"/>
        <v>59148.7</v>
      </c>
      <c r="I27" s="2">
        <f>SUM(I28)</f>
        <v>-3441.5</v>
      </c>
      <c r="J27" s="35">
        <f t="shared" si="2"/>
        <v>55707.199999999997</v>
      </c>
      <c r="K27" s="2">
        <f>SUM(K28)</f>
        <v>0</v>
      </c>
      <c r="L27" s="35">
        <f t="shared" si="3"/>
        <v>55707.199999999997</v>
      </c>
      <c r="M27" s="2">
        <f>SUM(M28)</f>
        <v>0</v>
      </c>
      <c r="N27" s="35">
        <f t="shared" si="4"/>
        <v>55707.199999999997</v>
      </c>
      <c r="O27" s="2">
        <f>SUM(O28)</f>
        <v>80.099999999999994</v>
      </c>
      <c r="P27" s="35">
        <f t="shared" si="5"/>
        <v>55787.299999999996</v>
      </c>
      <c r="Q27" s="2">
        <f>SUM(Q28)</f>
        <v>0</v>
      </c>
      <c r="R27" s="35">
        <f t="shared" si="6"/>
        <v>55787.299999999996</v>
      </c>
    </row>
    <row r="28" spans="1:22" ht="33">
      <c r="A28" s="12" t="s">
        <v>262</v>
      </c>
      <c r="B28" s="1" t="s">
        <v>215</v>
      </c>
      <c r="C28" s="1" t="s">
        <v>219</v>
      </c>
      <c r="D28" s="2">
        <f>прил.6!G176</f>
        <v>59148.7</v>
      </c>
      <c r="E28" s="2">
        <f>прил.6!H176</f>
        <v>0</v>
      </c>
      <c r="F28" s="35">
        <f t="shared" si="0"/>
        <v>59148.7</v>
      </c>
      <c r="G28" s="2">
        <f>прил.6!J176</f>
        <v>0</v>
      </c>
      <c r="H28" s="35">
        <f t="shared" si="1"/>
        <v>59148.7</v>
      </c>
      <c r="I28" s="2">
        <f>прил.6!L176</f>
        <v>-3441.5</v>
      </c>
      <c r="J28" s="35">
        <f t="shared" si="2"/>
        <v>55707.199999999997</v>
      </c>
      <c r="K28" s="2">
        <f>прил.6!N176</f>
        <v>0</v>
      </c>
      <c r="L28" s="35">
        <f t="shared" si="3"/>
        <v>55707.199999999997</v>
      </c>
      <c r="M28" s="2">
        <f>прил.6!P176</f>
        <v>0</v>
      </c>
      <c r="N28" s="35">
        <f t="shared" si="4"/>
        <v>55707.199999999997</v>
      </c>
      <c r="O28" s="2">
        <f>прил.6!R176</f>
        <v>80.099999999999994</v>
      </c>
      <c r="P28" s="35">
        <f t="shared" si="5"/>
        <v>55787.299999999996</v>
      </c>
      <c r="Q28" s="2">
        <f>прил.6!T176</f>
        <v>0</v>
      </c>
      <c r="R28" s="35">
        <f t="shared" si="6"/>
        <v>55787.299999999996</v>
      </c>
    </row>
    <row r="29" spans="1:22">
      <c r="A29" s="12" t="s">
        <v>220</v>
      </c>
      <c r="B29" s="1" t="s">
        <v>216</v>
      </c>
      <c r="C29" s="1"/>
      <c r="D29" s="2">
        <f>SUM(D30:D34)</f>
        <v>1014715.5999999999</v>
      </c>
      <c r="E29" s="2">
        <f>SUM(E30:E34)</f>
        <v>-12616.400000000001</v>
      </c>
      <c r="F29" s="35">
        <f t="shared" si="0"/>
        <v>1002099.1999999998</v>
      </c>
      <c r="G29" s="2">
        <f>SUM(G30:G34)</f>
        <v>-48495.5</v>
      </c>
      <c r="H29" s="35">
        <f t="shared" si="1"/>
        <v>953603.69999999984</v>
      </c>
      <c r="I29" s="2">
        <f>SUM(I30:I34)</f>
        <v>-8338.7999999999993</v>
      </c>
      <c r="J29" s="35">
        <f t="shared" si="2"/>
        <v>945264.89999999979</v>
      </c>
      <c r="K29" s="2">
        <f>SUM(K30:K34)</f>
        <v>-2924.0999999999995</v>
      </c>
      <c r="L29" s="35">
        <f t="shared" si="3"/>
        <v>942340.79999999981</v>
      </c>
      <c r="M29" s="2">
        <f>SUM(M30:M34)</f>
        <v>12800</v>
      </c>
      <c r="N29" s="35">
        <f t="shared" si="4"/>
        <v>955140.79999999981</v>
      </c>
      <c r="O29" s="2">
        <f>SUM(O30:O34)</f>
        <v>-2038.4999999999995</v>
      </c>
      <c r="P29" s="35">
        <f t="shared" si="5"/>
        <v>953102.29999999981</v>
      </c>
      <c r="Q29" s="2">
        <f>SUM(Q30:Q34)</f>
        <v>-5008.0999999999985</v>
      </c>
      <c r="R29" s="35">
        <f t="shared" si="6"/>
        <v>948094.19999999984</v>
      </c>
    </row>
    <row r="30" spans="1:22">
      <c r="A30" s="76" t="s">
        <v>203</v>
      </c>
      <c r="B30" s="1" t="s">
        <v>216</v>
      </c>
      <c r="C30" s="1" t="s">
        <v>213</v>
      </c>
      <c r="D30" s="2">
        <f>прил.6!G234</f>
        <v>1338.9</v>
      </c>
      <c r="E30" s="2">
        <f>прил.6!H234</f>
        <v>0</v>
      </c>
      <c r="F30" s="35">
        <f t="shared" si="0"/>
        <v>1338.9</v>
      </c>
      <c r="G30" s="2">
        <f>прил.6!J234</f>
        <v>0</v>
      </c>
      <c r="H30" s="35">
        <f t="shared" si="1"/>
        <v>1338.9</v>
      </c>
      <c r="I30" s="2">
        <f>прил.6!L234</f>
        <v>0</v>
      </c>
      <c r="J30" s="35">
        <f t="shared" si="2"/>
        <v>1338.9</v>
      </c>
      <c r="K30" s="2">
        <f>прил.6!N574</f>
        <v>68.900000000000006</v>
      </c>
      <c r="L30" s="35">
        <f t="shared" si="3"/>
        <v>1407.8000000000002</v>
      </c>
      <c r="M30" s="2">
        <f>прил.6!P574</f>
        <v>0</v>
      </c>
      <c r="N30" s="35">
        <f t="shared" si="4"/>
        <v>1407.8000000000002</v>
      </c>
      <c r="O30" s="2">
        <f>прил.6!R574+прил.6!R234</f>
        <v>-17.399999999999999</v>
      </c>
      <c r="P30" s="35">
        <f t="shared" si="5"/>
        <v>1390.4</v>
      </c>
      <c r="Q30" s="2">
        <f>прил.6!T574+прил.6!T234</f>
        <v>0</v>
      </c>
      <c r="R30" s="35">
        <f t="shared" si="6"/>
        <v>1390.4</v>
      </c>
    </row>
    <row r="31" spans="1:22">
      <c r="A31" s="77" t="s">
        <v>361</v>
      </c>
      <c r="B31" s="1" t="s">
        <v>216</v>
      </c>
      <c r="C31" s="1" t="s">
        <v>222</v>
      </c>
      <c r="D31" s="2">
        <f>прил.6!G1505</f>
        <v>82953.899999999994</v>
      </c>
      <c r="E31" s="2">
        <f>прил.6!H1505+прил.6!H424</f>
        <v>0</v>
      </c>
      <c r="F31" s="35">
        <f t="shared" si="0"/>
        <v>82953.899999999994</v>
      </c>
      <c r="G31" s="2">
        <f>прил.6!J1505+прил.6!J424</f>
        <v>0</v>
      </c>
      <c r="H31" s="35">
        <f t="shared" si="1"/>
        <v>82953.899999999994</v>
      </c>
      <c r="I31" s="2">
        <f>прил.6!L1505+прил.6!L424</f>
        <v>0</v>
      </c>
      <c r="J31" s="35">
        <f t="shared" si="2"/>
        <v>82953.899999999994</v>
      </c>
      <c r="K31" s="2">
        <f>прил.6!N1505+прил.6!N424</f>
        <v>-2565.6999999999998</v>
      </c>
      <c r="L31" s="35">
        <f t="shared" si="3"/>
        <v>80388.2</v>
      </c>
      <c r="M31" s="2">
        <f>прил.6!P1505+прил.6!P424+прил.6!P240</f>
        <v>12800</v>
      </c>
      <c r="N31" s="35">
        <f t="shared" si="4"/>
        <v>93188.2</v>
      </c>
      <c r="O31" s="2">
        <f>прил.6!R1505+прил.6!R424+прил.6!R240</f>
        <v>-49.9</v>
      </c>
      <c r="P31" s="35">
        <f t="shared" si="5"/>
        <v>93138.3</v>
      </c>
      <c r="Q31" s="2">
        <f>прил.6!T1505+прил.6!T424+прил.6!T240</f>
        <v>0</v>
      </c>
      <c r="R31" s="35">
        <f t="shared" si="6"/>
        <v>93138.3</v>
      </c>
    </row>
    <row r="32" spans="1:22">
      <c r="A32" s="77" t="s">
        <v>180</v>
      </c>
      <c r="B32" s="1" t="s">
        <v>216</v>
      </c>
      <c r="C32" s="1" t="s">
        <v>219</v>
      </c>
      <c r="D32" s="2">
        <f>прил.6!G430+прил.6!G1516</f>
        <v>617007.6</v>
      </c>
      <c r="E32" s="2">
        <f>прил.6!H430+прил.6!H1516</f>
        <v>51383.6</v>
      </c>
      <c r="F32" s="35">
        <f t="shared" si="0"/>
        <v>668391.19999999995</v>
      </c>
      <c r="G32" s="2">
        <f>прил.6!J430+прил.6!J1516</f>
        <v>-594.6</v>
      </c>
      <c r="H32" s="35">
        <f t="shared" si="1"/>
        <v>667796.6</v>
      </c>
      <c r="I32" s="2">
        <f>прил.6!L430+прил.6!L1516</f>
        <v>-1754.1000000000004</v>
      </c>
      <c r="J32" s="35">
        <f t="shared" si="2"/>
        <v>666042.5</v>
      </c>
      <c r="K32" s="2">
        <f>прил.6!N430+прил.6!N1516</f>
        <v>-676.69999999999993</v>
      </c>
      <c r="L32" s="35">
        <f t="shared" si="3"/>
        <v>665365.80000000005</v>
      </c>
      <c r="M32" s="2">
        <f>прил.6!P430+прил.6!P1516</f>
        <v>0</v>
      </c>
      <c r="N32" s="35">
        <f t="shared" si="4"/>
        <v>665365.80000000005</v>
      </c>
      <c r="O32" s="2">
        <f>прил.6!R430+прил.6!R1516</f>
        <v>-1501.0999999999995</v>
      </c>
      <c r="P32" s="35">
        <f t="shared" si="5"/>
        <v>663864.70000000007</v>
      </c>
      <c r="Q32" s="2">
        <f>прил.6!T430+прил.6!T1516</f>
        <v>-8279.6999999999989</v>
      </c>
      <c r="R32" s="35">
        <f t="shared" si="6"/>
        <v>655585.00000000012</v>
      </c>
    </row>
    <row r="33" spans="1:18">
      <c r="A33" s="12" t="s">
        <v>230</v>
      </c>
      <c r="B33" s="1" t="s">
        <v>216</v>
      </c>
      <c r="C33" s="1" t="s">
        <v>188</v>
      </c>
      <c r="D33" s="2">
        <f>прил.6!G245</f>
        <v>53815.5</v>
      </c>
      <c r="E33" s="2">
        <f>прил.6!H245</f>
        <v>0</v>
      </c>
      <c r="F33" s="35">
        <f t="shared" si="0"/>
        <v>53815.5</v>
      </c>
      <c r="G33" s="2">
        <f>прил.6!J245</f>
        <v>1675.6999999999998</v>
      </c>
      <c r="H33" s="35">
        <f t="shared" si="1"/>
        <v>55491.199999999997</v>
      </c>
      <c r="I33" s="2">
        <f>прил.6!L245+прил.6!L1539</f>
        <v>507.5</v>
      </c>
      <c r="J33" s="35">
        <f t="shared" si="2"/>
        <v>55998.7</v>
      </c>
      <c r="K33" s="2">
        <f>прил.6!N245+прил.6!N1539</f>
        <v>41.6</v>
      </c>
      <c r="L33" s="35">
        <f t="shared" si="3"/>
        <v>56040.299999999996</v>
      </c>
      <c r="M33" s="2">
        <f>прил.6!P245+прил.6!P1539</f>
        <v>0</v>
      </c>
      <c r="N33" s="35">
        <f t="shared" si="4"/>
        <v>56040.299999999996</v>
      </c>
      <c r="O33" s="2">
        <f>прил.6!R245+прил.6!R1539</f>
        <v>-3513.3</v>
      </c>
      <c r="P33" s="35">
        <f t="shared" si="5"/>
        <v>52526.999999999993</v>
      </c>
      <c r="Q33" s="2">
        <f>прил.6!T245+прил.6!T1539</f>
        <v>-98.7</v>
      </c>
      <c r="R33" s="35">
        <f t="shared" si="6"/>
        <v>52428.299999999996</v>
      </c>
    </row>
    <row r="34" spans="1:18">
      <c r="A34" s="12" t="s">
        <v>223</v>
      </c>
      <c r="B34" s="1" t="s">
        <v>216</v>
      </c>
      <c r="C34" s="1" t="s">
        <v>196</v>
      </c>
      <c r="D34" s="2">
        <f>прил.6!G277+прил.6!G461+прил.6!G549+прил.6!G899+прил.6!G910+прил.6!G1546</f>
        <v>259599.69999999998</v>
      </c>
      <c r="E34" s="2">
        <f>прил.6!H277+прил.6!H461+прил.6!H549+прил.6!H899+прил.6!H910+прил.6!H1546</f>
        <v>-64000</v>
      </c>
      <c r="F34" s="35">
        <f t="shared" si="0"/>
        <v>195599.69999999998</v>
      </c>
      <c r="G34" s="2">
        <f>прил.6!J277+прил.6!J461+прил.6!J549+прил.6!J899+прил.6!J910+прил.6!J1546</f>
        <v>-49576.6</v>
      </c>
      <c r="H34" s="35">
        <f t="shared" si="1"/>
        <v>146023.09999999998</v>
      </c>
      <c r="I34" s="2">
        <f>прил.6!L277+прил.6!L461+прил.6!L549+прил.6!L899+прил.6!L910+прил.6!L1546</f>
        <v>-7092.2</v>
      </c>
      <c r="J34" s="35">
        <f t="shared" si="2"/>
        <v>138930.89999999997</v>
      </c>
      <c r="K34" s="2">
        <f>прил.6!N277+прил.6!N461+прил.6!N549+прил.6!N899+прил.6!N910+прил.6!N1546</f>
        <v>207.8</v>
      </c>
      <c r="L34" s="35">
        <f t="shared" si="3"/>
        <v>139138.69999999995</v>
      </c>
      <c r="M34" s="2">
        <f>прил.6!P277+прил.6!P461+прил.6!P549+прил.6!P899+прил.6!P910+прил.6!P1546</f>
        <v>0</v>
      </c>
      <c r="N34" s="35">
        <f t="shared" si="4"/>
        <v>139138.69999999995</v>
      </c>
      <c r="O34" s="2">
        <f>прил.6!R277+прил.6!R461+прил.6!R549+прил.6!R899+прил.6!R910+прил.6!R1546</f>
        <v>3043.2000000000003</v>
      </c>
      <c r="P34" s="35">
        <f t="shared" si="5"/>
        <v>142181.89999999997</v>
      </c>
      <c r="Q34" s="2">
        <f>прил.6!T277+прил.6!T461+прил.6!T549+прил.6!T899+прил.6!T910+прил.6!T1546</f>
        <v>3370.3000000000006</v>
      </c>
      <c r="R34" s="35">
        <f t="shared" si="6"/>
        <v>145552.19999999995</v>
      </c>
    </row>
    <row r="35" spans="1:18">
      <c r="A35" s="12" t="s">
        <v>225</v>
      </c>
      <c r="B35" s="1" t="s">
        <v>221</v>
      </c>
      <c r="C35" s="1"/>
      <c r="D35" s="2">
        <f>SUM(D36:D39)</f>
        <v>177342.5</v>
      </c>
      <c r="E35" s="2">
        <f>SUM(E36:E39)</f>
        <v>0</v>
      </c>
      <c r="F35" s="35">
        <f t="shared" si="0"/>
        <v>177342.5</v>
      </c>
      <c r="G35" s="2">
        <f>SUM(G36:G39)</f>
        <v>-898.90000000000009</v>
      </c>
      <c r="H35" s="35">
        <f t="shared" si="1"/>
        <v>176443.6</v>
      </c>
      <c r="I35" s="2">
        <f>SUM(I36:I39)</f>
        <v>-2268.8999999999996</v>
      </c>
      <c r="J35" s="35">
        <f t="shared" si="2"/>
        <v>174174.7</v>
      </c>
      <c r="K35" s="2">
        <f>SUM(K36:K39)</f>
        <v>3842.2</v>
      </c>
      <c r="L35" s="35">
        <f t="shared" si="3"/>
        <v>178016.90000000002</v>
      </c>
      <c r="M35" s="2">
        <f>SUM(M36:M39)</f>
        <v>-140.19999999999999</v>
      </c>
      <c r="N35" s="35">
        <f t="shared" si="4"/>
        <v>177876.7</v>
      </c>
      <c r="O35" s="2">
        <f>SUM(O36:O39)</f>
        <v>8039.6</v>
      </c>
      <c r="P35" s="35">
        <f t="shared" si="5"/>
        <v>185916.30000000002</v>
      </c>
      <c r="Q35" s="2">
        <f>SUM(Q36:Q39)</f>
        <v>4170.3999999999996</v>
      </c>
      <c r="R35" s="35">
        <f t="shared" si="6"/>
        <v>190086.7</v>
      </c>
    </row>
    <row r="36" spans="1:18">
      <c r="A36" s="12" t="s">
        <v>226</v>
      </c>
      <c r="B36" s="1" t="s">
        <v>221</v>
      </c>
      <c r="C36" s="1" t="s">
        <v>213</v>
      </c>
      <c r="D36" s="2">
        <f>прил.6!G478</f>
        <v>9180.7999999999993</v>
      </c>
      <c r="E36" s="2">
        <f>прил.6!H478</f>
        <v>0</v>
      </c>
      <c r="F36" s="35">
        <f t="shared" si="0"/>
        <v>9180.7999999999993</v>
      </c>
      <c r="G36" s="2">
        <f>прил.6!J478</f>
        <v>0</v>
      </c>
      <c r="H36" s="35">
        <f t="shared" si="1"/>
        <v>9180.7999999999993</v>
      </c>
      <c r="I36" s="2">
        <f>прил.6!L478</f>
        <v>-508.5</v>
      </c>
      <c r="J36" s="35">
        <f t="shared" si="2"/>
        <v>8672.2999999999993</v>
      </c>
      <c r="K36" s="2">
        <f>прил.6!N478</f>
        <v>0</v>
      </c>
      <c r="L36" s="35">
        <f t="shared" si="3"/>
        <v>8672.2999999999993</v>
      </c>
      <c r="M36" s="2">
        <f>прил.6!P478</f>
        <v>0</v>
      </c>
      <c r="N36" s="35">
        <f t="shared" si="4"/>
        <v>8672.2999999999993</v>
      </c>
      <c r="O36" s="2">
        <f>прил.6!R478+прил.6!R1596</f>
        <v>8188.5</v>
      </c>
      <c r="P36" s="35">
        <f t="shared" si="5"/>
        <v>16860.8</v>
      </c>
      <c r="Q36" s="2">
        <f>прил.6!T478+прил.6!T1596</f>
        <v>0</v>
      </c>
      <c r="R36" s="35">
        <f t="shared" si="6"/>
        <v>16860.8</v>
      </c>
    </row>
    <row r="37" spans="1:18">
      <c r="A37" s="12" t="s">
        <v>253</v>
      </c>
      <c r="B37" s="1" t="s">
        <v>221</v>
      </c>
      <c r="C37" s="1" t="s">
        <v>214</v>
      </c>
      <c r="D37" s="2">
        <f>прил.6!G1602</f>
        <v>4522</v>
      </c>
      <c r="E37" s="2">
        <f>прил.6!H1602</f>
        <v>0</v>
      </c>
      <c r="F37" s="35">
        <f t="shared" si="0"/>
        <v>4522</v>
      </c>
      <c r="G37" s="2">
        <f>прил.6!J1602</f>
        <v>0</v>
      </c>
      <c r="H37" s="35">
        <f t="shared" si="1"/>
        <v>4522</v>
      </c>
      <c r="I37" s="2">
        <f>прил.6!L1602</f>
        <v>412.80000000000018</v>
      </c>
      <c r="J37" s="35">
        <f t="shared" si="2"/>
        <v>4934.8</v>
      </c>
      <c r="K37" s="2">
        <f>прил.6!N1602</f>
        <v>0</v>
      </c>
      <c r="L37" s="35">
        <f t="shared" si="3"/>
        <v>4934.8</v>
      </c>
      <c r="M37" s="2">
        <f>прил.6!P1602</f>
        <v>0</v>
      </c>
      <c r="N37" s="35">
        <f t="shared" si="4"/>
        <v>4934.8</v>
      </c>
      <c r="O37" s="2">
        <f>прил.6!R1602</f>
        <v>1611</v>
      </c>
      <c r="P37" s="35">
        <f t="shared" si="5"/>
        <v>6545.8</v>
      </c>
      <c r="Q37" s="2">
        <f>прил.6!T1602</f>
        <v>-1622.9</v>
      </c>
      <c r="R37" s="35">
        <f t="shared" si="6"/>
        <v>4922.8999999999996</v>
      </c>
    </row>
    <row r="38" spans="1:18">
      <c r="A38" s="61" t="s">
        <v>252</v>
      </c>
      <c r="B38" s="1" t="s">
        <v>221</v>
      </c>
      <c r="C38" s="1" t="s">
        <v>215</v>
      </c>
      <c r="D38" s="2">
        <f>прил.6!G499+прил.6!G1613</f>
        <v>141710.40000000002</v>
      </c>
      <c r="E38" s="2">
        <f>прил.6!H499+прил.6!H1613</f>
        <v>0</v>
      </c>
      <c r="F38" s="35">
        <f t="shared" si="0"/>
        <v>141710.40000000002</v>
      </c>
      <c r="G38" s="2">
        <f>прил.6!J499+прил.6!J1613</f>
        <v>-898.90000000000009</v>
      </c>
      <c r="H38" s="35">
        <f t="shared" si="1"/>
        <v>140811.50000000003</v>
      </c>
      <c r="I38" s="2">
        <f>прил.6!L499+прил.6!L1613</f>
        <v>-2173.1999999999998</v>
      </c>
      <c r="J38" s="35">
        <f t="shared" si="2"/>
        <v>138638.30000000002</v>
      </c>
      <c r="K38" s="2">
        <f>прил.6!N499+прил.6!N1613</f>
        <v>3842.2</v>
      </c>
      <c r="L38" s="35">
        <f t="shared" si="3"/>
        <v>142480.50000000003</v>
      </c>
      <c r="M38" s="2">
        <f>прил.6!P499+прил.6!P1613</f>
        <v>-140.19999999999999</v>
      </c>
      <c r="N38" s="35">
        <f t="shared" si="4"/>
        <v>142340.30000000002</v>
      </c>
      <c r="O38" s="2">
        <f>прил.6!R499+прил.6!R1613</f>
        <v>-1759.9</v>
      </c>
      <c r="P38" s="35">
        <f t="shared" si="5"/>
        <v>140580.40000000002</v>
      </c>
      <c r="Q38" s="2">
        <f>прил.6!T499+прил.6!T1613</f>
        <v>5793.2999999999993</v>
      </c>
      <c r="R38" s="35">
        <f t="shared" si="6"/>
        <v>146373.70000000001</v>
      </c>
    </row>
    <row r="39" spans="1:18">
      <c r="A39" s="12" t="s">
        <v>164</v>
      </c>
      <c r="B39" s="1" t="s">
        <v>221</v>
      </c>
      <c r="C39" s="1" t="s">
        <v>221</v>
      </c>
      <c r="D39" s="2">
        <f>прил.6!G513</f>
        <v>21929.300000000003</v>
      </c>
      <c r="E39" s="2">
        <f>прил.6!H513</f>
        <v>0</v>
      </c>
      <c r="F39" s="35">
        <f t="shared" si="0"/>
        <v>21929.300000000003</v>
      </c>
      <c r="G39" s="2">
        <f>прил.6!J513</f>
        <v>0</v>
      </c>
      <c r="H39" s="35">
        <f t="shared" si="1"/>
        <v>21929.300000000003</v>
      </c>
      <c r="I39" s="2">
        <f>прил.6!L513</f>
        <v>0</v>
      </c>
      <c r="J39" s="35">
        <f t="shared" si="2"/>
        <v>21929.300000000003</v>
      </c>
      <c r="K39" s="2">
        <f>прил.6!N513</f>
        <v>0</v>
      </c>
      <c r="L39" s="35">
        <f t="shared" si="3"/>
        <v>21929.300000000003</v>
      </c>
      <c r="M39" s="2">
        <f>прил.6!P513</f>
        <v>0</v>
      </c>
      <c r="N39" s="35">
        <f t="shared" si="4"/>
        <v>21929.300000000003</v>
      </c>
      <c r="O39" s="2">
        <f>прил.6!R513</f>
        <v>0</v>
      </c>
      <c r="P39" s="35">
        <f t="shared" si="5"/>
        <v>21929.300000000003</v>
      </c>
      <c r="Q39" s="2">
        <f>прил.6!T513</f>
        <v>0</v>
      </c>
      <c r="R39" s="35">
        <f t="shared" si="6"/>
        <v>21929.300000000003</v>
      </c>
    </row>
    <row r="40" spans="1:18">
      <c r="A40" s="12" t="s">
        <v>254</v>
      </c>
      <c r="B40" s="1" t="s">
        <v>217</v>
      </c>
      <c r="C40" s="1"/>
      <c r="D40" s="2">
        <f>SUM(D41:D42)</f>
        <v>17871.599999999999</v>
      </c>
      <c r="E40" s="2">
        <f>SUM(E41:E42)</f>
        <v>0</v>
      </c>
      <c r="F40" s="35">
        <f t="shared" si="0"/>
        <v>17871.599999999999</v>
      </c>
      <c r="G40" s="2">
        <f>SUM(G41:G42)</f>
        <v>0</v>
      </c>
      <c r="H40" s="35">
        <f t="shared" si="1"/>
        <v>17871.599999999999</v>
      </c>
      <c r="I40" s="2">
        <f>SUM(I41:I42)</f>
        <v>-0.6</v>
      </c>
      <c r="J40" s="35">
        <f t="shared" si="2"/>
        <v>17871</v>
      </c>
      <c r="K40" s="2">
        <f>SUM(K41:K42)</f>
        <v>-164.3</v>
      </c>
      <c r="L40" s="35">
        <f t="shared" si="3"/>
        <v>17706.7</v>
      </c>
      <c r="M40" s="2">
        <f>SUM(M41:M42)</f>
        <v>0</v>
      </c>
      <c r="N40" s="35">
        <f t="shared" si="4"/>
        <v>17706.7</v>
      </c>
      <c r="O40" s="2">
        <f>SUM(O41:O42)</f>
        <v>0</v>
      </c>
      <c r="P40" s="35">
        <f t="shared" si="5"/>
        <v>17706.7</v>
      </c>
      <c r="Q40" s="2">
        <f>SUM(Q41:Q42)</f>
        <v>0</v>
      </c>
      <c r="R40" s="35">
        <f t="shared" si="6"/>
        <v>17706.7</v>
      </c>
    </row>
    <row r="41" spans="1:18">
      <c r="A41" s="78" t="s">
        <v>160</v>
      </c>
      <c r="B41" s="1" t="s">
        <v>217</v>
      </c>
      <c r="C41" s="1" t="s">
        <v>215</v>
      </c>
      <c r="D41" s="2">
        <f>прил.6!G1715</f>
        <v>1703.5</v>
      </c>
      <c r="E41" s="2">
        <f>прил.6!H1715</f>
        <v>0</v>
      </c>
      <c r="F41" s="35">
        <f t="shared" si="0"/>
        <v>1703.5</v>
      </c>
      <c r="G41" s="2">
        <f>прил.6!J1715</f>
        <v>0</v>
      </c>
      <c r="H41" s="35">
        <f t="shared" si="1"/>
        <v>1703.5</v>
      </c>
      <c r="I41" s="2">
        <f>прил.6!L1715</f>
        <v>0</v>
      </c>
      <c r="J41" s="35">
        <f t="shared" si="2"/>
        <v>1703.5</v>
      </c>
      <c r="K41" s="2">
        <f>прил.6!N1715</f>
        <v>0</v>
      </c>
      <c r="L41" s="35">
        <f t="shared" si="3"/>
        <v>1703.5</v>
      </c>
      <c r="M41" s="2">
        <f>прил.6!P1715</f>
        <v>0</v>
      </c>
      <c r="N41" s="35">
        <f t="shared" si="4"/>
        <v>1703.5</v>
      </c>
      <c r="O41" s="2">
        <f>прил.6!R1715</f>
        <v>0</v>
      </c>
      <c r="P41" s="35">
        <f t="shared" si="5"/>
        <v>1703.5</v>
      </c>
      <c r="Q41" s="2">
        <f>прил.6!T1715</f>
        <v>0</v>
      </c>
      <c r="R41" s="35">
        <f t="shared" si="6"/>
        <v>1703.5</v>
      </c>
    </row>
    <row r="42" spans="1:18">
      <c r="A42" s="12" t="s">
        <v>255</v>
      </c>
      <c r="B42" s="1" t="s">
        <v>217</v>
      </c>
      <c r="C42" s="1" t="s">
        <v>221</v>
      </c>
      <c r="D42" s="2">
        <f>прил.6!G527+прил.6!G1724</f>
        <v>16168.1</v>
      </c>
      <c r="E42" s="2">
        <f>прил.6!H527+прил.6!H1724</f>
        <v>0</v>
      </c>
      <c r="F42" s="35">
        <f t="shared" si="0"/>
        <v>16168.1</v>
      </c>
      <c r="G42" s="2">
        <f>прил.6!J527+прил.6!J1724</f>
        <v>0</v>
      </c>
      <c r="H42" s="35">
        <f t="shared" si="1"/>
        <v>16168.1</v>
      </c>
      <c r="I42" s="2">
        <f>прил.6!L527+прил.6!L1724</f>
        <v>-0.6</v>
      </c>
      <c r="J42" s="35">
        <f t="shared" si="2"/>
        <v>16167.5</v>
      </c>
      <c r="K42" s="2">
        <f>прил.6!N527+прил.6!N1724</f>
        <v>-164.3</v>
      </c>
      <c r="L42" s="35">
        <f t="shared" si="3"/>
        <v>16003.2</v>
      </c>
      <c r="M42" s="2">
        <f>прил.6!P527+прил.6!P1724</f>
        <v>0</v>
      </c>
      <c r="N42" s="35">
        <f t="shared" si="4"/>
        <v>16003.2</v>
      </c>
      <c r="O42" s="2">
        <f>прил.6!R527+прил.6!R1724</f>
        <v>0</v>
      </c>
      <c r="P42" s="35">
        <f t="shared" si="5"/>
        <v>16003.2</v>
      </c>
      <c r="Q42" s="2">
        <f>прил.6!T527+прил.6!T1724</f>
        <v>0</v>
      </c>
      <c r="R42" s="35">
        <f t="shared" si="6"/>
        <v>16003.2</v>
      </c>
    </row>
    <row r="43" spans="1:18">
      <c r="A43" s="12" t="s">
        <v>256</v>
      </c>
      <c r="B43" s="1" t="s">
        <v>195</v>
      </c>
      <c r="C43" s="1"/>
      <c r="D43" s="2">
        <f>SUM(D44:D47)</f>
        <v>3396213.5</v>
      </c>
      <c r="E43" s="2">
        <f>SUM(E44:E47)</f>
        <v>908.8</v>
      </c>
      <c r="F43" s="35">
        <f t="shared" si="0"/>
        <v>3397122.3</v>
      </c>
      <c r="G43" s="2">
        <f>SUM(G44:G47)</f>
        <v>45778.399999999994</v>
      </c>
      <c r="H43" s="35">
        <f t="shared" si="1"/>
        <v>3442900.6999999997</v>
      </c>
      <c r="I43" s="2">
        <f>SUM(I44:I47)</f>
        <v>-8859.4</v>
      </c>
      <c r="J43" s="35">
        <f t="shared" si="2"/>
        <v>3434041.3</v>
      </c>
      <c r="K43" s="2">
        <f>SUM(K44:K47)</f>
        <v>1917.5</v>
      </c>
      <c r="L43" s="35">
        <f t="shared" si="3"/>
        <v>3435958.8</v>
      </c>
      <c r="M43" s="2">
        <f>SUM(M44:M47)</f>
        <v>3969.5</v>
      </c>
      <c r="N43" s="35">
        <f t="shared" si="4"/>
        <v>3439928.3</v>
      </c>
      <c r="O43" s="2">
        <f>SUM(O44:O47)</f>
        <v>307526.40000000002</v>
      </c>
      <c r="P43" s="35">
        <f t="shared" si="5"/>
        <v>3747454.6999999997</v>
      </c>
      <c r="Q43" s="2">
        <f>SUM(Q44:Q47)</f>
        <v>24899.100000000002</v>
      </c>
      <c r="R43" s="35">
        <f t="shared" si="6"/>
        <v>3772353.8</v>
      </c>
    </row>
    <row r="44" spans="1:18">
      <c r="A44" s="12" t="s">
        <v>258</v>
      </c>
      <c r="B44" s="1" t="s">
        <v>195</v>
      </c>
      <c r="C44" s="1" t="s">
        <v>213</v>
      </c>
      <c r="D44" s="2">
        <f>прил.6!G586</f>
        <v>1310375.8</v>
      </c>
      <c r="E44" s="2">
        <f>прил.6!H586</f>
        <v>0</v>
      </c>
      <c r="F44" s="35">
        <f t="shared" si="0"/>
        <v>1310375.8</v>
      </c>
      <c r="G44" s="2">
        <f>прил.6!J586</f>
        <v>44229.299999999996</v>
      </c>
      <c r="H44" s="35">
        <f t="shared" si="1"/>
        <v>1354605.1</v>
      </c>
      <c r="I44" s="2">
        <f>прил.6!L586</f>
        <v>-167.8</v>
      </c>
      <c r="J44" s="35">
        <f t="shared" si="2"/>
        <v>1354437.3</v>
      </c>
      <c r="K44" s="2">
        <f>прил.6!N586</f>
        <v>-2500</v>
      </c>
      <c r="L44" s="35">
        <f t="shared" si="3"/>
        <v>1351937.3</v>
      </c>
      <c r="M44" s="2">
        <f>прил.6!P586</f>
        <v>0</v>
      </c>
      <c r="N44" s="35">
        <f t="shared" si="4"/>
        <v>1351937.3</v>
      </c>
      <c r="O44" s="2">
        <f>прил.6!R586</f>
        <v>35857.700000000004</v>
      </c>
      <c r="P44" s="35">
        <f t="shared" si="5"/>
        <v>1387795</v>
      </c>
      <c r="Q44" s="2">
        <f>прил.6!T586</f>
        <v>13210.600000000004</v>
      </c>
      <c r="R44" s="35">
        <f t="shared" si="6"/>
        <v>1401005.6</v>
      </c>
    </row>
    <row r="45" spans="1:18">
      <c r="A45" s="12" t="s">
        <v>250</v>
      </c>
      <c r="B45" s="1" t="s">
        <v>195</v>
      </c>
      <c r="C45" s="1" t="s">
        <v>214</v>
      </c>
      <c r="D45" s="2">
        <f>прил.6!G626+прил.6!G919+прил.6!G1196+прил.6!G1621</f>
        <v>1757386.2</v>
      </c>
      <c r="E45" s="2">
        <f>прил.6!H626+прил.6!H919+прил.6!H1196+прил.6!H1621</f>
        <v>908.8</v>
      </c>
      <c r="F45" s="35">
        <f t="shared" si="0"/>
        <v>1758295</v>
      </c>
      <c r="G45" s="2">
        <f>прил.6!J626+прил.6!J919+прил.6!J1196+прил.6!J1621</f>
        <v>-7173</v>
      </c>
      <c r="H45" s="35">
        <f t="shared" si="1"/>
        <v>1751122</v>
      </c>
      <c r="I45" s="2">
        <f>прил.6!L626+прил.6!L919+прил.6!L1196+прил.6!L1621</f>
        <v>-208.60000000000002</v>
      </c>
      <c r="J45" s="35">
        <f t="shared" si="2"/>
        <v>1750913.4</v>
      </c>
      <c r="K45" s="2">
        <f>прил.6!N626+прил.6!N919+прил.6!N1196+прил.6!N1621</f>
        <v>-2877.3</v>
      </c>
      <c r="L45" s="35">
        <f t="shared" si="3"/>
        <v>1748036.0999999999</v>
      </c>
      <c r="M45" s="2">
        <f>прил.6!P626+прил.6!P919+прил.6!P1196+прил.6!P1621</f>
        <v>10</v>
      </c>
      <c r="N45" s="35">
        <f>L45+M45</f>
        <v>1748046.0999999999</v>
      </c>
      <c r="O45" s="2">
        <f>прил.6!R626+прил.6!R919+прил.6!R1196+прил.6!R1621</f>
        <v>952.60000000000082</v>
      </c>
      <c r="P45" s="35">
        <f t="shared" si="5"/>
        <v>1748998.7</v>
      </c>
      <c r="Q45" s="2">
        <f>прил.6!T626+прил.6!T919+прил.6!T1196+прил.6!T1621</f>
        <v>11220.2</v>
      </c>
      <c r="R45" s="35">
        <f t="shared" si="6"/>
        <v>1760218.9</v>
      </c>
    </row>
    <row r="46" spans="1:18">
      <c r="A46" s="12" t="s">
        <v>199</v>
      </c>
      <c r="B46" s="1" t="s">
        <v>195</v>
      </c>
      <c r="C46" s="1" t="s">
        <v>195</v>
      </c>
      <c r="D46" s="2">
        <f>прил.6!G304+прил.6!G691+прил.6!G1297+прил.6!G1627</f>
        <v>86246.6</v>
      </c>
      <c r="E46" s="2">
        <f>прил.6!H304+прил.6!H691+прил.6!H1297+прил.6!H1627</f>
        <v>0</v>
      </c>
      <c r="F46" s="35">
        <f t="shared" si="0"/>
        <v>86246.6</v>
      </c>
      <c r="G46" s="2">
        <f>прил.6!J304+прил.6!J691+прил.6!J934+прил.6!J1204+прил.6!J1297+прил.6!J1627</f>
        <v>0.6999999999998181</v>
      </c>
      <c r="H46" s="35">
        <f t="shared" si="1"/>
        <v>86247.3</v>
      </c>
      <c r="I46" s="2">
        <f>прил.6!L304+прил.6!L691+прил.6!L934+прил.6!L1204+прил.6!L1297+прил.6!L1627</f>
        <v>-3065.7999999999997</v>
      </c>
      <c r="J46" s="35">
        <f t="shared" si="2"/>
        <v>83181.5</v>
      </c>
      <c r="K46" s="2">
        <f>прил.6!N304+прил.6!N691+прил.6!N934+прил.6!N1204+прил.6!N1297+прил.6!N1627</f>
        <v>377.3</v>
      </c>
      <c r="L46" s="35">
        <f t="shared" si="3"/>
        <v>83558.8</v>
      </c>
      <c r="M46" s="2">
        <f>прил.6!P304+прил.6!P691+прил.6!P934+прил.6!P1204+прил.6!P1297+прил.6!P1627</f>
        <v>0</v>
      </c>
      <c r="N46" s="35">
        <f t="shared" si="4"/>
        <v>83558.8</v>
      </c>
      <c r="O46" s="2">
        <f>прил.6!R304+прил.6!R691+прил.6!R934+прил.6!R1204+прил.6!R1297+прил.6!R1627</f>
        <v>0</v>
      </c>
      <c r="P46" s="35">
        <f t="shared" si="5"/>
        <v>83558.8</v>
      </c>
      <c r="Q46" s="2">
        <f>прил.6!T304+прил.6!T691+прил.6!T934+прил.6!T1204+прил.6!T1297+прил.6!T1627</f>
        <v>-734.7</v>
      </c>
      <c r="R46" s="35">
        <f t="shared" si="6"/>
        <v>82824.100000000006</v>
      </c>
    </row>
    <row r="47" spans="1:18">
      <c r="A47" s="12" t="s">
        <v>251</v>
      </c>
      <c r="B47" s="1" t="s">
        <v>195</v>
      </c>
      <c r="C47" s="1" t="s">
        <v>219</v>
      </c>
      <c r="D47" s="2">
        <f>прил.6!G707+прил.6!G940+прил.6!G1209+прил.6!G1640</f>
        <v>242204.90000000002</v>
      </c>
      <c r="E47" s="2">
        <f>прил.6!H707+прил.6!H940+прил.6!H1209+прил.6!H1640</f>
        <v>0</v>
      </c>
      <c r="F47" s="35">
        <f t="shared" si="0"/>
        <v>242204.90000000002</v>
      </c>
      <c r="G47" s="2">
        <f>прил.6!J707+прил.6!J940+прил.6!J1209+прил.6!J1640</f>
        <v>8721.4</v>
      </c>
      <c r="H47" s="35">
        <f t="shared" si="1"/>
        <v>250926.30000000002</v>
      </c>
      <c r="I47" s="2">
        <f>прил.6!L707+прил.6!L940+прил.6!L1209+прил.6!L1640</f>
        <v>-5417.2</v>
      </c>
      <c r="J47" s="35">
        <f t="shared" si="2"/>
        <v>245509.1</v>
      </c>
      <c r="K47" s="2">
        <f>прил.6!N707+прил.6!N940+прил.6!N1209+прил.6!N1640</f>
        <v>6917.5</v>
      </c>
      <c r="L47" s="35">
        <f t="shared" si="3"/>
        <v>252426.6</v>
      </c>
      <c r="M47" s="2">
        <f>прил.6!P707+прил.6!P940+прил.6!P1209+прил.6!P1640</f>
        <v>3959.5</v>
      </c>
      <c r="N47" s="35">
        <f t="shared" si="4"/>
        <v>256386.1</v>
      </c>
      <c r="O47" s="2">
        <f>прил.6!R707+прил.6!R940+прил.6!R1209+прил.6!R1640</f>
        <v>270716.10000000003</v>
      </c>
      <c r="P47" s="35">
        <f t="shared" si="5"/>
        <v>527102.20000000007</v>
      </c>
      <c r="Q47" s="2">
        <f>прил.6!T707+прил.6!T940+прил.6!T1209+прил.6!T1640</f>
        <v>1203</v>
      </c>
      <c r="R47" s="35">
        <f t="shared" si="6"/>
        <v>528305.20000000007</v>
      </c>
    </row>
    <row r="48" spans="1:18">
      <c r="A48" s="12" t="s">
        <v>167</v>
      </c>
      <c r="B48" s="1" t="s">
        <v>222</v>
      </c>
      <c r="C48" s="1"/>
      <c r="D48" s="2">
        <f>SUM(D49:D50)</f>
        <v>260483</v>
      </c>
      <c r="E48" s="2">
        <f>SUM(E49:E50)</f>
        <v>0</v>
      </c>
      <c r="F48" s="35">
        <f t="shared" si="0"/>
        <v>260483</v>
      </c>
      <c r="G48" s="2">
        <f>SUM(G49:G50)</f>
        <v>-443.79999999999995</v>
      </c>
      <c r="H48" s="35">
        <f t="shared" si="1"/>
        <v>260039.2</v>
      </c>
      <c r="I48" s="2">
        <f>SUM(I49:I50)</f>
        <v>1526.7</v>
      </c>
      <c r="J48" s="35">
        <f t="shared" si="2"/>
        <v>261565.90000000002</v>
      </c>
      <c r="K48" s="2">
        <f>SUM(K49:K50)</f>
        <v>0</v>
      </c>
      <c r="L48" s="35">
        <f t="shared" si="3"/>
        <v>261565.90000000002</v>
      </c>
      <c r="M48" s="2">
        <f>SUM(M49:M50)</f>
        <v>140.19999999999999</v>
      </c>
      <c r="N48" s="35">
        <f t="shared" si="4"/>
        <v>261706.10000000003</v>
      </c>
      <c r="O48" s="2">
        <f>SUM(O49:O50)</f>
        <v>29387.200000000004</v>
      </c>
      <c r="P48" s="35">
        <f t="shared" si="5"/>
        <v>291093.30000000005</v>
      </c>
      <c r="Q48" s="2">
        <f>SUM(Q49:Q50)</f>
        <v>-270.10000000000025</v>
      </c>
      <c r="R48" s="35">
        <f t="shared" si="6"/>
        <v>290823.20000000007</v>
      </c>
    </row>
    <row r="49" spans="1:18">
      <c r="A49" s="12" t="s">
        <v>184</v>
      </c>
      <c r="B49" s="1" t="s">
        <v>222</v>
      </c>
      <c r="C49" s="1" t="s">
        <v>213</v>
      </c>
      <c r="D49" s="2">
        <f>прил.6!G967</f>
        <v>233756</v>
      </c>
      <c r="E49" s="2">
        <f>прил.6!H967</f>
        <v>0</v>
      </c>
      <c r="F49" s="35">
        <f t="shared" si="0"/>
        <v>233756</v>
      </c>
      <c r="G49" s="2">
        <f>прил.6!J967</f>
        <v>-479.79999999999995</v>
      </c>
      <c r="H49" s="35">
        <f t="shared" si="1"/>
        <v>233276.2</v>
      </c>
      <c r="I49" s="2">
        <f>прил.6!L967+прил.6!L1672</f>
        <v>1528.5</v>
      </c>
      <c r="J49" s="35">
        <f t="shared" si="2"/>
        <v>234804.7</v>
      </c>
      <c r="K49" s="2">
        <f>прил.6!N967+прил.6!N1672</f>
        <v>0</v>
      </c>
      <c r="L49" s="35">
        <f t="shared" si="3"/>
        <v>234804.7</v>
      </c>
      <c r="M49" s="2">
        <f>прил.6!P967+прил.6!P1672</f>
        <v>140.19999999999999</v>
      </c>
      <c r="N49" s="35">
        <f t="shared" si="4"/>
        <v>234944.90000000002</v>
      </c>
      <c r="O49" s="2">
        <f>прил.6!R967+прил.6!R1672</f>
        <v>17658.800000000003</v>
      </c>
      <c r="P49" s="35">
        <f t="shared" si="5"/>
        <v>252603.7</v>
      </c>
      <c r="Q49" s="2">
        <f>прил.6!T967+прил.6!T1672</f>
        <v>-2.2737367544323206E-13</v>
      </c>
      <c r="R49" s="35">
        <f t="shared" si="6"/>
        <v>252603.7</v>
      </c>
    </row>
    <row r="50" spans="1:18" s="36" customFormat="1">
      <c r="A50" s="12" t="s">
        <v>163</v>
      </c>
      <c r="B50" s="1" t="s">
        <v>222</v>
      </c>
      <c r="C50" s="1" t="s">
        <v>216</v>
      </c>
      <c r="D50" s="2">
        <f>прил.6!G1059</f>
        <v>26727</v>
      </c>
      <c r="E50" s="2">
        <f>прил.6!H1059</f>
        <v>0</v>
      </c>
      <c r="F50" s="35">
        <f t="shared" si="0"/>
        <v>26727</v>
      </c>
      <c r="G50" s="2">
        <f>прил.6!J1059</f>
        <v>36</v>
      </c>
      <c r="H50" s="35">
        <f t="shared" si="1"/>
        <v>26763</v>
      </c>
      <c r="I50" s="2">
        <f>прил.6!L1059</f>
        <v>-1.8</v>
      </c>
      <c r="J50" s="35">
        <f t="shared" si="2"/>
        <v>26761.200000000001</v>
      </c>
      <c r="K50" s="2">
        <f>прил.6!N1059</f>
        <v>0</v>
      </c>
      <c r="L50" s="35">
        <f t="shared" si="3"/>
        <v>26761.200000000001</v>
      </c>
      <c r="M50" s="2">
        <f>прил.6!P1059</f>
        <v>0</v>
      </c>
      <c r="N50" s="35">
        <f>L50+M50</f>
        <v>26761.200000000001</v>
      </c>
      <c r="O50" s="2">
        <f>прил.6!R1059+прил.6!R1678</f>
        <v>11728.400000000001</v>
      </c>
      <c r="P50" s="35">
        <f t="shared" si="5"/>
        <v>38489.600000000006</v>
      </c>
      <c r="Q50" s="2">
        <f>прил.6!T1059+прил.6!T1678</f>
        <v>-270.10000000000002</v>
      </c>
      <c r="R50" s="35">
        <f t="shared" si="6"/>
        <v>38219.500000000007</v>
      </c>
    </row>
    <row r="51" spans="1:18" s="20" customFormat="1">
      <c r="A51" s="61" t="s">
        <v>266</v>
      </c>
      <c r="B51" s="1" t="s">
        <v>219</v>
      </c>
      <c r="C51" s="1"/>
      <c r="D51" s="2">
        <f>SUM(D52)</f>
        <v>1957.5</v>
      </c>
      <c r="E51" s="2">
        <f>SUM(E52)</f>
        <v>0</v>
      </c>
      <c r="F51" s="35">
        <f t="shared" si="0"/>
        <v>1957.5</v>
      </c>
      <c r="G51" s="2">
        <f>SUM(G52)</f>
        <v>0</v>
      </c>
      <c r="H51" s="35">
        <f t="shared" si="1"/>
        <v>1957.5</v>
      </c>
      <c r="I51" s="2">
        <f>SUM(I52)</f>
        <v>0</v>
      </c>
      <c r="J51" s="35">
        <f t="shared" si="2"/>
        <v>1957.5</v>
      </c>
      <c r="K51" s="2">
        <f>SUM(K52)</f>
        <v>0</v>
      </c>
      <c r="L51" s="35">
        <f t="shared" si="3"/>
        <v>1957.5</v>
      </c>
      <c r="M51" s="2">
        <f>SUM(M52)</f>
        <v>0</v>
      </c>
      <c r="N51" s="35">
        <f t="shared" si="4"/>
        <v>1957.5</v>
      </c>
      <c r="O51" s="2">
        <f>SUM(O52)</f>
        <v>0</v>
      </c>
      <c r="P51" s="35">
        <f t="shared" si="5"/>
        <v>1957.5</v>
      </c>
      <c r="Q51" s="2">
        <f>SUM(Q52)</f>
        <v>0</v>
      </c>
      <c r="R51" s="35">
        <f t="shared" si="6"/>
        <v>1957.5</v>
      </c>
    </row>
    <row r="52" spans="1:18" s="20" customFormat="1">
      <c r="A52" s="77" t="s">
        <v>265</v>
      </c>
      <c r="B52" s="1" t="s">
        <v>219</v>
      </c>
      <c r="C52" s="1" t="s">
        <v>195</v>
      </c>
      <c r="D52" s="2">
        <f>прил.6!G533</f>
        <v>1957.5</v>
      </c>
      <c r="E52" s="2">
        <f>прил.6!H533</f>
        <v>0</v>
      </c>
      <c r="F52" s="35">
        <f t="shared" si="0"/>
        <v>1957.5</v>
      </c>
      <c r="G52" s="2">
        <f>прил.6!J533</f>
        <v>0</v>
      </c>
      <c r="H52" s="35">
        <f t="shared" si="1"/>
        <v>1957.5</v>
      </c>
      <c r="I52" s="2">
        <f>прил.6!L533</f>
        <v>0</v>
      </c>
      <c r="J52" s="35">
        <f t="shared" si="2"/>
        <v>1957.5</v>
      </c>
      <c r="K52" s="2">
        <f>прил.6!N533</f>
        <v>0</v>
      </c>
      <c r="L52" s="35">
        <f t="shared" si="3"/>
        <v>1957.5</v>
      </c>
      <c r="M52" s="2">
        <f>прил.6!P533</f>
        <v>0</v>
      </c>
      <c r="N52" s="35">
        <f t="shared" si="4"/>
        <v>1957.5</v>
      </c>
      <c r="O52" s="2">
        <f>прил.6!R533</f>
        <v>0</v>
      </c>
      <c r="P52" s="35">
        <f t="shared" si="5"/>
        <v>1957.5</v>
      </c>
      <c r="Q52" s="2">
        <f>прил.6!T533</f>
        <v>0</v>
      </c>
      <c r="R52" s="35">
        <f t="shared" si="6"/>
        <v>1957.5</v>
      </c>
    </row>
    <row r="53" spans="1:18">
      <c r="A53" s="12" t="s">
        <v>187</v>
      </c>
      <c r="B53" s="1" t="s">
        <v>188</v>
      </c>
      <c r="C53" s="1"/>
      <c r="D53" s="2">
        <f>SUM(D54:D58)</f>
        <v>1019928.1000000001</v>
      </c>
      <c r="E53" s="2">
        <f>SUM(E54:E58)</f>
        <v>0</v>
      </c>
      <c r="F53" s="35">
        <f t="shared" si="0"/>
        <v>1019928.1000000001</v>
      </c>
      <c r="G53" s="2">
        <f>SUM(G54:G58)</f>
        <v>-718.2</v>
      </c>
      <c r="H53" s="35">
        <f t="shared" si="1"/>
        <v>1019209.9000000001</v>
      </c>
      <c r="I53" s="2">
        <f>SUM(I54:I58)</f>
        <v>-825</v>
      </c>
      <c r="J53" s="35">
        <f t="shared" si="2"/>
        <v>1018384.9000000001</v>
      </c>
      <c r="K53" s="2">
        <f>SUM(K54:K58)</f>
        <v>432</v>
      </c>
      <c r="L53" s="35">
        <f t="shared" si="3"/>
        <v>1018816.9000000001</v>
      </c>
      <c r="M53" s="2">
        <f>SUM(M54:M58)</f>
        <v>-10</v>
      </c>
      <c r="N53" s="35">
        <f t="shared" si="4"/>
        <v>1018806.9000000001</v>
      </c>
      <c r="O53" s="2">
        <f>SUM(O54:O58)</f>
        <v>54856.299999999996</v>
      </c>
      <c r="P53" s="35">
        <f t="shared" si="5"/>
        <v>1073663.2000000002</v>
      </c>
      <c r="Q53" s="2">
        <f>SUM(Q54:Q58)</f>
        <v>51256.600000000006</v>
      </c>
      <c r="R53" s="35">
        <f t="shared" si="6"/>
        <v>1124919.8000000003</v>
      </c>
    </row>
    <row r="54" spans="1:18">
      <c r="A54" s="12" t="s">
        <v>185</v>
      </c>
      <c r="B54" s="1" t="s">
        <v>188</v>
      </c>
      <c r="C54" s="1" t="s">
        <v>213</v>
      </c>
      <c r="D54" s="2">
        <f>прил.6!G334</f>
        <v>13440</v>
      </c>
      <c r="E54" s="2">
        <f>прил.6!H334</f>
        <v>0</v>
      </c>
      <c r="F54" s="35">
        <f t="shared" si="0"/>
        <v>13440</v>
      </c>
      <c r="G54" s="2">
        <f>прил.6!J334</f>
        <v>0</v>
      </c>
      <c r="H54" s="35">
        <f t="shared" si="1"/>
        <v>13440</v>
      </c>
      <c r="I54" s="2">
        <f>прил.6!L334</f>
        <v>0</v>
      </c>
      <c r="J54" s="35">
        <f t="shared" si="2"/>
        <v>13440</v>
      </c>
      <c r="K54" s="2">
        <f>прил.6!N334</f>
        <v>0</v>
      </c>
      <c r="L54" s="35">
        <f t="shared" si="3"/>
        <v>13440</v>
      </c>
      <c r="M54" s="2">
        <f>прил.6!P334</f>
        <v>0</v>
      </c>
      <c r="N54" s="35">
        <f t="shared" si="4"/>
        <v>13440</v>
      </c>
      <c r="O54" s="2">
        <f>прил.6!R334</f>
        <v>0</v>
      </c>
      <c r="P54" s="35">
        <f t="shared" si="5"/>
        <v>13440</v>
      </c>
      <c r="Q54" s="2">
        <f>прил.6!T334</f>
        <v>0</v>
      </c>
      <c r="R54" s="35">
        <f t="shared" si="6"/>
        <v>13440</v>
      </c>
    </row>
    <row r="55" spans="1:18">
      <c r="A55" s="12" t="s">
        <v>259</v>
      </c>
      <c r="B55" s="1" t="s">
        <v>188</v>
      </c>
      <c r="C55" s="1" t="s">
        <v>214</v>
      </c>
      <c r="D55" s="2">
        <f>прил.6!G1318</f>
        <v>114241.1</v>
      </c>
      <c r="E55" s="2">
        <f>прил.6!H1318</f>
        <v>0</v>
      </c>
      <c r="F55" s="35">
        <f t="shared" si="0"/>
        <v>114241.1</v>
      </c>
      <c r="G55" s="2">
        <f>прил.6!J1318</f>
        <v>0</v>
      </c>
      <c r="H55" s="35">
        <f t="shared" si="1"/>
        <v>114241.1</v>
      </c>
      <c r="I55" s="2">
        <f>прил.6!L1318</f>
        <v>0</v>
      </c>
      <c r="J55" s="35">
        <f t="shared" si="2"/>
        <v>114241.1</v>
      </c>
      <c r="K55" s="2">
        <f>прил.6!N1318</f>
        <v>0</v>
      </c>
      <c r="L55" s="35">
        <f t="shared" si="3"/>
        <v>114241.1</v>
      </c>
      <c r="M55" s="2">
        <f>прил.6!P1318</f>
        <v>365.3</v>
      </c>
      <c r="N55" s="35">
        <f t="shared" si="4"/>
        <v>114606.40000000001</v>
      </c>
      <c r="O55" s="2">
        <f>прил.6!R1318</f>
        <v>-22258.799999999999</v>
      </c>
      <c r="P55" s="35">
        <f t="shared" si="5"/>
        <v>92347.6</v>
      </c>
      <c r="Q55" s="2">
        <f>прил.6!T1318</f>
        <v>1426.2</v>
      </c>
      <c r="R55" s="35">
        <f t="shared" si="6"/>
        <v>93773.8</v>
      </c>
    </row>
    <row r="56" spans="1:18">
      <c r="A56" s="12" t="s">
        <v>179</v>
      </c>
      <c r="B56" s="1" t="s">
        <v>188</v>
      </c>
      <c r="C56" s="1" t="s">
        <v>215</v>
      </c>
      <c r="D56" s="2">
        <f>прил.6!G340+прил.6!G541+прил.6!G819+прил.6!G1329</f>
        <v>705038.20000000007</v>
      </c>
      <c r="E56" s="2">
        <f>прил.6!H340+прил.6!H541+прил.6!H819+прил.6!H1329</f>
        <v>0</v>
      </c>
      <c r="F56" s="35">
        <f t="shared" si="0"/>
        <v>705038.20000000007</v>
      </c>
      <c r="G56" s="2">
        <f>прил.6!J340+прил.6!J541+прил.6!J819+прил.6!J1329</f>
        <v>0</v>
      </c>
      <c r="H56" s="35">
        <f t="shared" si="1"/>
        <v>705038.20000000007</v>
      </c>
      <c r="I56" s="2">
        <f>прил.6!L340+прил.6!L541+прил.6!L819+прил.6!L1329</f>
        <v>-825</v>
      </c>
      <c r="J56" s="35">
        <f t="shared" si="2"/>
        <v>704213.20000000007</v>
      </c>
      <c r="K56" s="2">
        <f>прил.6!N340+прил.6!N541+прил.6!N819+прил.6!N1329</f>
        <v>432</v>
      </c>
      <c r="L56" s="35">
        <f t="shared" si="3"/>
        <v>704645.20000000007</v>
      </c>
      <c r="M56" s="2">
        <f>прил.6!P340+прил.6!P541+прил.6!P819+прил.6!P1329</f>
        <v>-375.3</v>
      </c>
      <c r="N56" s="35">
        <f t="shared" si="4"/>
        <v>704269.9</v>
      </c>
      <c r="O56" s="2">
        <f>прил.6!R340+прил.6!R541+прил.6!R819+прил.6!R1329</f>
        <v>83056.899999999994</v>
      </c>
      <c r="P56" s="35">
        <f t="shared" si="5"/>
        <v>787326.8</v>
      </c>
      <c r="Q56" s="2">
        <f>прил.6!T340+прил.6!T541+прил.6!T819+прил.6!T1329</f>
        <v>44749.100000000006</v>
      </c>
      <c r="R56" s="35">
        <f t="shared" si="6"/>
        <v>832075.9</v>
      </c>
    </row>
    <row r="57" spans="1:18">
      <c r="A57" s="76" t="s">
        <v>204</v>
      </c>
      <c r="B57" s="1" t="s">
        <v>188</v>
      </c>
      <c r="C57" s="1" t="s">
        <v>216</v>
      </c>
      <c r="D57" s="2">
        <f>прил.6!G838</f>
        <v>132317.90000000002</v>
      </c>
      <c r="E57" s="2">
        <f>прил.6!H838</f>
        <v>0</v>
      </c>
      <c r="F57" s="35">
        <f t="shared" si="0"/>
        <v>132317.90000000002</v>
      </c>
      <c r="G57" s="2">
        <f>прил.6!J838</f>
        <v>0</v>
      </c>
      <c r="H57" s="35">
        <f t="shared" si="1"/>
        <v>132317.90000000002</v>
      </c>
      <c r="I57" s="2">
        <f>прил.6!L838</f>
        <v>0</v>
      </c>
      <c r="J57" s="35">
        <f t="shared" si="2"/>
        <v>132317.90000000002</v>
      </c>
      <c r="K57" s="2">
        <f>прил.6!N838</f>
        <v>0</v>
      </c>
      <c r="L57" s="35">
        <f t="shared" si="3"/>
        <v>132317.90000000002</v>
      </c>
      <c r="M57" s="2">
        <f>прил.6!P838</f>
        <v>0</v>
      </c>
      <c r="N57" s="35">
        <f t="shared" si="4"/>
        <v>132317.90000000002</v>
      </c>
      <c r="O57" s="2">
        <f>прил.6!R838</f>
        <v>-9259.2000000000007</v>
      </c>
      <c r="P57" s="35">
        <f t="shared" si="5"/>
        <v>123058.70000000003</v>
      </c>
      <c r="Q57" s="2">
        <f>прил.6!T838</f>
        <v>5516.5</v>
      </c>
      <c r="R57" s="35">
        <f t="shared" si="6"/>
        <v>128575.20000000003</v>
      </c>
    </row>
    <row r="58" spans="1:18">
      <c r="A58" s="12" t="s">
        <v>189</v>
      </c>
      <c r="B58" s="1" t="s">
        <v>188</v>
      </c>
      <c r="C58" s="1" t="s">
        <v>217</v>
      </c>
      <c r="D58" s="2">
        <f>прил.6!G1407</f>
        <v>54890.900000000009</v>
      </c>
      <c r="E58" s="2">
        <f>прил.6!H1407</f>
        <v>0</v>
      </c>
      <c r="F58" s="35">
        <f t="shared" si="0"/>
        <v>54890.900000000009</v>
      </c>
      <c r="G58" s="2">
        <f>прил.6!J1407</f>
        <v>-718.2</v>
      </c>
      <c r="H58" s="35">
        <f t="shared" si="1"/>
        <v>54172.700000000012</v>
      </c>
      <c r="I58" s="2">
        <f>прил.6!L1407</f>
        <v>0</v>
      </c>
      <c r="J58" s="35">
        <f t="shared" si="2"/>
        <v>54172.700000000012</v>
      </c>
      <c r="K58" s="2">
        <f>прил.6!N1407</f>
        <v>0</v>
      </c>
      <c r="L58" s="35">
        <f t="shared" si="3"/>
        <v>54172.700000000012</v>
      </c>
      <c r="M58" s="2">
        <f>прил.6!P1407</f>
        <v>0</v>
      </c>
      <c r="N58" s="35">
        <f t="shared" si="4"/>
        <v>54172.700000000012</v>
      </c>
      <c r="O58" s="2">
        <f>прил.6!R1407</f>
        <v>3317.4</v>
      </c>
      <c r="P58" s="35">
        <f t="shared" si="5"/>
        <v>57490.100000000013</v>
      </c>
      <c r="Q58" s="2">
        <f>прил.6!T1407</f>
        <v>-435.20000000000016</v>
      </c>
      <c r="R58" s="35">
        <f t="shared" si="6"/>
        <v>57054.900000000016</v>
      </c>
    </row>
    <row r="59" spans="1:18">
      <c r="A59" s="12" t="s">
        <v>191</v>
      </c>
      <c r="B59" s="1" t="s">
        <v>224</v>
      </c>
      <c r="C59" s="1"/>
      <c r="D59" s="2">
        <f>SUM(D60:D62)</f>
        <v>225467.1</v>
      </c>
      <c r="E59" s="2">
        <f>SUM(E60:E62)</f>
        <v>-908.79999999999927</v>
      </c>
      <c r="F59" s="35">
        <f t="shared" si="0"/>
        <v>224558.30000000002</v>
      </c>
      <c r="G59" s="2">
        <f>SUM(G60:G62)</f>
        <v>4323.8</v>
      </c>
      <c r="H59" s="35">
        <f t="shared" si="1"/>
        <v>228882.1</v>
      </c>
      <c r="I59" s="2">
        <f>SUM(I60:I62)</f>
        <v>0</v>
      </c>
      <c r="J59" s="35">
        <f t="shared" si="2"/>
        <v>228882.1</v>
      </c>
      <c r="K59" s="2">
        <f>SUM(K60:K62)</f>
        <v>0</v>
      </c>
      <c r="L59" s="35">
        <f t="shared" si="3"/>
        <v>228882.1</v>
      </c>
      <c r="M59" s="2">
        <f>SUM(M60:M62)</f>
        <v>-3959.5</v>
      </c>
      <c r="N59" s="35">
        <f t="shared" si="4"/>
        <v>224922.6</v>
      </c>
      <c r="O59" s="2">
        <f>SUM(O60:O62)</f>
        <v>-9775</v>
      </c>
      <c r="P59" s="35">
        <f t="shared" si="5"/>
        <v>215147.6</v>
      </c>
      <c r="Q59" s="2">
        <f>SUM(Q60:Q62)</f>
        <v>0</v>
      </c>
      <c r="R59" s="35">
        <f t="shared" si="6"/>
        <v>215147.6</v>
      </c>
    </row>
    <row r="60" spans="1:18">
      <c r="A60" s="12" t="s">
        <v>186</v>
      </c>
      <c r="B60" s="1" t="s">
        <v>224</v>
      </c>
      <c r="C60" s="1" t="s">
        <v>213</v>
      </c>
      <c r="D60" s="2">
        <f>прил.6!G1231</f>
        <v>205283.9</v>
      </c>
      <c r="E60" s="2">
        <f>прил.6!H1231</f>
        <v>-908.79999999999927</v>
      </c>
      <c r="F60" s="35">
        <f t="shared" si="0"/>
        <v>204375.1</v>
      </c>
      <c r="G60" s="2">
        <f>прил.6!J1231</f>
        <v>-205</v>
      </c>
      <c r="H60" s="35">
        <f t="shared" si="1"/>
        <v>204170.1</v>
      </c>
      <c r="I60" s="2">
        <f>прил.6!L1231</f>
        <v>0</v>
      </c>
      <c r="J60" s="35">
        <f t="shared" si="2"/>
        <v>204170.1</v>
      </c>
      <c r="K60" s="2">
        <f>прил.6!N1231</f>
        <v>0</v>
      </c>
      <c r="L60" s="35">
        <f t="shared" si="3"/>
        <v>204170.1</v>
      </c>
      <c r="M60" s="2">
        <f>прил.6!P1231</f>
        <v>-3959.5</v>
      </c>
      <c r="N60" s="35">
        <f t="shared" si="4"/>
        <v>200210.6</v>
      </c>
      <c r="O60" s="2">
        <f>прил.6!R1231</f>
        <v>-9775</v>
      </c>
      <c r="P60" s="35">
        <f t="shared" si="5"/>
        <v>190435.6</v>
      </c>
      <c r="Q60" s="2">
        <f>прил.6!T1231</f>
        <v>0</v>
      </c>
      <c r="R60" s="35">
        <f t="shared" si="6"/>
        <v>190435.6</v>
      </c>
    </row>
    <row r="61" spans="1:18">
      <c r="A61" s="12" t="s">
        <v>267</v>
      </c>
      <c r="B61" s="1" t="s">
        <v>224</v>
      </c>
      <c r="C61" s="1" t="s">
        <v>214</v>
      </c>
      <c r="D61" s="2">
        <f>прил.6!G1262</f>
        <v>500</v>
      </c>
      <c r="E61" s="2">
        <f>прил.6!H1262</f>
        <v>0</v>
      </c>
      <c r="F61" s="35">
        <f t="shared" si="0"/>
        <v>500</v>
      </c>
      <c r="G61" s="2">
        <f>прил.6!J1262</f>
        <v>1714.9</v>
      </c>
      <c r="H61" s="35">
        <f t="shared" si="1"/>
        <v>2214.9</v>
      </c>
      <c r="I61" s="2">
        <f>прил.6!L1262</f>
        <v>0</v>
      </c>
      <c r="J61" s="35">
        <f t="shared" si="2"/>
        <v>2214.9</v>
      </c>
      <c r="K61" s="2">
        <f>прил.6!N1262</f>
        <v>0</v>
      </c>
      <c r="L61" s="35">
        <f t="shared" si="3"/>
        <v>2214.9</v>
      </c>
      <c r="M61" s="2">
        <f>прил.6!P1262</f>
        <v>0</v>
      </c>
      <c r="N61" s="35">
        <f t="shared" si="4"/>
        <v>2214.9</v>
      </c>
      <c r="O61" s="2">
        <f>прил.6!R1262</f>
        <v>0</v>
      </c>
      <c r="P61" s="35">
        <f t="shared" si="5"/>
        <v>2214.9</v>
      </c>
      <c r="Q61" s="2">
        <f>прил.6!T1262</f>
        <v>0</v>
      </c>
      <c r="R61" s="35">
        <f t="shared" si="6"/>
        <v>2214.9</v>
      </c>
    </row>
    <row r="62" spans="1:18">
      <c r="A62" s="12" t="s">
        <v>192</v>
      </c>
      <c r="B62" s="1" t="s">
        <v>224</v>
      </c>
      <c r="C62" s="1" t="s">
        <v>221</v>
      </c>
      <c r="D62" s="2">
        <f>прил.6!G1273+прил.6!G1685</f>
        <v>19683.2</v>
      </c>
      <c r="E62" s="2">
        <f>прил.6!H1273+прил.6!H1685</f>
        <v>0</v>
      </c>
      <c r="F62" s="35">
        <f t="shared" si="0"/>
        <v>19683.2</v>
      </c>
      <c r="G62" s="2">
        <f>прил.6!J1273+прил.6!J1685</f>
        <v>2813.9</v>
      </c>
      <c r="H62" s="35">
        <f t="shared" si="1"/>
        <v>22497.100000000002</v>
      </c>
      <c r="I62" s="2">
        <f>прил.6!L1273+прил.6!L1685</f>
        <v>0</v>
      </c>
      <c r="J62" s="35">
        <f t="shared" si="2"/>
        <v>22497.100000000002</v>
      </c>
      <c r="K62" s="2">
        <f>прил.6!N1273+прил.6!N1685</f>
        <v>0</v>
      </c>
      <c r="L62" s="35">
        <f t="shared" si="3"/>
        <v>22497.100000000002</v>
      </c>
      <c r="M62" s="2">
        <f>прил.6!P1273+прил.6!P1685</f>
        <v>0</v>
      </c>
      <c r="N62" s="35">
        <f t="shared" si="4"/>
        <v>22497.100000000002</v>
      </c>
      <c r="O62" s="2">
        <f>прил.6!R1273+прил.6!R1685</f>
        <v>0</v>
      </c>
      <c r="P62" s="35">
        <f t="shared" si="5"/>
        <v>22497.100000000002</v>
      </c>
      <c r="Q62" s="2">
        <f>прил.6!T1273+прил.6!T1685</f>
        <v>0</v>
      </c>
      <c r="R62" s="35">
        <f t="shared" si="6"/>
        <v>22497.100000000002</v>
      </c>
    </row>
    <row r="63" spans="1:18">
      <c r="A63" s="12" t="s">
        <v>193</v>
      </c>
      <c r="B63" s="1" t="s">
        <v>196</v>
      </c>
      <c r="C63" s="1"/>
      <c r="D63" s="2">
        <f>SUM(D64)</f>
        <v>44285.899999999994</v>
      </c>
      <c r="E63" s="2">
        <f>SUM(E64)</f>
        <v>0</v>
      </c>
      <c r="F63" s="35">
        <f t="shared" si="0"/>
        <v>44285.899999999994</v>
      </c>
      <c r="G63" s="2">
        <f>SUM(G64)</f>
        <v>134</v>
      </c>
      <c r="H63" s="35">
        <f t="shared" si="1"/>
        <v>44419.899999999994</v>
      </c>
      <c r="I63" s="2">
        <f>SUM(I64)</f>
        <v>-61.9</v>
      </c>
      <c r="J63" s="35">
        <f t="shared" si="2"/>
        <v>44357.999999999993</v>
      </c>
      <c r="K63" s="2">
        <f>SUM(K64)</f>
        <v>34.9</v>
      </c>
      <c r="L63" s="35">
        <f t="shared" si="3"/>
        <v>44392.899999999994</v>
      </c>
      <c r="M63" s="2">
        <f>SUM(M64)</f>
        <v>0</v>
      </c>
      <c r="N63" s="35">
        <f t="shared" si="4"/>
        <v>44392.899999999994</v>
      </c>
      <c r="O63" s="2">
        <f>SUM(O64)</f>
        <v>4108.8</v>
      </c>
      <c r="P63" s="35">
        <f t="shared" si="5"/>
        <v>48501.7</v>
      </c>
      <c r="Q63" s="2">
        <f>SUM(Q64)</f>
        <v>400</v>
      </c>
      <c r="R63" s="35">
        <f t="shared" si="6"/>
        <v>48901.7</v>
      </c>
    </row>
    <row r="64" spans="1:18">
      <c r="A64" s="12" t="s">
        <v>198</v>
      </c>
      <c r="B64" s="1" t="s">
        <v>196</v>
      </c>
      <c r="C64" s="1" t="s">
        <v>214</v>
      </c>
      <c r="D64" s="2">
        <f>прил.6!G370</f>
        <v>44285.899999999994</v>
      </c>
      <c r="E64" s="2">
        <f>прил.6!H370</f>
        <v>0</v>
      </c>
      <c r="F64" s="35">
        <f t="shared" si="0"/>
        <v>44285.899999999994</v>
      </c>
      <c r="G64" s="2">
        <f>прил.6!J370</f>
        <v>134</v>
      </c>
      <c r="H64" s="35">
        <f t="shared" si="1"/>
        <v>44419.899999999994</v>
      </c>
      <c r="I64" s="2">
        <f>прил.6!L370</f>
        <v>-61.9</v>
      </c>
      <c r="J64" s="35">
        <f t="shared" si="2"/>
        <v>44357.999999999993</v>
      </c>
      <c r="K64" s="2">
        <f>прил.6!N370</f>
        <v>34.9</v>
      </c>
      <c r="L64" s="35">
        <f t="shared" si="3"/>
        <v>44392.899999999994</v>
      </c>
      <c r="M64" s="2">
        <f>прил.6!P370</f>
        <v>0</v>
      </c>
      <c r="N64" s="35">
        <f t="shared" si="4"/>
        <v>44392.899999999994</v>
      </c>
      <c r="O64" s="2">
        <f>прил.6!R370</f>
        <v>4108.8</v>
      </c>
      <c r="P64" s="35">
        <f t="shared" si="5"/>
        <v>48501.7</v>
      </c>
      <c r="Q64" s="2">
        <f>прил.6!T370</f>
        <v>400</v>
      </c>
      <c r="R64" s="35">
        <f t="shared" si="6"/>
        <v>48901.7</v>
      </c>
    </row>
    <row r="65" spans="1:18" ht="33">
      <c r="A65" s="12" t="s">
        <v>194</v>
      </c>
      <c r="B65" s="1" t="s">
        <v>190</v>
      </c>
      <c r="C65" s="1"/>
      <c r="D65" s="2">
        <f>SUM(D66)</f>
        <v>46394.2</v>
      </c>
      <c r="E65" s="2">
        <f>SUM(E66)</f>
        <v>0</v>
      </c>
      <c r="F65" s="35">
        <f t="shared" si="0"/>
        <v>46394.2</v>
      </c>
      <c r="G65" s="2">
        <f>SUM(G66)</f>
        <v>0</v>
      </c>
      <c r="H65" s="35">
        <f t="shared" si="1"/>
        <v>46394.2</v>
      </c>
      <c r="I65" s="2">
        <f>SUM(I66)</f>
        <v>0</v>
      </c>
      <c r="J65" s="35">
        <f t="shared" si="2"/>
        <v>46394.2</v>
      </c>
      <c r="K65" s="2">
        <f>SUM(K66)</f>
        <v>0</v>
      </c>
      <c r="L65" s="35">
        <f t="shared" si="3"/>
        <v>46394.2</v>
      </c>
      <c r="M65" s="2">
        <f>SUM(M66)</f>
        <v>0</v>
      </c>
      <c r="N65" s="35">
        <f t="shared" si="4"/>
        <v>46394.2</v>
      </c>
      <c r="O65" s="2">
        <f>SUM(O66)</f>
        <v>0</v>
      </c>
      <c r="P65" s="35">
        <f t="shared" si="5"/>
        <v>46394.2</v>
      </c>
      <c r="Q65" s="2">
        <f>SUM(Q66)</f>
        <v>0</v>
      </c>
      <c r="R65" s="35">
        <f t="shared" si="6"/>
        <v>46394.2</v>
      </c>
    </row>
    <row r="66" spans="1:18">
      <c r="A66" s="12" t="s">
        <v>261</v>
      </c>
      <c r="B66" s="1" t="s">
        <v>190</v>
      </c>
      <c r="C66" s="1" t="s">
        <v>213</v>
      </c>
      <c r="D66" s="2">
        <f>прил.6!G901</f>
        <v>46394.2</v>
      </c>
      <c r="E66" s="2">
        <f>прил.6!H901</f>
        <v>0</v>
      </c>
      <c r="F66" s="35">
        <f t="shared" si="0"/>
        <v>46394.2</v>
      </c>
      <c r="G66" s="2">
        <f>прил.6!J901</f>
        <v>0</v>
      </c>
      <c r="H66" s="35">
        <f t="shared" si="1"/>
        <v>46394.2</v>
      </c>
      <c r="I66" s="2">
        <f>прил.6!L901</f>
        <v>0</v>
      </c>
      <c r="J66" s="35">
        <f t="shared" si="2"/>
        <v>46394.2</v>
      </c>
      <c r="K66" s="2">
        <f>прил.6!N901</f>
        <v>0</v>
      </c>
      <c r="L66" s="35">
        <f t="shared" si="3"/>
        <v>46394.2</v>
      </c>
      <c r="M66" s="2">
        <f>прил.6!P901</f>
        <v>0</v>
      </c>
      <c r="N66" s="35">
        <f t="shared" si="4"/>
        <v>46394.2</v>
      </c>
      <c r="O66" s="2">
        <f>прил.6!R901</f>
        <v>0</v>
      </c>
      <c r="P66" s="35">
        <f t="shared" si="5"/>
        <v>46394.2</v>
      </c>
      <c r="Q66" s="2">
        <f>прил.6!T901</f>
        <v>0</v>
      </c>
      <c r="R66" s="35">
        <f t="shared" si="6"/>
        <v>46394.2</v>
      </c>
    </row>
    <row r="67" spans="1:18">
      <c r="A67" s="61" t="s">
        <v>166</v>
      </c>
      <c r="B67" s="1"/>
      <c r="C67" s="1"/>
      <c r="D67" s="2">
        <f>D19+D27+D29+D35+D40+D43+D48+D51+D53+D59+D63+D65</f>
        <v>6670495.8999999994</v>
      </c>
      <c r="E67" s="2">
        <f>E19+E27+E29+E35+E40+E43+E48+E51+E53+E59+E63+E65</f>
        <v>-22308.300000000003</v>
      </c>
      <c r="F67" s="35">
        <f t="shared" si="0"/>
        <v>6648187.5999999996</v>
      </c>
      <c r="G67" s="2">
        <f>G19+G27+G29+G35+G40+G43+G48+G51+G53+G59+G63+G65</f>
        <v>-2.7284841053187847E-12</v>
      </c>
      <c r="H67" s="35">
        <f t="shared" si="1"/>
        <v>6648187.5999999996</v>
      </c>
      <c r="I67" s="2">
        <f>I19+I27+I29+I35+I40+I43+I48+I51+I53+I59+I63+I65</f>
        <v>-64999.999999999993</v>
      </c>
      <c r="J67" s="35">
        <f t="shared" si="2"/>
        <v>6583187.5999999996</v>
      </c>
      <c r="K67" s="2">
        <f>K19+K27+K29+K35+K40+K43+K48+K51+K53+K59+K63+K65</f>
        <v>-939.6</v>
      </c>
      <c r="L67" s="35">
        <f t="shared" si="3"/>
        <v>6582248</v>
      </c>
      <c r="M67" s="2">
        <f>M19+M27+M29+M35+M40+M43+M48+M51+M53+M59+M63+M65</f>
        <v>12800</v>
      </c>
      <c r="N67" s="35">
        <f t="shared" si="4"/>
        <v>6595048</v>
      </c>
      <c r="O67" s="2">
        <f>O19+O27+O29+O35+O40+O43+O48+O51+O53+O59+O63+O65</f>
        <v>393555.5</v>
      </c>
      <c r="P67" s="35">
        <f t="shared" si="5"/>
        <v>6988603.5</v>
      </c>
      <c r="Q67" s="2">
        <f>Q19+Q27+Q29+Q35+Q40+Q43+Q48+Q51+Q53+Q59+Q63+Q65</f>
        <v>91688.900000000009</v>
      </c>
      <c r="R67" s="2">
        <f>R19+R27+R29+R35+R40+R43+R48+R51+R53+R59+R63+R65</f>
        <v>7080292.4000000004</v>
      </c>
    </row>
    <row r="69" spans="1:18">
      <c r="D69" s="21"/>
      <c r="O69" s="21">
        <f>O67-'прил. 5'!Q1812</f>
        <v>0</v>
      </c>
      <c r="P69" s="21">
        <f>P67-'прил. 5'!R1812</f>
        <v>0</v>
      </c>
      <c r="Q69" s="21">
        <f>Q67-'прил. 5'!S1812</f>
        <v>0</v>
      </c>
    </row>
    <row r="70" spans="1:18">
      <c r="O70" s="21">
        <f>O67-'прил. 5'!Q1812</f>
        <v>0</v>
      </c>
      <c r="P70" s="21">
        <f>P67-'прил. 5'!R1812</f>
        <v>0</v>
      </c>
    </row>
  </sheetData>
  <mergeCells count="21">
    <mergeCell ref="P17:P18"/>
    <mergeCell ref="M17:M18"/>
    <mergeCell ref="N17:N18"/>
    <mergeCell ref="K17:K18"/>
    <mergeCell ref="L17:L18"/>
    <mergeCell ref="Q1:R1"/>
    <mergeCell ref="E17:E18"/>
    <mergeCell ref="F17:F18"/>
    <mergeCell ref="G17:G18"/>
    <mergeCell ref="A13:D13"/>
    <mergeCell ref="B17:B18"/>
    <mergeCell ref="C17:C18"/>
    <mergeCell ref="D17:D18"/>
    <mergeCell ref="A17:A18"/>
    <mergeCell ref="A14:D14"/>
    <mergeCell ref="Q17:Q18"/>
    <mergeCell ref="R17:R18"/>
    <mergeCell ref="I17:I18"/>
    <mergeCell ref="J17:J18"/>
    <mergeCell ref="H17:H18"/>
    <mergeCell ref="O17:O18"/>
  </mergeCells>
  <phoneticPr fontId="0" type="noConversion"/>
  <pageMargins left="1.1811023622047245" right="0.39370078740157483" top="0.78740157480314965" bottom="0.78740157480314965" header="0.39370078740157483" footer="0.15748031496062992"/>
  <pageSetup paperSize="9" scale="47" fitToHeight="2" orientation="portrait" r:id="rId1"/>
  <headerFooter alignWithMargins="0">
    <oddHeader>&amp;C&amp;P</oddHeader>
  </headerFooter>
  <rowBreaks count="1" manualBreakCount="1">
    <brk id="67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934"/>
  <sheetViews>
    <sheetView showZeros="0" topLeftCell="A1490" zoomScale="80" zoomScaleNormal="80" workbookViewId="0">
      <selection activeCell="Y1327" sqref="Y1327"/>
    </sheetView>
  </sheetViews>
  <sheetFormatPr defaultColWidth="9.140625" defaultRowHeight="16.5"/>
  <cols>
    <col min="1" max="1" width="72.28515625" style="80" customWidth="1"/>
    <col min="2" max="2" width="14.140625" style="20" customWidth="1"/>
    <col min="3" max="3" width="9.7109375" style="20" customWidth="1"/>
    <col min="4" max="4" width="8.85546875" style="20" customWidth="1"/>
    <col min="5" max="5" width="9.85546875" style="20" customWidth="1"/>
    <col min="6" max="6" width="22.140625" style="20" hidden="1" customWidth="1"/>
    <col min="7" max="7" width="17.5703125" style="20" hidden="1" customWidth="1"/>
    <col min="8" max="8" width="17.85546875" style="20" hidden="1" customWidth="1"/>
    <col min="9" max="9" width="19.85546875" style="20" hidden="1" customWidth="1"/>
    <col min="10" max="10" width="22.7109375" style="20" hidden="1" customWidth="1"/>
    <col min="11" max="11" width="17" style="20" hidden="1" customWidth="1"/>
    <col min="12" max="12" width="21.5703125" style="20" hidden="1" customWidth="1"/>
    <col min="13" max="13" width="15.5703125" style="20" hidden="1" customWidth="1"/>
    <col min="14" max="14" width="22" style="20" hidden="1" customWidth="1"/>
    <col min="15" max="15" width="14.7109375" style="20" hidden="1" customWidth="1"/>
    <col min="16" max="16" width="22.28515625" style="20" hidden="1" customWidth="1"/>
    <col min="17" max="17" width="14.7109375" style="20" hidden="1" customWidth="1"/>
    <col min="18" max="18" width="21.5703125" style="20" customWidth="1"/>
    <col min="19" max="19" width="16.85546875" style="20" customWidth="1"/>
    <col min="20" max="20" width="20.28515625" style="20" customWidth="1"/>
    <col min="21" max="16384" width="9.140625" style="20"/>
  </cols>
  <sheetData>
    <row r="1" spans="1:29"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R1" s="120"/>
      <c r="S1" s="151" t="s">
        <v>591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</row>
    <row r="2" spans="1:29"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R2" s="119"/>
      <c r="S2" s="134" t="s">
        <v>268</v>
      </c>
      <c r="T2" s="119"/>
      <c r="U2" s="119"/>
      <c r="V2" s="119"/>
      <c r="W2" s="119"/>
      <c r="X2" s="119"/>
      <c r="Y2" s="119"/>
      <c r="Z2" s="119"/>
      <c r="AA2" s="119"/>
      <c r="AB2" s="119"/>
      <c r="AC2" s="119"/>
    </row>
    <row r="3" spans="1:29"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R3" s="119"/>
      <c r="S3" s="134" t="s">
        <v>257</v>
      </c>
      <c r="T3" s="119"/>
      <c r="U3" s="119"/>
      <c r="V3" s="119"/>
      <c r="W3" s="119"/>
      <c r="X3" s="119"/>
      <c r="Y3" s="119"/>
      <c r="Z3" s="119"/>
      <c r="AA3" s="119"/>
      <c r="AB3" s="119"/>
      <c r="AC3" s="119"/>
    </row>
    <row r="4" spans="1:29"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2"/>
      <c r="P4" s="182"/>
      <c r="R4" s="119"/>
      <c r="S4" s="134" t="s">
        <v>687</v>
      </c>
      <c r="T4" s="119"/>
      <c r="U4" s="119"/>
      <c r="V4" s="119"/>
      <c r="W4" s="119"/>
      <c r="X4" s="119"/>
      <c r="Y4" s="119"/>
      <c r="Z4" s="119"/>
      <c r="AA4" s="119"/>
      <c r="AB4" s="124"/>
      <c r="AC4" s="124"/>
    </row>
    <row r="5" spans="1:29">
      <c r="E5" s="72"/>
      <c r="F5" s="72"/>
      <c r="G5" s="72"/>
      <c r="H5" s="72"/>
      <c r="I5" s="72"/>
      <c r="J5" s="72"/>
      <c r="K5" s="72"/>
      <c r="L5" s="72"/>
      <c r="M5" s="72"/>
      <c r="N5" s="72"/>
      <c r="R5" s="119"/>
      <c r="S5" s="134"/>
      <c r="T5" s="119"/>
      <c r="U5" s="119"/>
      <c r="V5" s="119"/>
      <c r="W5" s="119"/>
      <c r="X5" s="119"/>
      <c r="Y5" s="119"/>
      <c r="Z5" s="119"/>
      <c r="AA5" s="119"/>
    </row>
    <row r="6" spans="1:29">
      <c r="E6" s="72"/>
      <c r="F6" s="72"/>
      <c r="G6" s="72"/>
      <c r="H6" s="72"/>
      <c r="I6" s="72"/>
      <c r="J6" s="72"/>
      <c r="K6" s="72"/>
      <c r="L6" s="72"/>
      <c r="M6" s="72"/>
      <c r="N6" s="72"/>
      <c r="R6" s="119"/>
      <c r="S6" s="134"/>
      <c r="T6" s="119"/>
      <c r="U6" s="119"/>
      <c r="V6" s="119"/>
      <c r="W6" s="119"/>
      <c r="X6" s="119"/>
      <c r="Y6" s="119"/>
      <c r="Z6" s="119"/>
      <c r="AA6" s="119"/>
    </row>
    <row r="7" spans="1:29"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R7" s="120"/>
      <c r="S7" s="179" t="s">
        <v>248</v>
      </c>
      <c r="T7" s="179"/>
      <c r="U7" s="120"/>
      <c r="V7" s="120"/>
      <c r="W7" s="120"/>
      <c r="X7" s="120"/>
      <c r="Y7" s="120"/>
      <c r="Z7" s="120"/>
      <c r="AA7" s="120"/>
      <c r="AB7" s="120"/>
      <c r="AC7" s="120"/>
    </row>
    <row r="8" spans="1:29"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R8" s="119"/>
      <c r="S8" s="134" t="s">
        <v>268</v>
      </c>
      <c r="T8" s="119"/>
      <c r="U8" s="119"/>
      <c r="V8" s="119"/>
      <c r="W8" s="119"/>
      <c r="X8" s="119"/>
      <c r="Y8" s="119"/>
      <c r="Z8" s="119"/>
      <c r="AA8" s="119"/>
      <c r="AB8" s="119"/>
      <c r="AC8" s="119"/>
    </row>
    <row r="9" spans="1:29"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180"/>
      <c r="R9" s="119"/>
      <c r="S9" s="134" t="s">
        <v>257</v>
      </c>
      <c r="T9" s="119"/>
      <c r="U9" s="119"/>
      <c r="V9" s="119"/>
      <c r="W9" s="119"/>
      <c r="X9" s="119"/>
      <c r="Y9" s="119"/>
      <c r="Z9" s="119"/>
      <c r="AA9" s="119"/>
      <c r="AB9" s="119"/>
      <c r="AC9" s="119"/>
    </row>
    <row r="10" spans="1:29"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R10" s="119"/>
      <c r="S10" s="134" t="s">
        <v>111</v>
      </c>
      <c r="T10" s="119"/>
      <c r="U10" s="119"/>
      <c r="V10" s="119"/>
      <c r="W10" s="119"/>
      <c r="X10" s="119"/>
      <c r="Y10" s="119"/>
      <c r="Z10" s="119"/>
      <c r="AA10" s="119"/>
      <c r="AB10" s="119"/>
      <c r="AC10" s="119"/>
    </row>
    <row r="13" spans="1:29">
      <c r="E13" s="5"/>
    </row>
    <row r="14" spans="1:29">
      <c r="A14" s="167" t="s">
        <v>171</v>
      </c>
      <c r="B14" s="167"/>
      <c r="C14" s="167"/>
      <c r="D14" s="167"/>
      <c r="E14" s="167"/>
      <c r="F14" s="167"/>
    </row>
    <row r="15" spans="1:29" ht="57.95" customHeight="1">
      <c r="A15" s="167" t="s">
        <v>396</v>
      </c>
      <c r="B15" s="167"/>
      <c r="C15" s="167"/>
      <c r="D15" s="167"/>
      <c r="E15" s="167"/>
      <c r="F15" s="167"/>
    </row>
    <row r="16" spans="1:29" ht="16.7" customHeight="1">
      <c r="A16" s="14" t="s">
        <v>208</v>
      </c>
      <c r="B16" s="14"/>
      <c r="C16" s="14"/>
      <c r="D16" s="14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R16" s="108"/>
      <c r="T16" s="108" t="s">
        <v>635</v>
      </c>
    </row>
    <row r="17" spans="1:20" s="88" customFormat="1" ht="51.75" customHeight="1">
      <c r="A17" s="104" t="s">
        <v>209</v>
      </c>
      <c r="B17" s="104" t="s">
        <v>228</v>
      </c>
      <c r="C17" s="104" t="s">
        <v>210</v>
      </c>
      <c r="D17" s="104" t="s">
        <v>227</v>
      </c>
      <c r="E17" s="104" t="s">
        <v>229</v>
      </c>
      <c r="F17" s="106" t="s">
        <v>587</v>
      </c>
      <c r="G17" s="105" t="s">
        <v>586</v>
      </c>
      <c r="H17" s="105" t="s">
        <v>588</v>
      </c>
      <c r="I17" s="105" t="s">
        <v>586</v>
      </c>
      <c r="J17" s="105" t="s">
        <v>621</v>
      </c>
      <c r="K17" s="105" t="s">
        <v>620</v>
      </c>
      <c r="L17" s="105" t="s">
        <v>625</v>
      </c>
      <c r="M17" s="105" t="s">
        <v>586</v>
      </c>
      <c r="N17" s="105" t="s">
        <v>634</v>
      </c>
      <c r="O17" s="105" t="s">
        <v>586</v>
      </c>
      <c r="P17" s="105" t="s">
        <v>638</v>
      </c>
      <c r="Q17" s="105" t="s">
        <v>586</v>
      </c>
      <c r="R17" s="152" t="s">
        <v>714</v>
      </c>
      <c r="S17" s="132" t="s">
        <v>586</v>
      </c>
      <c r="T17" s="22" t="s">
        <v>685</v>
      </c>
    </row>
    <row r="18" spans="1:20" ht="33">
      <c r="A18" s="61" t="str">
        <f ca="1">IF(ISERROR(MATCH(B18,Код_КЦСР,0)),"",INDIRECT(ADDRESS(MATCH(B18,Код_КЦСР,0)+1,2,,,"КЦСР")))</f>
        <v>Муниципальная программа «Развитие образования» на 2013-2022 годы</v>
      </c>
      <c r="B18" s="43" t="s">
        <v>271</v>
      </c>
      <c r="C18" s="8"/>
      <c r="D18" s="8"/>
      <c r="E18" s="104"/>
      <c r="F18" s="7">
        <f>F19+F25+F38+F44+F52+F75+F130+F149+F187+F195+F206</f>
        <v>3137666.3000000003</v>
      </c>
      <c r="G18" s="7">
        <f>G19+G25+G38+G44+G52+G75+G130+G149+G187+G195+G206</f>
        <v>0</v>
      </c>
      <c r="H18" s="35">
        <f>F18+G18</f>
        <v>3137666.3000000003</v>
      </c>
      <c r="I18" s="7">
        <f>I19+I25+I38+I44+I52+I75+I130+I149+I187+I195+I206</f>
        <v>-10964.4</v>
      </c>
      <c r="J18" s="35">
        <f>H18+I18</f>
        <v>3126701.9000000004</v>
      </c>
      <c r="K18" s="7">
        <f>K19+K25+K38+K44+K52+K75+K130+K149+K187+K195+K206</f>
        <v>-505</v>
      </c>
      <c r="L18" s="35">
        <f>J18+K18</f>
        <v>3126196.9000000004</v>
      </c>
      <c r="M18" s="7">
        <f>M19+M25+M38+M44+M52+M75+M130+M149+M187+M195+M206</f>
        <v>1917.5</v>
      </c>
      <c r="N18" s="35">
        <f>L18+M18</f>
        <v>3128114.4000000004</v>
      </c>
      <c r="O18" s="7">
        <f>O19+O25+O38+O44+O52+O75+O130+O149+O187+O195+O206</f>
        <v>0</v>
      </c>
      <c r="P18" s="35">
        <f>N18+O18</f>
        <v>3128114.4000000004</v>
      </c>
      <c r="Q18" s="7">
        <f>Q19+Q25+Q38+Q44+Q52+Q75+Q130+Q149+Q187+Q195+Q206</f>
        <v>28126.9</v>
      </c>
      <c r="R18" s="35">
        <f>P18+Q18</f>
        <v>3156241.3000000003</v>
      </c>
      <c r="S18" s="7">
        <f>S19+S25+S38+S44+S52+S75+S130+S149+S187+S195+S206</f>
        <v>31205.30000000001</v>
      </c>
      <c r="T18" s="35">
        <f>R18+S18</f>
        <v>3187446.6</v>
      </c>
    </row>
    <row r="19" spans="1:20" ht="60" customHeight="1">
      <c r="A19" s="61" t="str">
        <f ca="1">IF(ISERROR(MATCH(B19,Код_КЦСР,0)),"",INDIRECT(ADDRESS(MATCH(B19,Код_КЦСР,0)+1,2,,,"КЦСР")))</f>
        <v>Проведение мероприятий управлением образования мэрии (августовское совещание, Учитель года, День учителя, прием молодых специалистов)</v>
      </c>
      <c r="B19" s="43" t="s">
        <v>273</v>
      </c>
      <c r="C19" s="8"/>
      <c r="D19" s="1"/>
      <c r="E19" s="104"/>
      <c r="F19" s="7">
        <f t="shared" ref="F19:S23" si="0">F20</f>
        <v>92.7</v>
      </c>
      <c r="G19" s="7">
        <f t="shared" si="0"/>
        <v>0</v>
      </c>
      <c r="H19" s="35">
        <f t="shared" ref="H19:H91" si="1">F19+G19</f>
        <v>92.7</v>
      </c>
      <c r="I19" s="7">
        <f t="shared" si="0"/>
        <v>0</v>
      </c>
      <c r="J19" s="35">
        <f t="shared" ref="J19:J89" si="2">H19+I19</f>
        <v>92.7</v>
      </c>
      <c r="K19" s="7">
        <f t="shared" si="0"/>
        <v>0</v>
      </c>
      <c r="L19" s="35">
        <f t="shared" ref="L19:L87" si="3">J19+K19</f>
        <v>92.7</v>
      </c>
      <c r="M19" s="7">
        <f t="shared" si="0"/>
        <v>0</v>
      </c>
      <c r="N19" s="35">
        <f t="shared" ref="N19:N87" si="4">L19+M19</f>
        <v>92.7</v>
      </c>
      <c r="O19" s="7">
        <f t="shared" si="0"/>
        <v>0</v>
      </c>
      <c r="P19" s="35">
        <f t="shared" ref="P19:P82" si="5">N19+O19</f>
        <v>92.7</v>
      </c>
      <c r="Q19" s="7">
        <f t="shared" si="0"/>
        <v>0</v>
      </c>
      <c r="R19" s="35">
        <f t="shared" ref="R19:R82" si="6">P19+Q19</f>
        <v>92.7</v>
      </c>
      <c r="S19" s="7">
        <f t="shared" si="0"/>
        <v>0</v>
      </c>
      <c r="T19" s="35">
        <f t="shared" ref="T19:T82" si="7">R19+S19</f>
        <v>92.7</v>
      </c>
    </row>
    <row r="20" spans="1:20" ht="21" customHeight="1">
      <c r="A20" s="61" t="str">
        <f ca="1">IF(ISERROR(MATCH(C20,Код_Раздел,0)),"",INDIRECT(ADDRESS(MATCH(C20,Код_Раздел,0)+1,2,,,"Раздел")))</f>
        <v>Образование</v>
      </c>
      <c r="B20" s="43" t="s">
        <v>273</v>
      </c>
      <c r="C20" s="8" t="s">
        <v>195</v>
      </c>
      <c r="D20" s="1"/>
      <c r="E20" s="104"/>
      <c r="F20" s="7">
        <f t="shared" si="0"/>
        <v>92.7</v>
      </c>
      <c r="G20" s="7">
        <f t="shared" si="0"/>
        <v>0</v>
      </c>
      <c r="H20" s="35">
        <f t="shared" si="1"/>
        <v>92.7</v>
      </c>
      <c r="I20" s="7">
        <f t="shared" si="0"/>
        <v>0</v>
      </c>
      <c r="J20" s="35">
        <f t="shared" si="2"/>
        <v>92.7</v>
      </c>
      <c r="K20" s="7">
        <f t="shared" si="0"/>
        <v>0</v>
      </c>
      <c r="L20" s="35">
        <f t="shared" si="3"/>
        <v>92.7</v>
      </c>
      <c r="M20" s="7">
        <f t="shared" si="0"/>
        <v>0</v>
      </c>
      <c r="N20" s="35">
        <f t="shared" si="4"/>
        <v>92.7</v>
      </c>
      <c r="O20" s="7">
        <f t="shared" si="0"/>
        <v>0</v>
      </c>
      <c r="P20" s="35">
        <f t="shared" si="5"/>
        <v>92.7</v>
      </c>
      <c r="Q20" s="7">
        <f t="shared" si="0"/>
        <v>0</v>
      </c>
      <c r="R20" s="35">
        <f t="shared" si="6"/>
        <v>92.7</v>
      </c>
      <c r="S20" s="7">
        <f t="shared" si="0"/>
        <v>0</v>
      </c>
      <c r="T20" s="35">
        <f t="shared" si="7"/>
        <v>92.7</v>
      </c>
    </row>
    <row r="21" spans="1:20">
      <c r="A21" s="12" t="s">
        <v>251</v>
      </c>
      <c r="B21" s="43" t="s">
        <v>273</v>
      </c>
      <c r="C21" s="8" t="s">
        <v>195</v>
      </c>
      <c r="D21" s="1" t="s">
        <v>219</v>
      </c>
      <c r="E21" s="104"/>
      <c r="F21" s="7">
        <f t="shared" si="0"/>
        <v>92.7</v>
      </c>
      <c r="G21" s="7">
        <f t="shared" si="0"/>
        <v>0</v>
      </c>
      <c r="H21" s="35">
        <f t="shared" si="1"/>
        <v>92.7</v>
      </c>
      <c r="I21" s="7">
        <f t="shared" si="0"/>
        <v>0</v>
      </c>
      <c r="J21" s="35">
        <f t="shared" si="2"/>
        <v>92.7</v>
      </c>
      <c r="K21" s="7">
        <f t="shared" si="0"/>
        <v>0</v>
      </c>
      <c r="L21" s="35">
        <f t="shared" si="3"/>
        <v>92.7</v>
      </c>
      <c r="M21" s="7">
        <f t="shared" si="0"/>
        <v>0</v>
      </c>
      <c r="N21" s="35">
        <f t="shared" si="4"/>
        <v>92.7</v>
      </c>
      <c r="O21" s="7">
        <f t="shared" si="0"/>
        <v>0</v>
      </c>
      <c r="P21" s="35">
        <f t="shared" si="5"/>
        <v>92.7</v>
      </c>
      <c r="Q21" s="7">
        <f t="shared" si="0"/>
        <v>0</v>
      </c>
      <c r="R21" s="35">
        <f t="shared" si="6"/>
        <v>92.7</v>
      </c>
      <c r="S21" s="7">
        <f t="shared" si="0"/>
        <v>0</v>
      </c>
      <c r="T21" s="35">
        <f t="shared" si="7"/>
        <v>92.7</v>
      </c>
    </row>
    <row r="22" spans="1:20">
      <c r="A22" s="61" t="str">
        <f ca="1">IF(ISERROR(MATCH(E22,Код_КВР,0)),"",INDIRECT(ADDRESS(MATCH(E22,Код_КВР,0)+1,2,,,"КВР")))</f>
        <v>Закупка товаров, работ и услуг для муниципальных нужд</v>
      </c>
      <c r="B22" s="43" t="s">
        <v>273</v>
      </c>
      <c r="C22" s="8" t="s">
        <v>195</v>
      </c>
      <c r="D22" s="1" t="s">
        <v>219</v>
      </c>
      <c r="E22" s="104">
        <v>200</v>
      </c>
      <c r="F22" s="7">
        <f t="shared" si="0"/>
        <v>92.7</v>
      </c>
      <c r="G22" s="7">
        <f t="shared" si="0"/>
        <v>0</v>
      </c>
      <c r="H22" s="35">
        <f t="shared" si="1"/>
        <v>92.7</v>
      </c>
      <c r="I22" s="7">
        <f t="shared" si="0"/>
        <v>0</v>
      </c>
      <c r="J22" s="35">
        <f t="shared" si="2"/>
        <v>92.7</v>
      </c>
      <c r="K22" s="7">
        <f t="shared" si="0"/>
        <v>0</v>
      </c>
      <c r="L22" s="35">
        <f t="shared" si="3"/>
        <v>92.7</v>
      </c>
      <c r="M22" s="7">
        <f t="shared" si="0"/>
        <v>0</v>
      </c>
      <c r="N22" s="35">
        <f t="shared" si="4"/>
        <v>92.7</v>
      </c>
      <c r="O22" s="7">
        <f t="shared" si="0"/>
        <v>0</v>
      </c>
      <c r="P22" s="35">
        <f t="shared" si="5"/>
        <v>92.7</v>
      </c>
      <c r="Q22" s="7">
        <f t="shared" si="0"/>
        <v>0</v>
      </c>
      <c r="R22" s="35">
        <f t="shared" si="6"/>
        <v>92.7</v>
      </c>
      <c r="S22" s="7">
        <f t="shared" si="0"/>
        <v>0</v>
      </c>
      <c r="T22" s="35">
        <f t="shared" si="7"/>
        <v>92.7</v>
      </c>
    </row>
    <row r="23" spans="1:20" ht="37.5" customHeight="1">
      <c r="A23" s="61" t="str">
        <f ca="1">IF(ISERROR(MATCH(E23,Код_КВР,0)),"",INDIRECT(ADDRESS(MATCH(E23,Код_КВР,0)+1,2,,,"КВР")))</f>
        <v>Иные закупки товаров, работ и услуг для обеспечения муниципальных нужд</v>
      </c>
      <c r="B23" s="43" t="s">
        <v>273</v>
      </c>
      <c r="C23" s="8" t="s">
        <v>195</v>
      </c>
      <c r="D23" s="1" t="s">
        <v>219</v>
      </c>
      <c r="E23" s="104">
        <v>240</v>
      </c>
      <c r="F23" s="7">
        <f t="shared" si="0"/>
        <v>92.7</v>
      </c>
      <c r="G23" s="7">
        <f t="shared" si="0"/>
        <v>0</v>
      </c>
      <c r="H23" s="35">
        <f t="shared" si="1"/>
        <v>92.7</v>
      </c>
      <c r="I23" s="7">
        <f t="shared" si="0"/>
        <v>0</v>
      </c>
      <c r="J23" s="35">
        <f t="shared" si="2"/>
        <v>92.7</v>
      </c>
      <c r="K23" s="7">
        <f t="shared" si="0"/>
        <v>0</v>
      </c>
      <c r="L23" s="35">
        <f t="shared" si="3"/>
        <v>92.7</v>
      </c>
      <c r="M23" s="7">
        <f t="shared" si="0"/>
        <v>0</v>
      </c>
      <c r="N23" s="35">
        <f t="shared" si="4"/>
        <v>92.7</v>
      </c>
      <c r="O23" s="7">
        <f t="shared" si="0"/>
        <v>0</v>
      </c>
      <c r="P23" s="35">
        <f t="shared" si="5"/>
        <v>92.7</v>
      </c>
      <c r="Q23" s="7">
        <f t="shared" si="0"/>
        <v>0</v>
      </c>
      <c r="R23" s="35">
        <f t="shared" si="6"/>
        <v>92.7</v>
      </c>
      <c r="S23" s="7">
        <f t="shared" si="0"/>
        <v>0</v>
      </c>
      <c r="T23" s="35">
        <f t="shared" si="7"/>
        <v>92.7</v>
      </c>
    </row>
    <row r="24" spans="1:20" ht="39" customHeight="1">
      <c r="A24" s="61" t="str">
        <f ca="1">IF(ISERROR(MATCH(E24,Код_КВР,0)),"",INDIRECT(ADDRESS(MATCH(E24,Код_КВР,0)+1,2,,,"КВР")))</f>
        <v xml:space="preserve">Прочая закупка товаров, работ и услуг для обеспечения муниципальных нужд         </v>
      </c>
      <c r="B24" s="43" t="s">
        <v>273</v>
      </c>
      <c r="C24" s="8" t="s">
        <v>195</v>
      </c>
      <c r="D24" s="1" t="s">
        <v>219</v>
      </c>
      <c r="E24" s="104">
        <v>244</v>
      </c>
      <c r="F24" s="7">
        <f>прил.6!G712</f>
        <v>92.7</v>
      </c>
      <c r="G24" s="7">
        <f>прил.6!H712</f>
        <v>0</v>
      </c>
      <c r="H24" s="35">
        <f t="shared" si="1"/>
        <v>92.7</v>
      </c>
      <c r="I24" s="7">
        <f>прил.6!J712</f>
        <v>0</v>
      </c>
      <c r="J24" s="35">
        <f t="shared" si="2"/>
        <v>92.7</v>
      </c>
      <c r="K24" s="7">
        <f>прил.6!L712</f>
        <v>0</v>
      </c>
      <c r="L24" s="35">
        <f t="shared" si="3"/>
        <v>92.7</v>
      </c>
      <c r="M24" s="7">
        <f>прил.6!N712</f>
        <v>0</v>
      </c>
      <c r="N24" s="35">
        <f t="shared" si="4"/>
        <v>92.7</v>
      </c>
      <c r="O24" s="7">
        <f>прил.6!P712</f>
        <v>0</v>
      </c>
      <c r="P24" s="35">
        <f t="shared" si="5"/>
        <v>92.7</v>
      </c>
      <c r="Q24" s="7">
        <f>прил.6!R712</f>
        <v>0</v>
      </c>
      <c r="R24" s="35">
        <f t="shared" si="6"/>
        <v>92.7</v>
      </c>
      <c r="S24" s="7">
        <f>прил.6!T712</f>
        <v>0</v>
      </c>
      <c r="T24" s="35">
        <f t="shared" si="7"/>
        <v>92.7</v>
      </c>
    </row>
    <row r="25" spans="1:20" ht="20.25" customHeight="1">
      <c r="A25" s="91" t="str">
        <f ca="1">IF(ISERROR(MATCH(B25,Код_КЦСР,0)),"",INDIRECT(ADDRESS(MATCH(B25,Код_КЦСР,0)+1,2,,,"КЦСР")))</f>
        <v>Обеспечение питанием обучающихся в МОУ</v>
      </c>
      <c r="B25" s="92" t="s">
        <v>274</v>
      </c>
      <c r="C25" s="93"/>
      <c r="D25" s="94"/>
      <c r="E25" s="90"/>
      <c r="F25" s="95">
        <f>F30+F26</f>
        <v>6132.1</v>
      </c>
      <c r="G25" s="95">
        <f>G30+G26</f>
        <v>0</v>
      </c>
      <c r="H25" s="96">
        <f t="shared" si="1"/>
        <v>6132.1</v>
      </c>
      <c r="I25" s="95">
        <f>I30+I26</f>
        <v>0</v>
      </c>
      <c r="J25" s="96">
        <f t="shared" si="2"/>
        <v>6132.1</v>
      </c>
      <c r="K25" s="95">
        <f>K30+K26</f>
        <v>-232.3</v>
      </c>
      <c r="L25" s="96">
        <f t="shared" si="3"/>
        <v>5899.8</v>
      </c>
      <c r="M25" s="95">
        <f>M26</f>
        <v>2294.8000000000002</v>
      </c>
      <c r="N25" s="96">
        <f t="shared" si="4"/>
        <v>8194.6</v>
      </c>
      <c r="O25" s="95">
        <f>O26</f>
        <v>0</v>
      </c>
      <c r="P25" s="35">
        <f t="shared" si="5"/>
        <v>8194.6</v>
      </c>
      <c r="Q25" s="95">
        <f>Q26</f>
        <v>0</v>
      </c>
      <c r="R25" s="35">
        <f t="shared" si="6"/>
        <v>8194.6</v>
      </c>
      <c r="S25" s="95">
        <f>S26</f>
        <v>-46.89999999999992</v>
      </c>
      <c r="T25" s="35">
        <f t="shared" si="7"/>
        <v>8147.7000000000007</v>
      </c>
    </row>
    <row r="26" spans="1:20" ht="20.25" customHeight="1">
      <c r="A26" s="91" t="str">
        <f ca="1">IF(ISERROR(MATCH(C26,Код_Раздел,0)),"",INDIRECT(ADDRESS(MATCH(C26,Код_Раздел,0)+1,2,,,"Раздел")))</f>
        <v>Образование</v>
      </c>
      <c r="B26" s="92" t="s">
        <v>274</v>
      </c>
      <c r="C26" s="93" t="s">
        <v>195</v>
      </c>
      <c r="D26" s="94"/>
      <c r="E26" s="90"/>
      <c r="F26" s="95">
        <f>F31</f>
        <v>6132.1</v>
      </c>
      <c r="G26" s="95"/>
      <c r="H26" s="96">
        <f t="shared" si="1"/>
        <v>6132.1</v>
      </c>
      <c r="I26" s="95"/>
      <c r="J26" s="96">
        <f t="shared" si="2"/>
        <v>6132.1</v>
      </c>
      <c r="K26" s="95">
        <f>K31</f>
        <v>-232.3</v>
      </c>
      <c r="L26" s="95">
        <f>L31</f>
        <v>5899.8</v>
      </c>
      <c r="M26" s="95">
        <f>M27+M31</f>
        <v>2294.8000000000002</v>
      </c>
      <c r="N26" s="96">
        <f>L26+M26</f>
        <v>8194.6</v>
      </c>
      <c r="O26" s="95">
        <f>O27+O31</f>
        <v>0</v>
      </c>
      <c r="P26" s="35">
        <f t="shared" si="5"/>
        <v>8194.6</v>
      </c>
      <c r="Q26" s="95">
        <f>Q27+Q31</f>
        <v>0</v>
      </c>
      <c r="R26" s="35">
        <f t="shared" si="6"/>
        <v>8194.6</v>
      </c>
      <c r="S26" s="95">
        <f>S27+S31</f>
        <v>-46.89999999999992</v>
      </c>
      <c r="T26" s="35">
        <f t="shared" si="7"/>
        <v>8147.7000000000007</v>
      </c>
    </row>
    <row r="27" spans="1:20" ht="20.25" customHeight="1">
      <c r="A27" s="97" t="s">
        <v>199</v>
      </c>
      <c r="B27" s="92" t="s">
        <v>274</v>
      </c>
      <c r="C27" s="93" t="s">
        <v>195</v>
      </c>
      <c r="D27" s="94" t="s">
        <v>195</v>
      </c>
      <c r="E27" s="90"/>
      <c r="F27" s="95"/>
      <c r="G27" s="95"/>
      <c r="H27" s="96"/>
      <c r="I27" s="95"/>
      <c r="J27" s="96"/>
      <c r="K27" s="95"/>
      <c r="L27" s="96"/>
      <c r="M27" s="95">
        <f>M28</f>
        <v>377.3</v>
      </c>
      <c r="N27" s="96">
        <f t="shared" si="4"/>
        <v>377.3</v>
      </c>
      <c r="O27" s="95">
        <f>O28</f>
        <v>0</v>
      </c>
      <c r="P27" s="35">
        <f t="shared" si="5"/>
        <v>377.3</v>
      </c>
      <c r="Q27" s="95">
        <f>Q28</f>
        <v>0</v>
      </c>
      <c r="R27" s="35">
        <f t="shared" si="6"/>
        <v>377.3</v>
      </c>
      <c r="S27" s="95">
        <f>S28</f>
        <v>0</v>
      </c>
      <c r="T27" s="35">
        <f t="shared" si="7"/>
        <v>377.3</v>
      </c>
    </row>
    <row r="28" spans="1:20" ht="33">
      <c r="A28" s="91" t="str">
        <f ca="1">IF(ISERROR(MATCH(E28,Код_КВР,0)),"",INDIRECT(ADDRESS(MATCH(E28,Код_КВР,0)+1,2,,,"КВР")))</f>
        <v>Предоставление субсидий бюджетным, автономным учреждениям и иным некоммерческим организациям</v>
      </c>
      <c r="B28" s="92" t="s">
        <v>274</v>
      </c>
      <c r="C28" s="93" t="s">
        <v>195</v>
      </c>
      <c r="D28" s="94" t="s">
        <v>195</v>
      </c>
      <c r="E28" s="90">
        <v>600</v>
      </c>
      <c r="F28" s="95"/>
      <c r="G28" s="95"/>
      <c r="H28" s="96"/>
      <c r="I28" s="95"/>
      <c r="J28" s="96"/>
      <c r="K28" s="95"/>
      <c r="L28" s="96"/>
      <c r="M28" s="95">
        <f>M29</f>
        <v>377.3</v>
      </c>
      <c r="N28" s="96">
        <f t="shared" si="4"/>
        <v>377.3</v>
      </c>
      <c r="O28" s="95">
        <f>O29</f>
        <v>0</v>
      </c>
      <c r="P28" s="35">
        <f t="shared" si="5"/>
        <v>377.3</v>
      </c>
      <c r="Q28" s="95">
        <f>Q29</f>
        <v>0</v>
      </c>
      <c r="R28" s="35">
        <f t="shared" si="6"/>
        <v>377.3</v>
      </c>
      <c r="S28" s="95">
        <f>S29</f>
        <v>0</v>
      </c>
      <c r="T28" s="35">
        <f t="shared" si="7"/>
        <v>377.3</v>
      </c>
    </row>
    <row r="29" spans="1:20">
      <c r="A29" s="91" t="str">
        <f ca="1">IF(ISERROR(MATCH(E29,Код_КВР,0)),"",INDIRECT(ADDRESS(MATCH(E29,Код_КВР,0)+1,2,,,"КВР")))</f>
        <v>Субсидии автономным учреждениям на иные цели</v>
      </c>
      <c r="B29" s="92" t="s">
        <v>274</v>
      </c>
      <c r="C29" s="93" t="s">
        <v>195</v>
      </c>
      <c r="D29" s="94" t="s">
        <v>195</v>
      </c>
      <c r="E29" s="90">
        <v>622</v>
      </c>
      <c r="F29" s="95"/>
      <c r="G29" s="95"/>
      <c r="H29" s="96"/>
      <c r="I29" s="95"/>
      <c r="J29" s="96"/>
      <c r="K29" s="95"/>
      <c r="L29" s="96"/>
      <c r="M29" s="95">
        <f>прил.6!N696</f>
        <v>377.3</v>
      </c>
      <c r="N29" s="96">
        <f t="shared" si="4"/>
        <v>377.3</v>
      </c>
      <c r="O29" s="95">
        <f>прил.6!P696</f>
        <v>0</v>
      </c>
      <c r="P29" s="35">
        <f t="shared" si="5"/>
        <v>377.3</v>
      </c>
      <c r="Q29" s="95">
        <f>прил.6!R696</f>
        <v>0</v>
      </c>
      <c r="R29" s="35">
        <f t="shared" si="6"/>
        <v>377.3</v>
      </c>
      <c r="S29" s="95">
        <f>прил.6!T696</f>
        <v>0</v>
      </c>
      <c r="T29" s="35">
        <f t="shared" si="7"/>
        <v>377.3</v>
      </c>
    </row>
    <row r="30" spans="1:20" ht="21" hidden="1" customHeight="1">
      <c r="A30" s="61" t="str">
        <f ca="1">IF(ISERROR(MATCH(C30,Код_Раздел,0)),"",INDIRECT(ADDRESS(MATCH(C30,Код_Раздел,0)+1,2,,,"Раздел")))</f>
        <v/>
      </c>
      <c r="B30" s="43" t="s">
        <v>274</v>
      </c>
      <c r="C30" s="8"/>
      <c r="D30" s="1"/>
      <c r="E30" s="104"/>
      <c r="F30" s="7"/>
      <c r="G30" s="7">
        <f t="shared" ref="F30:S33" si="8">G31</f>
        <v>0</v>
      </c>
      <c r="H30" s="35">
        <f t="shared" si="1"/>
        <v>0</v>
      </c>
      <c r="I30" s="7">
        <f>I31</f>
        <v>0</v>
      </c>
      <c r="J30" s="35">
        <f t="shared" si="2"/>
        <v>0</v>
      </c>
      <c r="K30" s="7"/>
      <c r="L30" s="35">
        <f t="shared" si="3"/>
        <v>0</v>
      </c>
      <c r="M30" s="7"/>
      <c r="N30" s="35">
        <f t="shared" si="4"/>
        <v>0</v>
      </c>
      <c r="O30" s="7">
        <f>O31</f>
        <v>0</v>
      </c>
      <c r="P30" s="35">
        <f t="shared" si="5"/>
        <v>0</v>
      </c>
      <c r="Q30" s="7"/>
      <c r="R30" s="35">
        <f t="shared" si="6"/>
        <v>0</v>
      </c>
      <c r="S30" s="7"/>
      <c r="T30" s="35">
        <f t="shared" si="7"/>
        <v>0</v>
      </c>
    </row>
    <row r="31" spans="1:20" ht="19.5" customHeight="1">
      <c r="A31" s="12" t="s">
        <v>251</v>
      </c>
      <c r="B31" s="43" t="s">
        <v>274</v>
      </c>
      <c r="C31" s="8" t="s">
        <v>195</v>
      </c>
      <c r="D31" s="1" t="s">
        <v>219</v>
      </c>
      <c r="E31" s="104"/>
      <c r="F31" s="7">
        <f t="shared" si="8"/>
        <v>6132.1</v>
      </c>
      <c r="G31" s="7">
        <f t="shared" si="8"/>
        <v>0</v>
      </c>
      <c r="H31" s="35">
        <f t="shared" si="1"/>
        <v>6132.1</v>
      </c>
      <c r="I31" s="7">
        <f>I32</f>
        <v>0</v>
      </c>
      <c r="J31" s="35">
        <f t="shared" si="2"/>
        <v>6132.1</v>
      </c>
      <c r="K31" s="7">
        <f>K32</f>
        <v>-232.3</v>
      </c>
      <c r="L31" s="35">
        <f t="shared" si="3"/>
        <v>5899.8</v>
      </c>
      <c r="M31" s="7">
        <f>M32</f>
        <v>1917.5</v>
      </c>
      <c r="N31" s="35">
        <f t="shared" si="4"/>
        <v>7817.3</v>
      </c>
      <c r="O31" s="7">
        <f>O32</f>
        <v>0</v>
      </c>
      <c r="P31" s="35">
        <f t="shared" si="5"/>
        <v>7817.3</v>
      </c>
      <c r="Q31" s="7">
        <f>Q32</f>
        <v>0</v>
      </c>
      <c r="R31" s="35">
        <f t="shared" si="6"/>
        <v>7817.3</v>
      </c>
      <c r="S31" s="7">
        <f>S32</f>
        <v>-46.89999999999992</v>
      </c>
      <c r="T31" s="35">
        <f t="shared" si="7"/>
        <v>7770.4000000000005</v>
      </c>
    </row>
    <row r="32" spans="1:20" ht="41.25" customHeight="1">
      <c r="A32" s="61" t="str">
        <f t="shared" ref="A32:A37" ca="1" si="9">IF(ISERROR(MATCH(E32,Код_КВР,0)),"",INDIRECT(ADDRESS(MATCH(E32,Код_КВР,0)+1,2,,,"КВР")))</f>
        <v>Предоставление субсидий бюджетным, автономным учреждениям и иным некоммерческим организациям</v>
      </c>
      <c r="B32" s="43" t="s">
        <v>274</v>
      </c>
      <c r="C32" s="8" t="s">
        <v>195</v>
      </c>
      <c r="D32" s="1" t="s">
        <v>219</v>
      </c>
      <c r="E32" s="104">
        <v>600</v>
      </c>
      <c r="F32" s="7">
        <f t="shared" si="8"/>
        <v>6132.1</v>
      </c>
      <c r="G32" s="7">
        <f t="shared" si="8"/>
        <v>0</v>
      </c>
      <c r="H32" s="35">
        <f t="shared" si="1"/>
        <v>6132.1</v>
      </c>
      <c r="I32" s="7">
        <f>I33+I35</f>
        <v>0</v>
      </c>
      <c r="J32" s="35">
        <f t="shared" si="2"/>
        <v>6132.1</v>
      </c>
      <c r="K32" s="7">
        <f>K33+K35</f>
        <v>-232.3</v>
      </c>
      <c r="L32" s="35">
        <f t="shared" si="3"/>
        <v>5899.8</v>
      </c>
      <c r="M32" s="7">
        <f>M33+M35</f>
        <v>1917.5</v>
      </c>
      <c r="N32" s="35">
        <f t="shared" si="4"/>
        <v>7817.3</v>
      </c>
      <c r="O32" s="7">
        <f>O33+O35</f>
        <v>0</v>
      </c>
      <c r="P32" s="35">
        <f t="shared" si="5"/>
        <v>7817.3</v>
      </c>
      <c r="Q32" s="7">
        <f>Q33+Q35</f>
        <v>0</v>
      </c>
      <c r="R32" s="35">
        <f t="shared" si="6"/>
        <v>7817.3</v>
      </c>
      <c r="S32" s="7">
        <f>S33+S35</f>
        <v>-46.89999999999992</v>
      </c>
      <c r="T32" s="35">
        <f t="shared" si="7"/>
        <v>7770.4000000000005</v>
      </c>
    </row>
    <row r="33" spans="1:20" ht="20.25" customHeight="1">
      <c r="A33" s="61" t="str">
        <f t="shared" ca="1" si="9"/>
        <v>Субсидии бюджетным учреждениям</v>
      </c>
      <c r="B33" s="43" t="s">
        <v>274</v>
      </c>
      <c r="C33" s="8" t="s">
        <v>195</v>
      </c>
      <c r="D33" s="1" t="s">
        <v>219</v>
      </c>
      <c r="E33" s="104">
        <v>610</v>
      </c>
      <c r="F33" s="7">
        <f t="shared" si="8"/>
        <v>6132.1</v>
      </c>
      <c r="G33" s="7">
        <f t="shared" si="8"/>
        <v>0</v>
      </c>
      <c r="H33" s="35">
        <f t="shared" si="1"/>
        <v>6132.1</v>
      </c>
      <c r="I33" s="7">
        <f t="shared" si="8"/>
        <v>-4281.5</v>
      </c>
      <c r="J33" s="35">
        <f t="shared" si="2"/>
        <v>1850.6000000000004</v>
      </c>
      <c r="K33" s="7">
        <f t="shared" si="8"/>
        <v>0</v>
      </c>
      <c r="L33" s="35">
        <f t="shared" si="3"/>
        <v>1850.6000000000004</v>
      </c>
      <c r="M33" s="7">
        <f t="shared" si="8"/>
        <v>0</v>
      </c>
      <c r="N33" s="35">
        <f t="shared" si="4"/>
        <v>1850.6000000000004</v>
      </c>
      <c r="O33" s="7">
        <f t="shared" si="8"/>
        <v>0</v>
      </c>
      <c r="P33" s="35">
        <f t="shared" si="5"/>
        <v>1850.6000000000004</v>
      </c>
      <c r="Q33" s="7">
        <f t="shared" si="8"/>
        <v>0</v>
      </c>
      <c r="R33" s="35">
        <f t="shared" si="6"/>
        <v>1850.6000000000004</v>
      </c>
      <c r="S33" s="7">
        <f t="shared" si="8"/>
        <v>-466.09999999999997</v>
      </c>
      <c r="T33" s="35">
        <f t="shared" si="7"/>
        <v>1384.5000000000005</v>
      </c>
    </row>
    <row r="34" spans="1:20" ht="54" customHeight="1">
      <c r="A34" s="61" t="str">
        <f t="shared" ca="1" si="9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4" s="43" t="s">
        <v>274</v>
      </c>
      <c r="C34" s="8" t="s">
        <v>195</v>
      </c>
      <c r="D34" s="1" t="s">
        <v>219</v>
      </c>
      <c r="E34" s="104">
        <v>611</v>
      </c>
      <c r="F34" s="7">
        <f>прил.6!G716</f>
        <v>6132.1</v>
      </c>
      <c r="G34" s="7">
        <f>прил.6!H716</f>
        <v>0</v>
      </c>
      <c r="H34" s="35">
        <f t="shared" si="1"/>
        <v>6132.1</v>
      </c>
      <c r="I34" s="7">
        <f>прил.6!J716</f>
        <v>-4281.5</v>
      </c>
      <c r="J34" s="35">
        <f t="shared" si="2"/>
        <v>1850.6000000000004</v>
      </c>
      <c r="K34" s="7">
        <f>прил.6!L716</f>
        <v>0</v>
      </c>
      <c r="L34" s="35">
        <f t="shared" si="3"/>
        <v>1850.6000000000004</v>
      </c>
      <c r="M34" s="7">
        <f>прил.6!N716</f>
        <v>0</v>
      </c>
      <c r="N34" s="35">
        <f t="shared" si="4"/>
        <v>1850.6000000000004</v>
      </c>
      <c r="O34" s="7">
        <f>прил.6!P716</f>
        <v>0</v>
      </c>
      <c r="P34" s="35">
        <f t="shared" si="5"/>
        <v>1850.6000000000004</v>
      </c>
      <c r="Q34" s="7">
        <f>прил.6!R716</f>
        <v>0</v>
      </c>
      <c r="R34" s="35">
        <f t="shared" si="6"/>
        <v>1850.6000000000004</v>
      </c>
      <c r="S34" s="7">
        <f>прил.6!T716</f>
        <v>-466.09999999999997</v>
      </c>
      <c r="T34" s="35">
        <f t="shared" si="7"/>
        <v>1384.5000000000005</v>
      </c>
    </row>
    <row r="35" spans="1:20" ht="24" customHeight="1">
      <c r="A35" s="61" t="str">
        <f t="shared" ca="1" si="9"/>
        <v>Субсидии автономным учреждениям</v>
      </c>
      <c r="B35" s="43" t="s">
        <v>274</v>
      </c>
      <c r="C35" s="8" t="s">
        <v>195</v>
      </c>
      <c r="D35" s="1" t="s">
        <v>219</v>
      </c>
      <c r="E35" s="104">
        <v>620</v>
      </c>
      <c r="F35" s="7"/>
      <c r="G35" s="7"/>
      <c r="H35" s="35"/>
      <c r="I35" s="7">
        <f>I36</f>
        <v>4281.5</v>
      </c>
      <c r="J35" s="35">
        <f t="shared" si="2"/>
        <v>4281.5</v>
      </c>
      <c r="K35" s="7">
        <f>K36</f>
        <v>-232.3</v>
      </c>
      <c r="L35" s="35">
        <f t="shared" si="3"/>
        <v>4049.2</v>
      </c>
      <c r="M35" s="7">
        <f>M36+M37</f>
        <v>1917.5</v>
      </c>
      <c r="N35" s="35">
        <f t="shared" si="4"/>
        <v>5966.7</v>
      </c>
      <c r="O35" s="7">
        <f>O36+O37</f>
        <v>0</v>
      </c>
      <c r="P35" s="35">
        <f t="shared" si="5"/>
        <v>5966.7</v>
      </c>
      <c r="Q35" s="7">
        <f>Q36+Q37</f>
        <v>0</v>
      </c>
      <c r="R35" s="35">
        <f t="shared" si="6"/>
        <v>5966.7</v>
      </c>
      <c r="S35" s="7">
        <f>S36+S37</f>
        <v>419.20000000000005</v>
      </c>
      <c r="T35" s="35">
        <f t="shared" si="7"/>
        <v>6385.9</v>
      </c>
    </row>
    <row r="36" spans="1:20" ht="56.25" customHeight="1">
      <c r="A36" s="61" t="str">
        <f t="shared" ca="1" si="9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36" s="43" t="s">
        <v>274</v>
      </c>
      <c r="C36" s="8" t="s">
        <v>195</v>
      </c>
      <c r="D36" s="1" t="s">
        <v>219</v>
      </c>
      <c r="E36" s="104">
        <v>621</v>
      </c>
      <c r="F36" s="7"/>
      <c r="G36" s="7"/>
      <c r="H36" s="35"/>
      <c r="I36" s="7">
        <f>прил.6!J718</f>
        <v>4281.5</v>
      </c>
      <c r="J36" s="35">
        <f t="shared" si="2"/>
        <v>4281.5</v>
      </c>
      <c r="K36" s="7">
        <f>прил.6!L718</f>
        <v>-232.3</v>
      </c>
      <c r="L36" s="35">
        <f t="shared" si="3"/>
        <v>4049.2</v>
      </c>
      <c r="M36" s="7">
        <f>прил.6!N718</f>
        <v>0</v>
      </c>
      <c r="N36" s="35">
        <f t="shared" si="4"/>
        <v>4049.2</v>
      </c>
      <c r="O36" s="7">
        <f>прил.6!P718</f>
        <v>0</v>
      </c>
      <c r="P36" s="35">
        <f t="shared" si="5"/>
        <v>4049.2</v>
      </c>
      <c r="Q36" s="7">
        <f>прил.6!R718</f>
        <v>0</v>
      </c>
      <c r="R36" s="35">
        <f t="shared" si="6"/>
        <v>4049.2</v>
      </c>
      <c r="S36" s="7">
        <f>прил.6!T718</f>
        <v>619.20000000000005</v>
      </c>
      <c r="T36" s="35">
        <f t="shared" si="7"/>
        <v>4668.3999999999996</v>
      </c>
    </row>
    <row r="37" spans="1:20" ht="23.25" customHeight="1">
      <c r="A37" s="61" t="str">
        <f t="shared" ca="1" si="9"/>
        <v>Субсидии автономным учреждениям на иные цели</v>
      </c>
      <c r="B37" s="43" t="s">
        <v>274</v>
      </c>
      <c r="C37" s="8" t="s">
        <v>195</v>
      </c>
      <c r="D37" s="1" t="s">
        <v>219</v>
      </c>
      <c r="E37" s="104">
        <v>622</v>
      </c>
      <c r="F37" s="7"/>
      <c r="G37" s="7"/>
      <c r="H37" s="35"/>
      <c r="I37" s="7"/>
      <c r="J37" s="35"/>
      <c r="K37" s="7"/>
      <c r="L37" s="35"/>
      <c r="M37" s="7">
        <f>прил.6!N719</f>
        <v>1917.5</v>
      </c>
      <c r="N37" s="35">
        <f t="shared" si="4"/>
        <v>1917.5</v>
      </c>
      <c r="O37" s="7">
        <f>прил.6!P719</f>
        <v>0</v>
      </c>
      <c r="P37" s="35">
        <f t="shared" si="5"/>
        <v>1917.5</v>
      </c>
      <c r="Q37" s="7">
        <f>прил.6!R719</f>
        <v>0</v>
      </c>
      <c r="R37" s="35">
        <f t="shared" si="6"/>
        <v>1917.5</v>
      </c>
      <c r="S37" s="7">
        <f>прил.6!T719</f>
        <v>-200</v>
      </c>
      <c r="T37" s="35">
        <f t="shared" si="7"/>
        <v>1717.5</v>
      </c>
    </row>
    <row r="38" spans="1:20" ht="36" customHeight="1">
      <c r="A38" s="61" t="str">
        <f ca="1">IF(ISERROR(MATCH(B38,Код_КЦСР,0)),"",INDIRECT(ADDRESS(MATCH(B38,Код_КЦСР,0)+1,2,,,"КЦСР")))</f>
        <v>Обеспечение работы по организации и ведению бухгалтерского (бюджетного) учета и отчетности</v>
      </c>
      <c r="B38" s="43" t="s">
        <v>276</v>
      </c>
      <c r="C38" s="8"/>
      <c r="D38" s="1"/>
      <c r="E38" s="104"/>
      <c r="F38" s="7">
        <f t="shared" ref="F38:S42" si="10">F39</f>
        <v>43113.9</v>
      </c>
      <c r="G38" s="7">
        <f t="shared" si="10"/>
        <v>0</v>
      </c>
      <c r="H38" s="35">
        <f t="shared" si="1"/>
        <v>43113.9</v>
      </c>
      <c r="I38" s="7">
        <f t="shared" si="10"/>
        <v>0</v>
      </c>
      <c r="J38" s="35">
        <f t="shared" si="2"/>
        <v>43113.9</v>
      </c>
      <c r="K38" s="7">
        <f t="shared" si="10"/>
        <v>-27.9</v>
      </c>
      <c r="L38" s="35">
        <f t="shared" si="3"/>
        <v>43086</v>
      </c>
      <c r="M38" s="7">
        <f t="shared" si="10"/>
        <v>0</v>
      </c>
      <c r="N38" s="35">
        <f t="shared" si="4"/>
        <v>43086</v>
      </c>
      <c r="O38" s="7">
        <f t="shared" si="10"/>
        <v>0</v>
      </c>
      <c r="P38" s="35">
        <f t="shared" si="5"/>
        <v>43086</v>
      </c>
      <c r="Q38" s="7">
        <f t="shared" si="10"/>
        <v>0</v>
      </c>
      <c r="R38" s="35">
        <f t="shared" si="6"/>
        <v>43086</v>
      </c>
      <c r="S38" s="7">
        <f t="shared" si="10"/>
        <v>0</v>
      </c>
      <c r="T38" s="35">
        <f t="shared" si="7"/>
        <v>43086</v>
      </c>
    </row>
    <row r="39" spans="1:20">
      <c r="A39" s="61" t="str">
        <f ca="1">IF(ISERROR(MATCH(C39,Код_Раздел,0)),"",INDIRECT(ADDRESS(MATCH(C39,Код_Раздел,0)+1,2,,,"Раздел")))</f>
        <v>Образование</v>
      </c>
      <c r="B39" s="43" t="s">
        <v>276</v>
      </c>
      <c r="C39" s="8" t="s">
        <v>195</v>
      </c>
      <c r="D39" s="1"/>
      <c r="E39" s="104"/>
      <c r="F39" s="7">
        <f t="shared" si="10"/>
        <v>43113.9</v>
      </c>
      <c r="G39" s="7">
        <f t="shared" si="10"/>
        <v>0</v>
      </c>
      <c r="H39" s="35">
        <f t="shared" si="1"/>
        <v>43113.9</v>
      </c>
      <c r="I39" s="7">
        <f t="shared" si="10"/>
        <v>0</v>
      </c>
      <c r="J39" s="35">
        <f t="shared" si="2"/>
        <v>43113.9</v>
      </c>
      <c r="K39" s="7">
        <f t="shared" si="10"/>
        <v>-27.9</v>
      </c>
      <c r="L39" s="35">
        <f t="shared" si="3"/>
        <v>43086</v>
      </c>
      <c r="M39" s="7">
        <f t="shared" si="10"/>
        <v>0</v>
      </c>
      <c r="N39" s="35">
        <f t="shared" si="4"/>
        <v>43086</v>
      </c>
      <c r="O39" s="7">
        <f t="shared" si="10"/>
        <v>0</v>
      </c>
      <c r="P39" s="35">
        <f t="shared" si="5"/>
        <v>43086</v>
      </c>
      <c r="Q39" s="7">
        <f t="shared" si="10"/>
        <v>0</v>
      </c>
      <c r="R39" s="35">
        <f t="shared" si="6"/>
        <v>43086</v>
      </c>
      <c r="S39" s="7">
        <f t="shared" si="10"/>
        <v>0</v>
      </c>
      <c r="T39" s="35">
        <f t="shared" si="7"/>
        <v>43086</v>
      </c>
    </row>
    <row r="40" spans="1:20">
      <c r="A40" s="12" t="s">
        <v>251</v>
      </c>
      <c r="B40" s="43" t="s">
        <v>276</v>
      </c>
      <c r="C40" s="8" t="s">
        <v>195</v>
      </c>
      <c r="D40" s="1" t="s">
        <v>219</v>
      </c>
      <c r="E40" s="104"/>
      <c r="F40" s="7">
        <f t="shared" si="10"/>
        <v>43113.9</v>
      </c>
      <c r="G40" s="7">
        <f t="shared" si="10"/>
        <v>0</v>
      </c>
      <c r="H40" s="35">
        <f t="shared" si="1"/>
        <v>43113.9</v>
      </c>
      <c r="I40" s="7">
        <f t="shared" si="10"/>
        <v>0</v>
      </c>
      <c r="J40" s="35">
        <f t="shared" si="2"/>
        <v>43113.9</v>
      </c>
      <c r="K40" s="7">
        <f t="shared" si="10"/>
        <v>-27.9</v>
      </c>
      <c r="L40" s="35">
        <f t="shared" si="3"/>
        <v>43086</v>
      </c>
      <c r="M40" s="7">
        <f t="shared" si="10"/>
        <v>0</v>
      </c>
      <c r="N40" s="35">
        <f t="shared" si="4"/>
        <v>43086</v>
      </c>
      <c r="O40" s="7">
        <f t="shared" si="10"/>
        <v>0</v>
      </c>
      <c r="P40" s="35">
        <f t="shared" si="5"/>
        <v>43086</v>
      </c>
      <c r="Q40" s="7">
        <f t="shared" si="10"/>
        <v>0</v>
      </c>
      <c r="R40" s="35">
        <f t="shared" si="6"/>
        <v>43086</v>
      </c>
      <c r="S40" s="7">
        <f t="shared" si="10"/>
        <v>0</v>
      </c>
      <c r="T40" s="35">
        <f t="shared" si="7"/>
        <v>43086</v>
      </c>
    </row>
    <row r="41" spans="1:20" ht="39" customHeight="1">
      <c r="A41" s="61" t="str">
        <f ca="1">IF(ISERROR(MATCH(E41,Код_КВР,0)),"",INDIRECT(ADDRESS(MATCH(E41,Код_КВР,0)+1,2,,,"КВР")))</f>
        <v>Предоставление субсидий бюджетным, автономным учреждениям и иным некоммерческим организациям</v>
      </c>
      <c r="B41" s="43" t="s">
        <v>276</v>
      </c>
      <c r="C41" s="8" t="s">
        <v>195</v>
      </c>
      <c r="D41" s="1" t="s">
        <v>219</v>
      </c>
      <c r="E41" s="104">
        <v>600</v>
      </c>
      <c r="F41" s="7">
        <f t="shared" si="10"/>
        <v>43113.9</v>
      </c>
      <c r="G41" s="7">
        <f t="shared" si="10"/>
        <v>0</v>
      </c>
      <c r="H41" s="35">
        <f t="shared" si="1"/>
        <v>43113.9</v>
      </c>
      <c r="I41" s="7">
        <f t="shared" si="10"/>
        <v>0</v>
      </c>
      <c r="J41" s="35">
        <f t="shared" si="2"/>
        <v>43113.9</v>
      </c>
      <c r="K41" s="7">
        <f t="shared" si="10"/>
        <v>-27.9</v>
      </c>
      <c r="L41" s="35">
        <f t="shared" si="3"/>
        <v>43086</v>
      </c>
      <c r="M41" s="7">
        <f t="shared" si="10"/>
        <v>0</v>
      </c>
      <c r="N41" s="35">
        <f t="shared" si="4"/>
        <v>43086</v>
      </c>
      <c r="O41" s="7">
        <f t="shared" si="10"/>
        <v>0</v>
      </c>
      <c r="P41" s="35">
        <f t="shared" si="5"/>
        <v>43086</v>
      </c>
      <c r="Q41" s="7">
        <f t="shared" si="10"/>
        <v>0</v>
      </c>
      <c r="R41" s="35">
        <f t="shared" si="6"/>
        <v>43086</v>
      </c>
      <c r="S41" s="7">
        <f t="shared" si="10"/>
        <v>0</v>
      </c>
      <c r="T41" s="35">
        <f t="shared" si="7"/>
        <v>43086</v>
      </c>
    </row>
    <row r="42" spans="1:20" ht="21.95" customHeight="1">
      <c r="A42" s="61" t="str">
        <f ca="1">IF(ISERROR(MATCH(E42,Код_КВР,0)),"",INDIRECT(ADDRESS(MATCH(E42,Код_КВР,0)+1,2,,,"КВР")))</f>
        <v>Субсидии бюджетным учреждениям</v>
      </c>
      <c r="B42" s="43" t="s">
        <v>276</v>
      </c>
      <c r="C42" s="8" t="s">
        <v>195</v>
      </c>
      <c r="D42" s="1" t="s">
        <v>219</v>
      </c>
      <c r="E42" s="104">
        <v>610</v>
      </c>
      <c r="F42" s="7">
        <f t="shared" si="10"/>
        <v>43113.9</v>
      </c>
      <c r="G42" s="7">
        <f t="shared" si="10"/>
        <v>0</v>
      </c>
      <c r="H42" s="35">
        <f t="shared" si="1"/>
        <v>43113.9</v>
      </c>
      <c r="I42" s="7">
        <f t="shared" si="10"/>
        <v>0</v>
      </c>
      <c r="J42" s="35">
        <f t="shared" si="2"/>
        <v>43113.9</v>
      </c>
      <c r="K42" s="7">
        <f t="shared" si="10"/>
        <v>-27.9</v>
      </c>
      <c r="L42" s="35">
        <f t="shared" si="3"/>
        <v>43086</v>
      </c>
      <c r="M42" s="7">
        <f t="shared" si="10"/>
        <v>0</v>
      </c>
      <c r="N42" s="35">
        <f t="shared" si="4"/>
        <v>43086</v>
      </c>
      <c r="O42" s="7">
        <f t="shared" si="10"/>
        <v>0</v>
      </c>
      <c r="P42" s="35">
        <f t="shared" si="5"/>
        <v>43086</v>
      </c>
      <c r="Q42" s="7">
        <f t="shared" si="10"/>
        <v>0</v>
      </c>
      <c r="R42" s="35">
        <f t="shared" si="6"/>
        <v>43086</v>
      </c>
      <c r="S42" s="7">
        <f t="shared" si="10"/>
        <v>0</v>
      </c>
      <c r="T42" s="35">
        <f t="shared" si="7"/>
        <v>43086</v>
      </c>
    </row>
    <row r="43" spans="1:20" ht="52.7" customHeight="1">
      <c r="A43" s="61" t="str">
        <f ca="1">IF(ISERROR(MATCH(E43,Код_КВР,0)),"",INDIRECT(ADDRESS(MATCH(E43,Код_КВР,0)+1,2,,,"КВР")))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3" s="43" t="s">
        <v>276</v>
      </c>
      <c r="C43" s="8" t="s">
        <v>195</v>
      </c>
      <c r="D43" s="1" t="s">
        <v>219</v>
      </c>
      <c r="E43" s="104">
        <v>611</v>
      </c>
      <c r="F43" s="7">
        <f>прил.6!G723</f>
        <v>43113.9</v>
      </c>
      <c r="G43" s="7">
        <f>прил.6!H723</f>
        <v>0</v>
      </c>
      <c r="H43" s="35">
        <f t="shared" si="1"/>
        <v>43113.9</v>
      </c>
      <c r="I43" s="7">
        <f>прил.6!J723</f>
        <v>0</v>
      </c>
      <c r="J43" s="35">
        <f t="shared" si="2"/>
        <v>43113.9</v>
      </c>
      <c r="K43" s="7">
        <f>прил.6!L723</f>
        <v>-27.9</v>
      </c>
      <c r="L43" s="35">
        <f t="shared" si="3"/>
        <v>43086</v>
      </c>
      <c r="M43" s="7">
        <f>прил.6!N723</f>
        <v>0</v>
      </c>
      <c r="N43" s="35">
        <f t="shared" si="4"/>
        <v>43086</v>
      </c>
      <c r="O43" s="7">
        <f>прил.6!P723</f>
        <v>0</v>
      </c>
      <c r="P43" s="35">
        <f t="shared" si="5"/>
        <v>43086</v>
      </c>
      <c r="Q43" s="7">
        <f>прил.6!R723</f>
        <v>0</v>
      </c>
      <c r="R43" s="35">
        <f t="shared" si="6"/>
        <v>43086</v>
      </c>
      <c r="S43" s="7">
        <f>прил.6!T723</f>
        <v>0</v>
      </c>
      <c r="T43" s="35">
        <f t="shared" si="7"/>
        <v>43086</v>
      </c>
    </row>
    <row r="44" spans="1:20" ht="35.25" customHeight="1">
      <c r="A44" s="61" t="str">
        <f ca="1">IF(ISERROR(MATCH(B44,Код_КЦСР,0)),"",INDIRECT(ADDRESS(MATCH(B44,Код_КЦСР,0)+1,2,,,"КЦСР")))</f>
        <v>Обеспечение питанием обучающихся в МОУ за счет субвенций из областного бюджета</v>
      </c>
      <c r="B44" s="43" t="s">
        <v>425</v>
      </c>
      <c r="C44" s="8"/>
      <c r="D44" s="1"/>
      <c r="E44" s="104"/>
      <c r="F44" s="7">
        <f t="shared" ref="F44:S48" si="11">F45</f>
        <v>18137.8</v>
      </c>
      <c r="G44" s="7">
        <f t="shared" si="11"/>
        <v>0</v>
      </c>
      <c r="H44" s="35">
        <f t="shared" si="1"/>
        <v>18137.8</v>
      </c>
      <c r="I44" s="7">
        <f t="shared" si="11"/>
        <v>0</v>
      </c>
      <c r="J44" s="35">
        <f t="shared" si="2"/>
        <v>18137.8</v>
      </c>
      <c r="K44" s="7">
        <f t="shared" si="11"/>
        <v>0</v>
      </c>
      <c r="L44" s="35">
        <f t="shared" si="3"/>
        <v>18137.8</v>
      </c>
      <c r="M44" s="7">
        <f t="shared" si="11"/>
        <v>0</v>
      </c>
      <c r="N44" s="35">
        <f t="shared" si="4"/>
        <v>18137.8</v>
      </c>
      <c r="O44" s="7">
        <f t="shared" si="11"/>
        <v>0</v>
      </c>
      <c r="P44" s="35">
        <f t="shared" si="5"/>
        <v>18137.8</v>
      </c>
      <c r="Q44" s="7">
        <f t="shared" si="11"/>
        <v>-2188.1999999999998</v>
      </c>
      <c r="R44" s="35">
        <f t="shared" si="6"/>
        <v>15949.599999999999</v>
      </c>
      <c r="S44" s="7">
        <f t="shared" si="11"/>
        <v>-1399.9</v>
      </c>
      <c r="T44" s="35">
        <f t="shared" si="7"/>
        <v>14549.699999999999</v>
      </c>
    </row>
    <row r="45" spans="1:20" ht="19.5" customHeight="1">
      <c r="A45" s="61" t="str">
        <f ca="1">IF(ISERROR(MATCH(C45,Код_Раздел,0)),"",INDIRECT(ADDRESS(MATCH(C45,Код_Раздел,0)+1,2,,,"Раздел")))</f>
        <v>Образование</v>
      </c>
      <c r="B45" s="43" t="s">
        <v>425</v>
      </c>
      <c r="C45" s="8" t="s">
        <v>195</v>
      </c>
      <c r="D45" s="1"/>
      <c r="E45" s="104"/>
      <c r="F45" s="7">
        <f t="shared" si="11"/>
        <v>18137.8</v>
      </c>
      <c r="G45" s="7">
        <f t="shared" si="11"/>
        <v>0</v>
      </c>
      <c r="H45" s="35">
        <f t="shared" si="1"/>
        <v>18137.8</v>
      </c>
      <c r="I45" s="7">
        <f>I46</f>
        <v>0</v>
      </c>
      <c r="J45" s="35">
        <f t="shared" si="2"/>
        <v>18137.8</v>
      </c>
      <c r="K45" s="7">
        <f>K46</f>
        <v>0</v>
      </c>
      <c r="L45" s="35">
        <f t="shared" si="3"/>
        <v>18137.8</v>
      </c>
      <c r="M45" s="7">
        <f>M46</f>
        <v>0</v>
      </c>
      <c r="N45" s="35">
        <f t="shared" si="4"/>
        <v>18137.8</v>
      </c>
      <c r="O45" s="7">
        <f>O46</f>
        <v>0</v>
      </c>
      <c r="P45" s="35">
        <f t="shared" si="5"/>
        <v>18137.8</v>
      </c>
      <c r="Q45" s="7">
        <f>Q46</f>
        <v>-2188.1999999999998</v>
      </c>
      <c r="R45" s="35">
        <f t="shared" si="6"/>
        <v>15949.599999999999</v>
      </c>
      <c r="S45" s="7">
        <f>S46</f>
        <v>-1399.9</v>
      </c>
      <c r="T45" s="35">
        <f t="shared" si="7"/>
        <v>14549.699999999999</v>
      </c>
    </row>
    <row r="46" spans="1:20" ht="19.5" customHeight="1">
      <c r="A46" s="12" t="s">
        <v>251</v>
      </c>
      <c r="B46" s="43" t="s">
        <v>425</v>
      </c>
      <c r="C46" s="8" t="s">
        <v>195</v>
      </c>
      <c r="D46" s="1" t="s">
        <v>219</v>
      </c>
      <c r="E46" s="104"/>
      <c r="F46" s="7">
        <f t="shared" si="11"/>
        <v>18137.8</v>
      </c>
      <c r="G46" s="7">
        <f t="shared" si="11"/>
        <v>0</v>
      </c>
      <c r="H46" s="35">
        <f t="shared" si="1"/>
        <v>18137.8</v>
      </c>
      <c r="I46" s="7">
        <f>I47</f>
        <v>0</v>
      </c>
      <c r="J46" s="35">
        <f t="shared" si="2"/>
        <v>18137.8</v>
      </c>
      <c r="K46" s="7">
        <f>K47</f>
        <v>0</v>
      </c>
      <c r="L46" s="35">
        <f t="shared" si="3"/>
        <v>18137.8</v>
      </c>
      <c r="M46" s="7">
        <f>M47</f>
        <v>0</v>
      </c>
      <c r="N46" s="35">
        <f t="shared" si="4"/>
        <v>18137.8</v>
      </c>
      <c r="O46" s="7">
        <f>O47</f>
        <v>0</v>
      </c>
      <c r="P46" s="35">
        <f t="shared" si="5"/>
        <v>18137.8</v>
      </c>
      <c r="Q46" s="7">
        <f>Q47</f>
        <v>-2188.1999999999998</v>
      </c>
      <c r="R46" s="35">
        <f t="shared" si="6"/>
        <v>15949.599999999999</v>
      </c>
      <c r="S46" s="7">
        <f>S47</f>
        <v>-1399.9</v>
      </c>
      <c r="T46" s="35">
        <f t="shared" si="7"/>
        <v>14549.699999999999</v>
      </c>
    </row>
    <row r="47" spans="1:20" ht="36" customHeight="1">
      <c r="A47" s="61" t="str">
        <f ca="1">IF(ISERROR(MATCH(E47,Код_КВР,0)),"",INDIRECT(ADDRESS(MATCH(E47,Код_КВР,0)+1,2,,,"КВР")))</f>
        <v>Предоставление субсидий бюджетным, автономным учреждениям и иным некоммерческим организациям</v>
      </c>
      <c r="B47" s="43" t="s">
        <v>425</v>
      </c>
      <c r="C47" s="8" t="s">
        <v>195</v>
      </c>
      <c r="D47" s="1" t="s">
        <v>219</v>
      </c>
      <c r="E47" s="104">
        <v>600</v>
      </c>
      <c r="F47" s="7">
        <f t="shared" si="11"/>
        <v>18137.8</v>
      </c>
      <c r="G47" s="7">
        <f t="shared" si="11"/>
        <v>0</v>
      </c>
      <c r="H47" s="35">
        <f t="shared" si="1"/>
        <v>18137.8</v>
      </c>
      <c r="I47" s="7">
        <f>I48+I50</f>
        <v>0</v>
      </c>
      <c r="J47" s="35">
        <f t="shared" si="2"/>
        <v>18137.8</v>
      </c>
      <c r="K47" s="7">
        <f>K48+K50</f>
        <v>0</v>
      </c>
      <c r="L47" s="35">
        <f t="shared" si="3"/>
        <v>18137.8</v>
      </c>
      <c r="M47" s="7">
        <f>M48+M50</f>
        <v>0</v>
      </c>
      <c r="N47" s="35">
        <f t="shared" si="4"/>
        <v>18137.8</v>
      </c>
      <c r="O47" s="7">
        <f>O48+O50</f>
        <v>0</v>
      </c>
      <c r="P47" s="35">
        <f t="shared" si="5"/>
        <v>18137.8</v>
      </c>
      <c r="Q47" s="7">
        <f>Q48+Q50</f>
        <v>-2188.1999999999998</v>
      </c>
      <c r="R47" s="35">
        <f t="shared" si="6"/>
        <v>15949.599999999999</v>
      </c>
      <c r="S47" s="7">
        <f>S48+S50</f>
        <v>-1399.9</v>
      </c>
      <c r="T47" s="35">
        <f t="shared" si="7"/>
        <v>14549.699999999999</v>
      </c>
    </row>
    <row r="48" spans="1:20" ht="18.75" customHeight="1">
      <c r="A48" s="61" t="str">
        <f ca="1">IF(ISERROR(MATCH(E48,Код_КВР,0)),"",INDIRECT(ADDRESS(MATCH(E48,Код_КВР,0)+1,2,,,"КВР")))</f>
        <v>Субсидии бюджетным учреждениям</v>
      </c>
      <c r="B48" s="43" t="s">
        <v>425</v>
      </c>
      <c r="C48" s="8" t="s">
        <v>195</v>
      </c>
      <c r="D48" s="1" t="s">
        <v>219</v>
      </c>
      <c r="E48" s="104">
        <v>610</v>
      </c>
      <c r="F48" s="7">
        <f t="shared" si="11"/>
        <v>18137.8</v>
      </c>
      <c r="G48" s="7">
        <f t="shared" si="11"/>
        <v>0</v>
      </c>
      <c r="H48" s="35">
        <f t="shared" si="1"/>
        <v>18137.8</v>
      </c>
      <c r="I48" s="7">
        <f t="shared" si="11"/>
        <v>-12299.8</v>
      </c>
      <c r="J48" s="35">
        <f t="shared" si="2"/>
        <v>5838</v>
      </c>
      <c r="K48" s="7">
        <f t="shared" si="11"/>
        <v>0</v>
      </c>
      <c r="L48" s="35">
        <f t="shared" si="3"/>
        <v>5838</v>
      </c>
      <c r="M48" s="7">
        <f t="shared" si="11"/>
        <v>0</v>
      </c>
      <c r="N48" s="35">
        <f t="shared" si="4"/>
        <v>5838</v>
      </c>
      <c r="O48" s="7">
        <f t="shared" si="11"/>
        <v>0</v>
      </c>
      <c r="P48" s="35">
        <f t="shared" si="5"/>
        <v>5838</v>
      </c>
      <c r="Q48" s="7">
        <f t="shared" si="11"/>
        <v>-614.20000000000005</v>
      </c>
      <c r="R48" s="35">
        <f t="shared" si="6"/>
        <v>5223.8</v>
      </c>
      <c r="S48" s="7">
        <f t="shared" si="11"/>
        <v>0</v>
      </c>
      <c r="T48" s="35">
        <f t="shared" si="7"/>
        <v>5223.8</v>
      </c>
    </row>
    <row r="49" spans="1:20" ht="60" customHeight="1">
      <c r="A49" s="61" t="str">
        <f ca="1">IF(ISERROR(MATCH(E49,Код_КВР,0)),"",INDIRECT(ADDRESS(MATCH(E49,Код_КВР,0)+1,2,,,"КВР")))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9" s="43" t="s">
        <v>425</v>
      </c>
      <c r="C49" s="8" t="s">
        <v>195</v>
      </c>
      <c r="D49" s="1" t="s">
        <v>219</v>
      </c>
      <c r="E49" s="104">
        <v>611</v>
      </c>
      <c r="F49" s="7">
        <f>прил.6!G727</f>
        <v>18137.8</v>
      </c>
      <c r="G49" s="7">
        <f>прил.6!H727</f>
        <v>0</v>
      </c>
      <c r="H49" s="35">
        <f t="shared" si="1"/>
        <v>18137.8</v>
      </c>
      <c r="I49" s="7">
        <f>прил.6!J727</f>
        <v>-12299.8</v>
      </c>
      <c r="J49" s="35">
        <f t="shared" si="2"/>
        <v>5838</v>
      </c>
      <c r="K49" s="7">
        <f>прил.6!L727</f>
        <v>0</v>
      </c>
      <c r="L49" s="35">
        <f t="shared" si="3"/>
        <v>5838</v>
      </c>
      <c r="M49" s="7">
        <f>прил.6!N727</f>
        <v>0</v>
      </c>
      <c r="N49" s="35">
        <f t="shared" si="4"/>
        <v>5838</v>
      </c>
      <c r="O49" s="7">
        <f>прил.6!P727</f>
        <v>0</v>
      </c>
      <c r="P49" s="35">
        <f t="shared" si="5"/>
        <v>5838</v>
      </c>
      <c r="Q49" s="7">
        <f>прил.6!R727</f>
        <v>-614.20000000000005</v>
      </c>
      <c r="R49" s="35">
        <f t="shared" si="6"/>
        <v>5223.8</v>
      </c>
      <c r="S49" s="7">
        <f>прил.6!T727</f>
        <v>0</v>
      </c>
      <c r="T49" s="35">
        <f t="shared" si="7"/>
        <v>5223.8</v>
      </c>
    </row>
    <row r="50" spans="1:20" ht="19.5" customHeight="1">
      <c r="A50" s="61" t="str">
        <f ca="1">IF(ISERROR(MATCH(E50,Код_КВР,0)),"",INDIRECT(ADDRESS(MATCH(E50,Код_КВР,0)+1,2,,,"КВР")))</f>
        <v>Субсидии автономным учреждениям</v>
      </c>
      <c r="B50" s="43" t="s">
        <v>425</v>
      </c>
      <c r="C50" s="8" t="s">
        <v>195</v>
      </c>
      <c r="D50" s="1" t="s">
        <v>219</v>
      </c>
      <c r="E50" s="104">
        <v>620</v>
      </c>
      <c r="F50" s="7"/>
      <c r="G50" s="7"/>
      <c r="H50" s="35"/>
      <c r="I50" s="7">
        <f>I51</f>
        <v>12299.8</v>
      </c>
      <c r="J50" s="35">
        <f t="shared" si="2"/>
        <v>12299.8</v>
      </c>
      <c r="K50" s="7">
        <f>K51</f>
        <v>0</v>
      </c>
      <c r="L50" s="35">
        <f t="shared" si="3"/>
        <v>12299.8</v>
      </c>
      <c r="M50" s="7">
        <f>M51</f>
        <v>0</v>
      </c>
      <c r="N50" s="35">
        <f t="shared" si="4"/>
        <v>12299.8</v>
      </c>
      <c r="O50" s="7">
        <f>O51</f>
        <v>0</v>
      </c>
      <c r="P50" s="35">
        <f t="shared" si="5"/>
        <v>12299.8</v>
      </c>
      <c r="Q50" s="7">
        <f>Q51</f>
        <v>-1573.9999999999998</v>
      </c>
      <c r="R50" s="35">
        <f t="shared" si="6"/>
        <v>10725.8</v>
      </c>
      <c r="S50" s="7">
        <f>S51</f>
        <v>-1399.9</v>
      </c>
      <c r="T50" s="35">
        <f t="shared" si="7"/>
        <v>9325.9</v>
      </c>
    </row>
    <row r="51" spans="1:20" ht="54" customHeight="1">
      <c r="A51" s="61" t="str">
        <f ca="1">IF(ISERROR(MATCH(E51,Код_КВР,0)),"",INDIRECT(ADDRESS(MATCH(E51,Код_КВР,0)+1,2,,,"КВР")))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51" s="43" t="s">
        <v>425</v>
      </c>
      <c r="C51" s="8" t="s">
        <v>195</v>
      </c>
      <c r="D51" s="1" t="s">
        <v>219</v>
      </c>
      <c r="E51" s="104">
        <v>621</v>
      </c>
      <c r="F51" s="7"/>
      <c r="G51" s="7"/>
      <c r="H51" s="35"/>
      <c r="I51" s="7">
        <f>прил.6!J729</f>
        <v>12299.8</v>
      </c>
      <c r="J51" s="35">
        <f t="shared" si="2"/>
        <v>12299.8</v>
      </c>
      <c r="K51" s="7">
        <f>прил.6!L729</f>
        <v>0</v>
      </c>
      <c r="L51" s="35">
        <f t="shared" si="3"/>
        <v>12299.8</v>
      </c>
      <c r="M51" s="7">
        <f>прил.6!N729</f>
        <v>0</v>
      </c>
      <c r="N51" s="35">
        <f t="shared" si="4"/>
        <v>12299.8</v>
      </c>
      <c r="O51" s="7">
        <f>прил.6!P729</f>
        <v>0</v>
      </c>
      <c r="P51" s="35">
        <f t="shared" si="5"/>
        <v>12299.8</v>
      </c>
      <c r="Q51" s="7">
        <f>прил.6!R729</f>
        <v>-1573.9999999999998</v>
      </c>
      <c r="R51" s="35">
        <f t="shared" si="6"/>
        <v>10725.8</v>
      </c>
      <c r="S51" s="7">
        <f>прил.6!T729</f>
        <v>-1399.9</v>
      </c>
      <c r="T51" s="35">
        <f t="shared" si="7"/>
        <v>9325.9</v>
      </c>
    </row>
    <row r="52" spans="1:20" ht="21" customHeight="1">
      <c r="A52" s="61" t="str">
        <f ca="1">IF(ISERROR(MATCH(B52,Код_КЦСР,0)),"",INDIRECT(ADDRESS(MATCH(B52,Код_КЦСР,0)+1,2,,,"КЦСР")))</f>
        <v>Дошкольное образование</v>
      </c>
      <c r="B52" s="43" t="s">
        <v>278</v>
      </c>
      <c r="C52" s="8"/>
      <c r="D52" s="1"/>
      <c r="E52" s="104"/>
      <c r="F52" s="7">
        <f>F53+F61+F69</f>
        <v>1368058.9000000001</v>
      </c>
      <c r="G52" s="7">
        <f>G53+G61+G69</f>
        <v>0</v>
      </c>
      <c r="H52" s="35">
        <f t="shared" si="1"/>
        <v>1368058.9000000001</v>
      </c>
      <c r="I52" s="7">
        <f>I53+I61+I69</f>
        <v>0</v>
      </c>
      <c r="J52" s="35">
        <f t="shared" si="2"/>
        <v>1368058.9000000001</v>
      </c>
      <c r="K52" s="7">
        <f>K53+K61+K69</f>
        <v>-167.8</v>
      </c>
      <c r="L52" s="35">
        <f t="shared" si="3"/>
        <v>1367891.1</v>
      </c>
      <c r="M52" s="7">
        <f>M53+M61+M69</f>
        <v>-2500</v>
      </c>
      <c r="N52" s="35">
        <f t="shared" si="4"/>
        <v>1365391.1</v>
      </c>
      <c r="O52" s="7">
        <f>O53+O61+O69</f>
        <v>0</v>
      </c>
      <c r="P52" s="35">
        <f t="shared" si="5"/>
        <v>1365391.1</v>
      </c>
      <c r="Q52" s="7">
        <f>Q53+Q61+Q69</f>
        <v>24246.100000000002</v>
      </c>
      <c r="R52" s="35">
        <f t="shared" si="6"/>
        <v>1389637.2000000002</v>
      </c>
      <c r="S52" s="7">
        <f>S53+S61+S69</f>
        <v>15422.400000000003</v>
      </c>
      <c r="T52" s="35">
        <f t="shared" si="7"/>
        <v>1405059.6</v>
      </c>
    </row>
    <row r="53" spans="1:20" ht="69" customHeight="1">
      <c r="A53" s="61" t="str">
        <f ca="1">IF(ISERROR(MATCH(B53,Код_КЦСР,0)),"",INDIRECT(ADDRESS(MATCH(B53,Код_КЦСР,0)+1,2,,,"КЦСР")))</f>
        <v>Создание условий для осуществления присмотра и ухода за детьми в муниципальных дошкольных образовательных учреждениях, реализующих основную образовательную программу дошкольного образования</v>
      </c>
      <c r="B53" s="43" t="s">
        <v>279</v>
      </c>
      <c r="C53" s="8"/>
      <c r="D53" s="1"/>
      <c r="E53" s="104"/>
      <c r="F53" s="7">
        <f t="shared" ref="F53:S55" si="12">F54</f>
        <v>242839.90000000002</v>
      </c>
      <c r="G53" s="7">
        <f t="shared" si="12"/>
        <v>0</v>
      </c>
      <c r="H53" s="35">
        <f t="shared" si="1"/>
        <v>242839.90000000002</v>
      </c>
      <c r="I53" s="7">
        <f t="shared" si="12"/>
        <v>0</v>
      </c>
      <c r="J53" s="35">
        <f t="shared" si="2"/>
        <v>242839.90000000002</v>
      </c>
      <c r="K53" s="7">
        <f t="shared" si="12"/>
        <v>-167.8</v>
      </c>
      <c r="L53" s="35">
        <f t="shared" si="3"/>
        <v>242672.10000000003</v>
      </c>
      <c r="M53" s="7">
        <f t="shared" si="12"/>
        <v>-2500</v>
      </c>
      <c r="N53" s="35">
        <f t="shared" si="4"/>
        <v>240172.10000000003</v>
      </c>
      <c r="O53" s="7">
        <f t="shared" si="12"/>
        <v>0</v>
      </c>
      <c r="P53" s="35">
        <f t="shared" si="5"/>
        <v>240172.10000000003</v>
      </c>
      <c r="Q53" s="7">
        <f t="shared" si="12"/>
        <v>0</v>
      </c>
      <c r="R53" s="35">
        <f t="shared" si="6"/>
        <v>240172.10000000003</v>
      </c>
      <c r="S53" s="7">
        <f t="shared" si="12"/>
        <v>0</v>
      </c>
      <c r="T53" s="35">
        <f t="shared" si="7"/>
        <v>240172.10000000003</v>
      </c>
    </row>
    <row r="54" spans="1:20" ht="18.75" customHeight="1">
      <c r="A54" s="61" t="str">
        <f ca="1">IF(ISERROR(MATCH(C54,Код_Раздел,0)),"",INDIRECT(ADDRESS(MATCH(C54,Код_Раздел,0)+1,2,,,"Раздел")))</f>
        <v>Образование</v>
      </c>
      <c r="B54" s="43" t="s">
        <v>279</v>
      </c>
      <c r="C54" s="8" t="s">
        <v>195</v>
      </c>
      <c r="D54" s="1"/>
      <c r="E54" s="104"/>
      <c r="F54" s="7">
        <f t="shared" si="12"/>
        <v>242839.90000000002</v>
      </c>
      <c r="G54" s="7">
        <f t="shared" si="12"/>
        <v>0</v>
      </c>
      <c r="H54" s="35">
        <f t="shared" si="1"/>
        <v>242839.90000000002</v>
      </c>
      <c r="I54" s="7">
        <f t="shared" si="12"/>
        <v>0</v>
      </c>
      <c r="J54" s="35">
        <f t="shared" si="2"/>
        <v>242839.90000000002</v>
      </c>
      <c r="K54" s="7">
        <f t="shared" si="12"/>
        <v>-167.8</v>
      </c>
      <c r="L54" s="35">
        <f t="shared" si="3"/>
        <v>242672.10000000003</v>
      </c>
      <c r="M54" s="7">
        <f t="shared" si="12"/>
        <v>-2500</v>
      </c>
      <c r="N54" s="35">
        <f t="shared" si="4"/>
        <v>240172.10000000003</v>
      </c>
      <c r="O54" s="7">
        <f t="shared" si="12"/>
        <v>0</v>
      </c>
      <c r="P54" s="35">
        <f t="shared" si="5"/>
        <v>240172.10000000003</v>
      </c>
      <c r="Q54" s="7">
        <f t="shared" si="12"/>
        <v>0</v>
      </c>
      <c r="R54" s="35">
        <f t="shared" si="6"/>
        <v>240172.10000000003</v>
      </c>
      <c r="S54" s="7">
        <f t="shared" si="12"/>
        <v>0</v>
      </c>
      <c r="T54" s="35">
        <f t="shared" si="7"/>
        <v>240172.10000000003</v>
      </c>
    </row>
    <row r="55" spans="1:20" ht="18.75" customHeight="1">
      <c r="A55" s="12" t="s">
        <v>258</v>
      </c>
      <c r="B55" s="43" t="s">
        <v>279</v>
      </c>
      <c r="C55" s="8" t="s">
        <v>195</v>
      </c>
      <c r="D55" s="1" t="s">
        <v>213</v>
      </c>
      <c r="E55" s="104"/>
      <c r="F55" s="7">
        <f t="shared" si="12"/>
        <v>242839.90000000002</v>
      </c>
      <c r="G55" s="7">
        <f t="shared" si="12"/>
        <v>0</v>
      </c>
      <c r="H55" s="35">
        <f t="shared" si="1"/>
        <v>242839.90000000002</v>
      </c>
      <c r="I55" s="7">
        <f t="shared" si="12"/>
        <v>0</v>
      </c>
      <c r="J55" s="35">
        <f t="shared" si="2"/>
        <v>242839.90000000002</v>
      </c>
      <c r="K55" s="7">
        <f t="shared" si="12"/>
        <v>-167.8</v>
      </c>
      <c r="L55" s="35">
        <f t="shared" si="3"/>
        <v>242672.10000000003</v>
      </c>
      <c r="M55" s="7">
        <f t="shared" si="12"/>
        <v>-2500</v>
      </c>
      <c r="N55" s="35">
        <f t="shared" si="4"/>
        <v>240172.10000000003</v>
      </c>
      <c r="O55" s="7">
        <f t="shared" si="12"/>
        <v>0</v>
      </c>
      <c r="P55" s="35">
        <f t="shared" si="5"/>
        <v>240172.10000000003</v>
      </c>
      <c r="Q55" s="7">
        <f t="shared" si="12"/>
        <v>0</v>
      </c>
      <c r="R55" s="35">
        <f t="shared" si="6"/>
        <v>240172.10000000003</v>
      </c>
      <c r="S55" s="7">
        <f t="shared" si="12"/>
        <v>0</v>
      </c>
      <c r="T55" s="35">
        <f t="shared" si="7"/>
        <v>240172.10000000003</v>
      </c>
    </row>
    <row r="56" spans="1:20" ht="36" customHeight="1">
      <c r="A56" s="61" t="str">
        <f ca="1">IF(ISERROR(MATCH(E56,Код_КВР,0)),"",INDIRECT(ADDRESS(MATCH(E56,Код_КВР,0)+1,2,,,"КВР")))</f>
        <v>Предоставление субсидий бюджетным, автономным учреждениям и иным некоммерческим организациям</v>
      </c>
      <c r="B56" s="43" t="s">
        <v>279</v>
      </c>
      <c r="C56" s="8" t="s">
        <v>195</v>
      </c>
      <c r="D56" s="1" t="s">
        <v>213</v>
      </c>
      <c r="E56" s="104">
        <v>600</v>
      </c>
      <c r="F56" s="7">
        <f>F57+F59</f>
        <v>242839.90000000002</v>
      </c>
      <c r="G56" s="7">
        <f>G57+G59</f>
        <v>0</v>
      </c>
      <c r="H56" s="35">
        <f t="shared" si="1"/>
        <v>242839.90000000002</v>
      </c>
      <c r="I56" s="7">
        <f>I57+I59</f>
        <v>0</v>
      </c>
      <c r="J56" s="35">
        <f t="shared" si="2"/>
        <v>242839.90000000002</v>
      </c>
      <c r="K56" s="7">
        <f>K57+K59</f>
        <v>-167.8</v>
      </c>
      <c r="L56" s="35">
        <f t="shared" si="3"/>
        <v>242672.10000000003</v>
      </c>
      <c r="M56" s="7">
        <f>M57+M59</f>
        <v>-2500</v>
      </c>
      <c r="N56" s="35">
        <f t="shared" si="4"/>
        <v>240172.10000000003</v>
      </c>
      <c r="O56" s="7">
        <f>O57+O59</f>
        <v>0</v>
      </c>
      <c r="P56" s="35">
        <f t="shared" si="5"/>
        <v>240172.10000000003</v>
      </c>
      <c r="Q56" s="7">
        <f>Q57+Q59</f>
        <v>0</v>
      </c>
      <c r="R56" s="35">
        <f t="shared" si="6"/>
        <v>240172.10000000003</v>
      </c>
      <c r="S56" s="7">
        <f>S57+S59</f>
        <v>0</v>
      </c>
      <c r="T56" s="35">
        <f t="shared" si="7"/>
        <v>240172.10000000003</v>
      </c>
    </row>
    <row r="57" spans="1:20" ht="18.75" customHeight="1">
      <c r="A57" s="61" t="str">
        <f ca="1">IF(ISERROR(MATCH(E57,Код_КВР,0)),"",INDIRECT(ADDRESS(MATCH(E57,Код_КВР,0)+1,2,,,"КВР")))</f>
        <v>Субсидии бюджетным учреждениям</v>
      </c>
      <c r="B57" s="43" t="s">
        <v>279</v>
      </c>
      <c r="C57" s="8" t="s">
        <v>195</v>
      </c>
      <c r="D57" s="1" t="s">
        <v>213</v>
      </c>
      <c r="E57" s="104">
        <v>610</v>
      </c>
      <c r="F57" s="7">
        <f>F58</f>
        <v>221390.7</v>
      </c>
      <c r="G57" s="7">
        <f>G58</f>
        <v>0</v>
      </c>
      <c r="H57" s="35">
        <f t="shared" si="1"/>
        <v>221390.7</v>
      </c>
      <c r="I57" s="7">
        <f>I58</f>
        <v>0</v>
      </c>
      <c r="J57" s="35">
        <f t="shared" si="2"/>
        <v>221390.7</v>
      </c>
      <c r="K57" s="7">
        <f>K58</f>
        <v>0</v>
      </c>
      <c r="L57" s="35">
        <f t="shared" si="3"/>
        <v>221390.7</v>
      </c>
      <c r="M57" s="7">
        <f>M58</f>
        <v>-2500</v>
      </c>
      <c r="N57" s="35">
        <f t="shared" si="4"/>
        <v>218890.7</v>
      </c>
      <c r="O57" s="7">
        <f>O58</f>
        <v>0</v>
      </c>
      <c r="P57" s="35">
        <f t="shared" si="5"/>
        <v>218890.7</v>
      </c>
      <c r="Q57" s="7">
        <f>Q58</f>
        <v>0</v>
      </c>
      <c r="R57" s="35">
        <f t="shared" si="6"/>
        <v>218890.7</v>
      </c>
      <c r="S57" s="7">
        <f>S58</f>
        <v>0</v>
      </c>
      <c r="T57" s="35">
        <f t="shared" si="7"/>
        <v>218890.7</v>
      </c>
    </row>
    <row r="58" spans="1:20" ht="57" customHeight="1">
      <c r="A58" s="61" t="str">
        <f ca="1">IF(ISERROR(MATCH(E58,Код_КВР,0)),"",INDIRECT(ADDRESS(MATCH(E58,Код_КВР,0)+1,2,,,"КВР")))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58" s="43" t="s">
        <v>279</v>
      </c>
      <c r="C58" s="8" t="s">
        <v>195</v>
      </c>
      <c r="D58" s="1" t="s">
        <v>213</v>
      </c>
      <c r="E58" s="104">
        <v>611</v>
      </c>
      <c r="F58" s="7">
        <f>прил.6!G592</f>
        <v>221390.7</v>
      </c>
      <c r="G58" s="7">
        <f>прил.6!H592</f>
        <v>0</v>
      </c>
      <c r="H58" s="35">
        <f t="shared" si="1"/>
        <v>221390.7</v>
      </c>
      <c r="I58" s="7">
        <f>прил.6!J592</f>
        <v>0</v>
      </c>
      <c r="J58" s="35">
        <f t="shared" si="2"/>
        <v>221390.7</v>
      </c>
      <c r="K58" s="7">
        <f>прил.6!L592</f>
        <v>0</v>
      </c>
      <c r="L58" s="35">
        <f t="shared" si="3"/>
        <v>221390.7</v>
      </c>
      <c r="M58" s="7">
        <f>прил.6!N592</f>
        <v>-2500</v>
      </c>
      <c r="N58" s="35">
        <f t="shared" si="4"/>
        <v>218890.7</v>
      </c>
      <c r="O58" s="7">
        <f>прил.6!P592</f>
        <v>0</v>
      </c>
      <c r="P58" s="35">
        <f t="shared" si="5"/>
        <v>218890.7</v>
      </c>
      <c r="Q58" s="7">
        <f>прил.6!R592</f>
        <v>0</v>
      </c>
      <c r="R58" s="35">
        <f t="shared" si="6"/>
        <v>218890.7</v>
      </c>
      <c r="S58" s="7">
        <f>прил.6!T592</f>
        <v>0</v>
      </c>
      <c r="T58" s="35">
        <f t="shared" si="7"/>
        <v>218890.7</v>
      </c>
    </row>
    <row r="59" spans="1:20" ht="24" customHeight="1">
      <c r="A59" s="61" t="str">
        <f ca="1">IF(ISERROR(MATCH(E59,Код_КВР,0)),"",INDIRECT(ADDRESS(MATCH(E59,Код_КВР,0)+1,2,,,"КВР")))</f>
        <v>Субсидии автономным учреждениям</v>
      </c>
      <c r="B59" s="43" t="s">
        <v>279</v>
      </c>
      <c r="C59" s="8" t="s">
        <v>195</v>
      </c>
      <c r="D59" s="1" t="s">
        <v>213</v>
      </c>
      <c r="E59" s="104">
        <v>620</v>
      </c>
      <c r="F59" s="7">
        <f>F60</f>
        <v>21449.200000000001</v>
      </c>
      <c r="G59" s="7">
        <f>G60</f>
        <v>0</v>
      </c>
      <c r="H59" s="35">
        <f t="shared" si="1"/>
        <v>21449.200000000001</v>
      </c>
      <c r="I59" s="7">
        <f>I60</f>
        <v>0</v>
      </c>
      <c r="J59" s="35">
        <f t="shared" si="2"/>
        <v>21449.200000000001</v>
      </c>
      <c r="K59" s="7">
        <f>K60</f>
        <v>-167.8</v>
      </c>
      <c r="L59" s="35">
        <f t="shared" si="3"/>
        <v>21281.4</v>
      </c>
      <c r="M59" s="7">
        <f>M60</f>
        <v>0</v>
      </c>
      <c r="N59" s="35">
        <f t="shared" si="4"/>
        <v>21281.4</v>
      </c>
      <c r="O59" s="7">
        <f>O60</f>
        <v>0</v>
      </c>
      <c r="P59" s="35">
        <f t="shared" si="5"/>
        <v>21281.4</v>
      </c>
      <c r="Q59" s="7">
        <f>Q60</f>
        <v>0</v>
      </c>
      <c r="R59" s="35">
        <f t="shared" si="6"/>
        <v>21281.4</v>
      </c>
      <c r="S59" s="7">
        <f>S60</f>
        <v>0</v>
      </c>
      <c r="T59" s="35">
        <f t="shared" si="7"/>
        <v>21281.4</v>
      </c>
    </row>
    <row r="60" spans="1:20" ht="52.7" customHeight="1">
      <c r="A60" s="61" t="str">
        <f ca="1">IF(ISERROR(MATCH(E60,Код_КВР,0)),"",INDIRECT(ADDRESS(MATCH(E60,Код_КВР,0)+1,2,,,"КВР")))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0" s="43" t="s">
        <v>279</v>
      </c>
      <c r="C60" s="8" t="s">
        <v>195</v>
      </c>
      <c r="D60" s="1" t="s">
        <v>213</v>
      </c>
      <c r="E60" s="104">
        <v>621</v>
      </c>
      <c r="F60" s="7">
        <f>прил.6!G594</f>
        <v>21449.200000000001</v>
      </c>
      <c r="G60" s="7">
        <f>прил.6!H594</f>
        <v>0</v>
      </c>
      <c r="H60" s="35">
        <f t="shared" si="1"/>
        <v>21449.200000000001</v>
      </c>
      <c r="I60" s="7">
        <f>прил.6!J594</f>
        <v>0</v>
      </c>
      <c r="J60" s="35">
        <f t="shared" si="2"/>
        <v>21449.200000000001</v>
      </c>
      <c r="K60" s="7">
        <f>прил.6!L594</f>
        <v>-167.8</v>
      </c>
      <c r="L60" s="35">
        <f t="shared" si="3"/>
        <v>21281.4</v>
      </c>
      <c r="M60" s="7">
        <f>прил.6!N594</f>
        <v>0</v>
      </c>
      <c r="N60" s="35">
        <f t="shared" si="4"/>
        <v>21281.4</v>
      </c>
      <c r="O60" s="7">
        <f>прил.6!P594</f>
        <v>0</v>
      </c>
      <c r="P60" s="35">
        <f t="shared" si="5"/>
        <v>21281.4</v>
      </c>
      <c r="Q60" s="7">
        <f>прил.6!R594</f>
        <v>0</v>
      </c>
      <c r="R60" s="35">
        <f t="shared" si="6"/>
        <v>21281.4</v>
      </c>
      <c r="S60" s="7">
        <f>прил.6!T594</f>
        <v>0</v>
      </c>
      <c r="T60" s="35">
        <f t="shared" si="7"/>
        <v>21281.4</v>
      </c>
    </row>
    <row r="61" spans="1:20" ht="68.25" customHeight="1">
      <c r="A61" s="61" t="str">
        <f ca="1">IF(ISERROR(MATCH(B61,Код_КЦСР,0)),"",INDIRECT(ADDRESS(MATCH(B61,Код_КЦСР,0)+1,2,,,"КЦСР")))</f>
        <v>Организация предоставления общедоступного и бесплатного дошкольного образования в муниципальных дошкольных образовательных учреждениях за счет субвенций из областного бюджета</v>
      </c>
      <c r="B61" s="43" t="s">
        <v>427</v>
      </c>
      <c r="C61" s="8"/>
      <c r="D61" s="1"/>
      <c r="E61" s="104"/>
      <c r="F61" s="7">
        <f t="shared" ref="F61:S63" si="13">F62</f>
        <v>1061249.7</v>
      </c>
      <c r="G61" s="7">
        <f t="shared" si="13"/>
        <v>0</v>
      </c>
      <c r="H61" s="35">
        <f t="shared" si="1"/>
        <v>1061249.7</v>
      </c>
      <c r="I61" s="7">
        <f t="shared" si="13"/>
        <v>0</v>
      </c>
      <c r="J61" s="35">
        <f t="shared" si="2"/>
        <v>1061249.7</v>
      </c>
      <c r="K61" s="7">
        <f t="shared" si="13"/>
        <v>0</v>
      </c>
      <c r="L61" s="35">
        <f t="shared" si="3"/>
        <v>1061249.7</v>
      </c>
      <c r="M61" s="7">
        <f t="shared" si="13"/>
        <v>0</v>
      </c>
      <c r="N61" s="35">
        <f t="shared" si="4"/>
        <v>1061249.7</v>
      </c>
      <c r="O61" s="7">
        <f t="shared" si="13"/>
        <v>0</v>
      </c>
      <c r="P61" s="35">
        <f t="shared" si="5"/>
        <v>1061249.7</v>
      </c>
      <c r="Q61" s="7">
        <f t="shared" si="13"/>
        <v>30649.800000000003</v>
      </c>
      <c r="R61" s="35">
        <f t="shared" si="6"/>
        <v>1091899.5</v>
      </c>
      <c r="S61" s="7">
        <f t="shared" si="13"/>
        <v>13306.000000000004</v>
      </c>
      <c r="T61" s="35">
        <f t="shared" si="7"/>
        <v>1105205.5</v>
      </c>
    </row>
    <row r="62" spans="1:20" ht="18.75" customHeight="1">
      <c r="A62" s="61" t="str">
        <f ca="1">IF(ISERROR(MATCH(C62,Код_Раздел,0)),"",INDIRECT(ADDRESS(MATCH(C62,Код_Раздел,0)+1,2,,,"Раздел")))</f>
        <v>Образование</v>
      </c>
      <c r="B62" s="43" t="s">
        <v>427</v>
      </c>
      <c r="C62" s="8" t="s">
        <v>195</v>
      </c>
      <c r="D62" s="1"/>
      <c r="E62" s="104"/>
      <c r="F62" s="7">
        <f t="shared" si="13"/>
        <v>1061249.7</v>
      </c>
      <c r="G62" s="7">
        <f t="shared" si="13"/>
        <v>0</v>
      </c>
      <c r="H62" s="35">
        <f t="shared" si="1"/>
        <v>1061249.7</v>
      </c>
      <c r="I62" s="7">
        <f t="shared" si="13"/>
        <v>0</v>
      </c>
      <c r="J62" s="35">
        <f t="shared" si="2"/>
        <v>1061249.7</v>
      </c>
      <c r="K62" s="7">
        <f t="shared" si="13"/>
        <v>0</v>
      </c>
      <c r="L62" s="35">
        <f t="shared" si="3"/>
        <v>1061249.7</v>
      </c>
      <c r="M62" s="7">
        <f t="shared" si="13"/>
        <v>0</v>
      </c>
      <c r="N62" s="35">
        <f t="shared" si="4"/>
        <v>1061249.7</v>
      </c>
      <c r="O62" s="7">
        <f t="shared" si="13"/>
        <v>0</v>
      </c>
      <c r="P62" s="35">
        <f t="shared" si="5"/>
        <v>1061249.7</v>
      </c>
      <c r="Q62" s="7">
        <f t="shared" si="13"/>
        <v>30649.800000000003</v>
      </c>
      <c r="R62" s="35">
        <f t="shared" si="6"/>
        <v>1091899.5</v>
      </c>
      <c r="S62" s="7">
        <f t="shared" si="13"/>
        <v>13306.000000000004</v>
      </c>
      <c r="T62" s="35">
        <f t="shared" si="7"/>
        <v>1105205.5</v>
      </c>
    </row>
    <row r="63" spans="1:20" ht="19.5" customHeight="1">
      <c r="A63" s="12" t="s">
        <v>258</v>
      </c>
      <c r="B63" s="43" t="s">
        <v>427</v>
      </c>
      <c r="C63" s="8" t="s">
        <v>195</v>
      </c>
      <c r="D63" s="1" t="s">
        <v>213</v>
      </c>
      <c r="E63" s="104"/>
      <c r="F63" s="7">
        <f t="shared" si="13"/>
        <v>1061249.7</v>
      </c>
      <c r="G63" s="7">
        <f t="shared" si="13"/>
        <v>0</v>
      </c>
      <c r="H63" s="35">
        <f t="shared" si="1"/>
        <v>1061249.7</v>
      </c>
      <c r="I63" s="7">
        <f t="shared" si="13"/>
        <v>0</v>
      </c>
      <c r="J63" s="35">
        <f t="shared" si="2"/>
        <v>1061249.7</v>
      </c>
      <c r="K63" s="7">
        <f t="shared" si="13"/>
        <v>0</v>
      </c>
      <c r="L63" s="35">
        <f t="shared" si="3"/>
        <v>1061249.7</v>
      </c>
      <c r="M63" s="7">
        <f t="shared" si="13"/>
        <v>0</v>
      </c>
      <c r="N63" s="35">
        <f t="shared" si="4"/>
        <v>1061249.7</v>
      </c>
      <c r="O63" s="7">
        <f t="shared" si="13"/>
        <v>0</v>
      </c>
      <c r="P63" s="35">
        <f t="shared" si="5"/>
        <v>1061249.7</v>
      </c>
      <c r="Q63" s="7">
        <f t="shared" si="13"/>
        <v>30649.800000000003</v>
      </c>
      <c r="R63" s="35">
        <f t="shared" si="6"/>
        <v>1091899.5</v>
      </c>
      <c r="S63" s="7">
        <f t="shared" si="13"/>
        <v>13306.000000000004</v>
      </c>
      <c r="T63" s="35">
        <f t="shared" si="7"/>
        <v>1105205.5</v>
      </c>
    </row>
    <row r="64" spans="1:20" ht="37.5" customHeight="1">
      <c r="A64" s="61" t="str">
        <f ca="1">IF(ISERROR(MATCH(E64,Код_КВР,0)),"",INDIRECT(ADDRESS(MATCH(E64,Код_КВР,0)+1,2,,,"КВР")))</f>
        <v>Предоставление субсидий бюджетным, автономным учреждениям и иным некоммерческим организациям</v>
      </c>
      <c r="B64" s="43" t="s">
        <v>427</v>
      </c>
      <c r="C64" s="8" t="s">
        <v>195</v>
      </c>
      <c r="D64" s="1" t="s">
        <v>213</v>
      </c>
      <c r="E64" s="104">
        <v>600</v>
      </c>
      <c r="F64" s="7">
        <f>F65+F67</f>
        <v>1061249.7</v>
      </c>
      <c r="G64" s="7">
        <f>G65+G67</f>
        <v>0</v>
      </c>
      <c r="H64" s="35">
        <f t="shared" si="1"/>
        <v>1061249.7</v>
      </c>
      <c r="I64" s="7">
        <f>I65+I67</f>
        <v>0</v>
      </c>
      <c r="J64" s="35">
        <f t="shared" si="2"/>
        <v>1061249.7</v>
      </c>
      <c r="K64" s="7">
        <f>K65+K67</f>
        <v>0</v>
      </c>
      <c r="L64" s="35">
        <f t="shared" si="3"/>
        <v>1061249.7</v>
      </c>
      <c r="M64" s="7">
        <f>M65+M67</f>
        <v>0</v>
      </c>
      <c r="N64" s="35">
        <f t="shared" si="4"/>
        <v>1061249.7</v>
      </c>
      <c r="O64" s="7">
        <f>O65+O67</f>
        <v>0</v>
      </c>
      <c r="P64" s="35">
        <f t="shared" si="5"/>
        <v>1061249.7</v>
      </c>
      <c r="Q64" s="7">
        <f>Q65+Q67</f>
        <v>30649.800000000003</v>
      </c>
      <c r="R64" s="35">
        <f t="shared" si="6"/>
        <v>1091899.5</v>
      </c>
      <c r="S64" s="7">
        <f>S65+S67</f>
        <v>13306.000000000004</v>
      </c>
      <c r="T64" s="35">
        <f t="shared" si="7"/>
        <v>1105205.5</v>
      </c>
    </row>
    <row r="65" spans="1:20" ht="19.5" customHeight="1">
      <c r="A65" s="61" t="str">
        <f ca="1">IF(ISERROR(MATCH(E65,Код_КВР,0)),"",INDIRECT(ADDRESS(MATCH(E65,Код_КВР,0)+1,2,,,"КВР")))</f>
        <v>Субсидии бюджетным учреждениям</v>
      </c>
      <c r="B65" s="43" t="s">
        <v>427</v>
      </c>
      <c r="C65" s="8" t="s">
        <v>195</v>
      </c>
      <c r="D65" s="1" t="s">
        <v>213</v>
      </c>
      <c r="E65" s="104">
        <v>610</v>
      </c>
      <c r="F65" s="7">
        <f>F66</f>
        <v>997794.8</v>
      </c>
      <c r="G65" s="7">
        <f>G66</f>
        <v>0</v>
      </c>
      <c r="H65" s="35">
        <f t="shared" si="1"/>
        <v>997794.8</v>
      </c>
      <c r="I65" s="7">
        <f>I66</f>
        <v>0</v>
      </c>
      <c r="J65" s="35">
        <f t="shared" si="2"/>
        <v>997794.8</v>
      </c>
      <c r="K65" s="7">
        <f>K66</f>
        <v>0</v>
      </c>
      <c r="L65" s="35">
        <f t="shared" si="3"/>
        <v>997794.8</v>
      </c>
      <c r="M65" s="7">
        <f>M66</f>
        <v>0</v>
      </c>
      <c r="N65" s="35">
        <f t="shared" si="4"/>
        <v>997794.8</v>
      </c>
      <c r="O65" s="7">
        <f>O66</f>
        <v>0</v>
      </c>
      <c r="P65" s="35">
        <f t="shared" si="5"/>
        <v>997794.8</v>
      </c>
      <c r="Q65" s="7">
        <f>Q66</f>
        <v>28969.300000000003</v>
      </c>
      <c r="R65" s="35">
        <f t="shared" si="6"/>
        <v>1026764.1000000001</v>
      </c>
      <c r="S65" s="7">
        <f>S66</f>
        <v>16536.800000000003</v>
      </c>
      <c r="T65" s="35">
        <f t="shared" si="7"/>
        <v>1043300.9000000001</v>
      </c>
    </row>
    <row r="66" spans="1:20" ht="55.5" customHeight="1">
      <c r="A66" s="61" t="str">
        <f ca="1">IF(ISERROR(MATCH(E66,Код_КВР,0)),"",INDIRECT(ADDRESS(MATCH(E66,Код_КВР,0)+1,2,,,"КВР")))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6" s="43" t="s">
        <v>427</v>
      </c>
      <c r="C66" s="8" t="s">
        <v>195</v>
      </c>
      <c r="D66" s="1" t="s">
        <v>213</v>
      </c>
      <c r="E66" s="104">
        <v>611</v>
      </c>
      <c r="F66" s="7">
        <f>прил.6!G598</f>
        <v>997794.8</v>
      </c>
      <c r="G66" s="7">
        <f>прил.6!H598</f>
        <v>0</v>
      </c>
      <c r="H66" s="35">
        <f t="shared" si="1"/>
        <v>997794.8</v>
      </c>
      <c r="I66" s="7">
        <f>прил.6!J598</f>
        <v>0</v>
      </c>
      <c r="J66" s="35">
        <f t="shared" si="2"/>
        <v>997794.8</v>
      </c>
      <c r="K66" s="7">
        <f>прил.6!L598</f>
        <v>0</v>
      </c>
      <c r="L66" s="35">
        <f t="shared" si="3"/>
        <v>997794.8</v>
      </c>
      <c r="M66" s="7">
        <f>прил.6!N598</f>
        <v>0</v>
      </c>
      <c r="N66" s="35">
        <f t="shared" si="4"/>
        <v>997794.8</v>
      </c>
      <c r="O66" s="7">
        <f>прил.6!P598</f>
        <v>0</v>
      </c>
      <c r="P66" s="35">
        <f t="shared" si="5"/>
        <v>997794.8</v>
      </c>
      <c r="Q66" s="7">
        <f>прил.6!R598</f>
        <v>28969.300000000003</v>
      </c>
      <c r="R66" s="35">
        <f t="shared" si="6"/>
        <v>1026764.1000000001</v>
      </c>
      <c r="S66" s="7">
        <f>прил.6!T598</f>
        <v>16536.800000000003</v>
      </c>
      <c r="T66" s="35">
        <f t="shared" si="7"/>
        <v>1043300.9000000001</v>
      </c>
    </row>
    <row r="67" spans="1:20" ht="22.5" customHeight="1">
      <c r="A67" s="61" t="str">
        <f ca="1">IF(ISERROR(MATCH(E67,Код_КВР,0)),"",INDIRECT(ADDRESS(MATCH(E67,Код_КВР,0)+1,2,,,"КВР")))</f>
        <v>Субсидии автономным учреждениям</v>
      </c>
      <c r="B67" s="43" t="s">
        <v>427</v>
      </c>
      <c r="C67" s="8" t="s">
        <v>195</v>
      </c>
      <c r="D67" s="1" t="s">
        <v>213</v>
      </c>
      <c r="E67" s="104">
        <v>620</v>
      </c>
      <c r="F67" s="7">
        <f>F68</f>
        <v>63454.9</v>
      </c>
      <c r="G67" s="7">
        <f>G68</f>
        <v>0</v>
      </c>
      <c r="H67" s="35">
        <f t="shared" si="1"/>
        <v>63454.9</v>
      </c>
      <c r="I67" s="7">
        <f>I68</f>
        <v>0</v>
      </c>
      <c r="J67" s="35">
        <f t="shared" si="2"/>
        <v>63454.9</v>
      </c>
      <c r="K67" s="7">
        <f>K68</f>
        <v>0</v>
      </c>
      <c r="L67" s="35">
        <f t="shared" si="3"/>
        <v>63454.9</v>
      </c>
      <c r="M67" s="7">
        <f>M68</f>
        <v>0</v>
      </c>
      <c r="N67" s="35">
        <f t="shared" si="4"/>
        <v>63454.9</v>
      </c>
      <c r="O67" s="7">
        <f>O68</f>
        <v>0</v>
      </c>
      <c r="P67" s="35">
        <f t="shared" si="5"/>
        <v>63454.9</v>
      </c>
      <c r="Q67" s="7">
        <f>Q68</f>
        <v>1680.5</v>
      </c>
      <c r="R67" s="35">
        <f t="shared" si="6"/>
        <v>65135.4</v>
      </c>
      <c r="S67" s="7">
        <f>S68</f>
        <v>-3230.8</v>
      </c>
      <c r="T67" s="35">
        <f t="shared" si="7"/>
        <v>61904.6</v>
      </c>
    </row>
    <row r="68" spans="1:20" ht="52.7" customHeight="1">
      <c r="A68" s="61" t="str">
        <f ca="1">IF(ISERROR(MATCH(E68,Код_КВР,0)),"",INDIRECT(ADDRESS(MATCH(E68,Код_КВР,0)+1,2,,,"КВР")))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8" s="43" t="s">
        <v>427</v>
      </c>
      <c r="C68" s="8" t="s">
        <v>195</v>
      </c>
      <c r="D68" s="1" t="s">
        <v>213</v>
      </c>
      <c r="E68" s="104">
        <v>621</v>
      </c>
      <c r="F68" s="7">
        <f>прил.6!G600</f>
        <v>63454.9</v>
      </c>
      <c r="G68" s="7">
        <f>прил.6!H600</f>
        <v>0</v>
      </c>
      <c r="H68" s="35">
        <f t="shared" si="1"/>
        <v>63454.9</v>
      </c>
      <c r="I68" s="7">
        <f>прил.6!J600</f>
        <v>0</v>
      </c>
      <c r="J68" s="35">
        <f t="shared" si="2"/>
        <v>63454.9</v>
      </c>
      <c r="K68" s="7">
        <f>прил.6!L600</f>
        <v>0</v>
      </c>
      <c r="L68" s="35">
        <f t="shared" si="3"/>
        <v>63454.9</v>
      </c>
      <c r="M68" s="7">
        <f>прил.6!N600</f>
        <v>0</v>
      </c>
      <c r="N68" s="35">
        <f t="shared" si="4"/>
        <v>63454.9</v>
      </c>
      <c r="O68" s="7">
        <f>прил.6!P600</f>
        <v>0</v>
      </c>
      <c r="P68" s="35">
        <f t="shared" si="5"/>
        <v>63454.9</v>
      </c>
      <c r="Q68" s="7">
        <f>прил.6!R600</f>
        <v>1680.5</v>
      </c>
      <c r="R68" s="35">
        <f t="shared" si="6"/>
        <v>65135.4</v>
      </c>
      <c r="S68" s="7">
        <f>прил.6!T600</f>
        <v>-3230.8</v>
      </c>
      <c r="T68" s="35">
        <f t="shared" si="7"/>
        <v>61904.6</v>
      </c>
    </row>
    <row r="69" spans="1:20" ht="69.75" customHeight="1">
      <c r="A69" s="61" t="str">
        <f ca="1">IF(ISERROR(MATCH(B69,Код_КЦСР,0)),"",INDIRECT(ADDRESS(MATCH(B69,Код_КЦСР,0)+1,2,,,"КЦСР")))</f>
        <v>Оказание содействия родителям (законным представителям) детей, посещающих дошкольные образовательные учреждения, реализующие основную образовательную программу дошкольного образования за счет субвенций из областного бюджета</v>
      </c>
      <c r="B69" s="43" t="s">
        <v>429</v>
      </c>
      <c r="C69" s="8"/>
      <c r="D69" s="1"/>
      <c r="E69" s="104"/>
      <c r="F69" s="7">
        <f t="shared" ref="F69:S73" si="14">F70</f>
        <v>63969.3</v>
      </c>
      <c r="G69" s="7">
        <f t="shared" si="14"/>
        <v>0</v>
      </c>
      <c r="H69" s="35">
        <f t="shared" si="1"/>
        <v>63969.3</v>
      </c>
      <c r="I69" s="7">
        <f t="shared" si="14"/>
        <v>0</v>
      </c>
      <c r="J69" s="35">
        <f t="shared" si="2"/>
        <v>63969.3</v>
      </c>
      <c r="K69" s="7">
        <f t="shared" si="14"/>
        <v>0</v>
      </c>
      <c r="L69" s="35">
        <f t="shared" si="3"/>
        <v>63969.3</v>
      </c>
      <c r="M69" s="7">
        <f t="shared" si="14"/>
        <v>0</v>
      </c>
      <c r="N69" s="35">
        <f t="shared" si="4"/>
        <v>63969.3</v>
      </c>
      <c r="O69" s="7">
        <f t="shared" si="14"/>
        <v>0</v>
      </c>
      <c r="P69" s="35">
        <f t="shared" si="5"/>
        <v>63969.3</v>
      </c>
      <c r="Q69" s="7">
        <f t="shared" si="14"/>
        <v>-6403.7</v>
      </c>
      <c r="R69" s="35">
        <f t="shared" si="6"/>
        <v>57565.600000000006</v>
      </c>
      <c r="S69" s="7">
        <f t="shared" si="14"/>
        <v>2116.4</v>
      </c>
      <c r="T69" s="35">
        <f t="shared" si="7"/>
        <v>59682.000000000007</v>
      </c>
    </row>
    <row r="70" spans="1:20" ht="22.5" customHeight="1">
      <c r="A70" s="61" t="str">
        <f ca="1">IF(ISERROR(MATCH(C70,Код_Раздел,0)),"",INDIRECT(ADDRESS(MATCH(C70,Код_Раздел,0)+1,2,,,"Раздел")))</f>
        <v>Социальная политика</v>
      </c>
      <c r="B70" s="43" t="s">
        <v>429</v>
      </c>
      <c r="C70" s="8" t="s">
        <v>188</v>
      </c>
      <c r="D70" s="1"/>
      <c r="E70" s="104"/>
      <c r="F70" s="7">
        <f t="shared" si="14"/>
        <v>63969.3</v>
      </c>
      <c r="G70" s="7">
        <f t="shared" si="14"/>
        <v>0</v>
      </c>
      <c r="H70" s="35">
        <f t="shared" si="1"/>
        <v>63969.3</v>
      </c>
      <c r="I70" s="7">
        <f t="shared" si="14"/>
        <v>0</v>
      </c>
      <c r="J70" s="35">
        <f t="shared" si="2"/>
        <v>63969.3</v>
      </c>
      <c r="K70" s="7">
        <f t="shared" si="14"/>
        <v>0</v>
      </c>
      <c r="L70" s="35">
        <f t="shared" si="3"/>
        <v>63969.3</v>
      </c>
      <c r="M70" s="7">
        <f t="shared" si="14"/>
        <v>0</v>
      </c>
      <c r="N70" s="35">
        <f t="shared" si="4"/>
        <v>63969.3</v>
      </c>
      <c r="O70" s="7">
        <f t="shared" si="14"/>
        <v>0</v>
      </c>
      <c r="P70" s="35">
        <f t="shared" si="5"/>
        <v>63969.3</v>
      </c>
      <c r="Q70" s="7">
        <f t="shared" si="14"/>
        <v>-6403.7</v>
      </c>
      <c r="R70" s="35">
        <f t="shared" si="6"/>
        <v>57565.600000000006</v>
      </c>
      <c r="S70" s="7">
        <f t="shared" si="14"/>
        <v>2116.4</v>
      </c>
      <c r="T70" s="35">
        <f t="shared" si="7"/>
        <v>59682.000000000007</v>
      </c>
    </row>
    <row r="71" spans="1:20" ht="18.75" customHeight="1">
      <c r="A71" s="76" t="s">
        <v>204</v>
      </c>
      <c r="B71" s="43" t="s">
        <v>429</v>
      </c>
      <c r="C71" s="8" t="s">
        <v>188</v>
      </c>
      <c r="D71" s="1" t="s">
        <v>216</v>
      </c>
      <c r="E71" s="104"/>
      <c r="F71" s="7">
        <f t="shared" si="14"/>
        <v>63969.3</v>
      </c>
      <c r="G71" s="7">
        <f t="shared" si="14"/>
        <v>0</v>
      </c>
      <c r="H71" s="35">
        <f t="shared" si="1"/>
        <v>63969.3</v>
      </c>
      <c r="I71" s="7">
        <f t="shared" si="14"/>
        <v>0</v>
      </c>
      <c r="J71" s="35">
        <f t="shared" si="2"/>
        <v>63969.3</v>
      </c>
      <c r="K71" s="7">
        <f t="shared" si="14"/>
        <v>0</v>
      </c>
      <c r="L71" s="35">
        <f t="shared" si="3"/>
        <v>63969.3</v>
      </c>
      <c r="M71" s="7">
        <f t="shared" si="14"/>
        <v>0</v>
      </c>
      <c r="N71" s="35">
        <f t="shared" si="4"/>
        <v>63969.3</v>
      </c>
      <c r="O71" s="7">
        <f t="shared" si="14"/>
        <v>0</v>
      </c>
      <c r="P71" s="35">
        <f t="shared" si="5"/>
        <v>63969.3</v>
      </c>
      <c r="Q71" s="7">
        <f t="shared" si="14"/>
        <v>-6403.7</v>
      </c>
      <c r="R71" s="35">
        <f t="shared" si="6"/>
        <v>57565.600000000006</v>
      </c>
      <c r="S71" s="7">
        <f t="shared" si="14"/>
        <v>2116.4</v>
      </c>
      <c r="T71" s="35">
        <f t="shared" si="7"/>
        <v>59682.000000000007</v>
      </c>
    </row>
    <row r="72" spans="1:20" ht="22.5" customHeight="1">
      <c r="A72" s="61" t="str">
        <f ca="1">IF(ISERROR(MATCH(E72,Код_КВР,0)),"",INDIRECT(ADDRESS(MATCH(E72,Код_КВР,0)+1,2,,,"КВР")))</f>
        <v>Социальное обеспечение и иные выплаты населению</v>
      </c>
      <c r="B72" s="43" t="s">
        <v>429</v>
      </c>
      <c r="C72" s="8" t="s">
        <v>188</v>
      </c>
      <c r="D72" s="1" t="s">
        <v>216</v>
      </c>
      <c r="E72" s="104">
        <v>300</v>
      </c>
      <c r="F72" s="7">
        <f t="shared" si="14"/>
        <v>63969.3</v>
      </c>
      <c r="G72" s="7">
        <f t="shared" si="14"/>
        <v>0</v>
      </c>
      <c r="H72" s="35">
        <f t="shared" si="1"/>
        <v>63969.3</v>
      </c>
      <c r="I72" s="7">
        <f t="shared" si="14"/>
        <v>0</v>
      </c>
      <c r="J72" s="35">
        <f t="shared" si="2"/>
        <v>63969.3</v>
      </c>
      <c r="K72" s="7">
        <f t="shared" si="14"/>
        <v>0</v>
      </c>
      <c r="L72" s="35">
        <f t="shared" si="3"/>
        <v>63969.3</v>
      </c>
      <c r="M72" s="7">
        <f t="shared" si="14"/>
        <v>0</v>
      </c>
      <c r="N72" s="35">
        <f t="shared" si="4"/>
        <v>63969.3</v>
      </c>
      <c r="O72" s="7">
        <f t="shared" si="14"/>
        <v>0</v>
      </c>
      <c r="P72" s="35">
        <f t="shared" si="5"/>
        <v>63969.3</v>
      </c>
      <c r="Q72" s="7">
        <f t="shared" si="14"/>
        <v>-6403.7</v>
      </c>
      <c r="R72" s="35">
        <f t="shared" si="6"/>
        <v>57565.600000000006</v>
      </c>
      <c r="S72" s="7">
        <f t="shared" si="14"/>
        <v>2116.4</v>
      </c>
      <c r="T72" s="35">
        <f t="shared" si="7"/>
        <v>59682.000000000007</v>
      </c>
    </row>
    <row r="73" spans="1:20" ht="36.75" customHeight="1">
      <c r="A73" s="61" t="str">
        <f ca="1">IF(ISERROR(MATCH(E73,Код_КВР,0)),"",INDIRECT(ADDRESS(MATCH(E73,Код_КВР,0)+1,2,,,"КВР")))</f>
        <v>Социальные выплаты гражданам, кроме публичных нормативных социальных выплат</v>
      </c>
      <c r="B73" s="43" t="s">
        <v>429</v>
      </c>
      <c r="C73" s="8" t="s">
        <v>188</v>
      </c>
      <c r="D73" s="1" t="s">
        <v>216</v>
      </c>
      <c r="E73" s="104">
        <v>320</v>
      </c>
      <c r="F73" s="7">
        <f t="shared" si="14"/>
        <v>63969.3</v>
      </c>
      <c r="G73" s="7">
        <f t="shared" si="14"/>
        <v>0</v>
      </c>
      <c r="H73" s="35">
        <f t="shared" si="1"/>
        <v>63969.3</v>
      </c>
      <c r="I73" s="7">
        <f t="shared" si="14"/>
        <v>0</v>
      </c>
      <c r="J73" s="35">
        <f t="shared" si="2"/>
        <v>63969.3</v>
      </c>
      <c r="K73" s="7">
        <f t="shared" si="14"/>
        <v>0</v>
      </c>
      <c r="L73" s="35">
        <f t="shared" si="3"/>
        <v>63969.3</v>
      </c>
      <c r="M73" s="7">
        <f t="shared" si="14"/>
        <v>0</v>
      </c>
      <c r="N73" s="35">
        <f t="shared" si="4"/>
        <v>63969.3</v>
      </c>
      <c r="O73" s="7">
        <f t="shared" si="14"/>
        <v>0</v>
      </c>
      <c r="P73" s="35">
        <f t="shared" si="5"/>
        <v>63969.3</v>
      </c>
      <c r="Q73" s="7">
        <f t="shared" si="14"/>
        <v>-6403.7</v>
      </c>
      <c r="R73" s="35">
        <f t="shared" si="6"/>
        <v>57565.600000000006</v>
      </c>
      <c r="S73" s="7">
        <f t="shared" si="14"/>
        <v>2116.4</v>
      </c>
      <c r="T73" s="35">
        <f t="shared" si="7"/>
        <v>59682.000000000007</v>
      </c>
    </row>
    <row r="74" spans="1:20" ht="37.5" customHeight="1">
      <c r="A74" s="61" t="str">
        <f ca="1">IF(ISERROR(MATCH(E74,Код_КВР,0)),"",INDIRECT(ADDRESS(MATCH(E74,Код_КВР,0)+1,2,,,"КВР")))</f>
        <v>Пособия, компенсации и иные социальные выплаты гражданам, кроме публичных нормативных обязательств</v>
      </c>
      <c r="B74" s="43" t="s">
        <v>429</v>
      </c>
      <c r="C74" s="8" t="s">
        <v>188</v>
      </c>
      <c r="D74" s="1" t="s">
        <v>216</v>
      </c>
      <c r="E74" s="104">
        <v>321</v>
      </c>
      <c r="F74" s="7">
        <f>прил.6!G844</f>
        <v>63969.3</v>
      </c>
      <c r="G74" s="7">
        <f>прил.6!H844</f>
        <v>0</v>
      </c>
      <c r="H74" s="35">
        <f t="shared" si="1"/>
        <v>63969.3</v>
      </c>
      <c r="I74" s="7">
        <f>прил.6!J844</f>
        <v>0</v>
      </c>
      <c r="J74" s="35">
        <f t="shared" si="2"/>
        <v>63969.3</v>
      </c>
      <c r="K74" s="7">
        <f>прил.6!L844</f>
        <v>0</v>
      </c>
      <c r="L74" s="35">
        <f t="shared" si="3"/>
        <v>63969.3</v>
      </c>
      <c r="M74" s="7">
        <f>прил.6!N844</f>
        <v>0</v>
      </c>
      <c r="N74" s="35">
        <f t="shared" si="4"/>
        <v>63969.3</v>
      </c>
      <c r="O74" s="7">
        <f>прил.6!P844</f>
        <v>0</v>
      </c>
      <c r="P74" s="35">
        <f t="shared" si="5"/>
        <v>63969.3</v>
      </c>
      <c r="Q74" s="7">
        <f>прил.6!R844</f>
        <v>-6403.7</v>
      </c>
      <c r="R74" s="35">
        <f t="shared" si="6"/>
        <v>57565.600000000006</v>
      </c>
      <c r="S74" s="7">
        <f>прил.6!T844</f>
        <v>2116.4</v>
      </c>
      <c r="T74" s="35">
        <f t="shared" si="7"/>
        <v>59682.000000000007</v>
      </c>
    </row>
    <row r="75" spans="1:20" ht="20.25" customHeight="1">
      <c r="A75" s="61" t="str">
        <f ca="1">IF(ISERROR(MATCH(B75,Код_КЦСР,0)),"",INDIRECT(ADDRESS(MATCH(B75,Код_КЦСР,0)+1,2,,,"КЦСР")))</f>
        <v>Общее образование</v>
      </c>
      <c r="B75" s="43" t="s">
        <v>280</v>
      </c>
      <c r="C75" s="8"/>
      <c r="D75" s="1"/>
      <c r="E75" s="104"/>
      <c r="F75" s="7">
        <f>F76+F84+F90+F96+F106+F112</f>
        <v>1347878.2</v>
      </c>
      <c r="G75" s="7">
        <f>G76+G84+G90+G96+G106+G112</f>
        <v>0</v>
      </c>
      <c r="H75" s="35">
        <f t="shared" si="1"/>
        <v>1347878.2</v>
      </c>
      <c r="I75" s="7">
        <f>I76+I84+I90+I96+I106+I112</f>
        <v>0</v>
      </c>
      <c r="J75" s="35">
        <f t="shared" si="2"/>
        <v>1347878.2</v>
      </c>
      <c r="K75" s="7">
        <f>K76+K84+K90+K96+K106+K112</f>
        <v>0</v>
      </c>
      <c r="L75" s="35">
        <f t="shared" si="3"/>
        <v>1347878.2</v>
      </c>
      <c r="M75" s="7">
        <f>M76+M84+M90+M96+M106+M112</f>
        <v>-2877.3</v>
      </c>
      <c r="N75" s="35">
        <f t="shared" si="4"/>
        <v>1345000.9</v>
      </c>
      <c r="O75" s="7">
        <f>O76+O84+O90+O96+O106+O112</f>
        <v>10</v>
      </c>
      <c r="P75" s="35">
        <f t="shared" si="5"/>
        <v>1345010.9</v>
      </c>
      <c r="Q75" s="7">
        <f>Q76+Q84+Q90+Q96+Q106+Q112</f>
        <v>6660.5</v>
      </c>
      <c r="R75" s="35">
        <f t="shared" si="6"/>
        <v>1351671.4</v>
      </c>
      <c r="S75" s="7">
        <f>S76+S84+S90+S96+S106+S112</f>
        <v>6172.5000000000009</v>
      </c>
      <c r="T75" s="35">
        <f t="shared" si="7"/>
        <v>1357843.9</v>
      </c>
    </row>
    <row r="76" spans="1:20" ht="56.25" customHeight="1">
      <c r="A76" s="61" t="str">
        <f ca="1">IF(ISERROR(MATCH(B76,Код_КЦСР,0)),"",INDIRECT(ADDRESS(MATCH(B76,Код_КЦСР,0)+1,2,,,"КЦСР")))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</v>
      </c>
      <c r="B76" s="43" t="s">
        <v>281</v>
      </c>
      <c r="C76" s="8"/>
      <c r="D76" s="1"/>
      <c r="E76" s="104"/>
      <c r="F76" s="7">
        <f t="shared" ref="F76:S78" si="15">F77</f>
        <v>159038.20000000001</v>
      </c>
      <c r="G76" s="7">
        <f t="shared" si="15"/>
        <v>0</v>
      </c>
      <c r="H76" s="35">
        <f t="shared" si="1"/>
        <v>159038.20000000001</v>
      </c>
      <c r="I76" s="7">
        <f t="shared" si="15"/>
        <v>0</v>
      </c>
      <c r="J76" s="35">
        <f t="shared" si="2"/>
        <v>159038.20000000001</v>
      </c>
      <c r="K76" s="7">
        <f t="shared" si="15"/>
        <v>0</v>
      </c>
      <c r="L76" s="35">
        <f t="shared" si="3"/>
        <v>159038.20000000001</v>
      </c>
      <c r="M76" s="7">
        <f t="shared" si="15"/>
        <v>-2877.3</v>
      </c>
      <c r="N76" s="35">
        <f t="shared" si="4"/>
        <v>156160.90000000002</v>
      </c>
      <c r="O76" s="7">
        <f t="shared" si="15"/>
        <v>0</v>
      </c>
      <c r="P76" s="35">
        <f t="shared" si="5"/>
        <v>156160.90000000002</v>
      </c>
      <c r="Q76" s="7">
        <f t="shared" si="15"/>
        <v>0</v>
      </c>
      <c r="R76" s="35">
        <f t="shared" si="6"/>
        <v>156160.90000000002</v>
      </c>
      <c r="S76" s="7">
        <f t="shared" si="15"/>
        <v>0</v>
      </c>
      <c r="T76" s="35">
        <f t="shared" si="7"/>
        <v>156160.90000000002</v>
      </c>
    </row>
    <row r="77" spans="1:20" ht="22.5" customHeight="1">
      <c r="A77" s="61" t="str">
        <f ca="1">IF(ISERROR(MATCH(C77,Код_Раздел,0)),"",INDIRECT(ADDRESS(MATCH(C77,Код_Раздел,0)+1,2,,,"Раздел")))</f>
        <v>Образование</v>
      </c>
      <c r="B77" s="43" t="s">
        <v>281</v>
      </c>
      <c r="C77" s="8" t="s">
        <v>195</v>
      </c>
      <c r="D77" s="1"/>
      <c r="E77" s="104"/>
      <c r="F77" s="7">
        <f t="shared" si="15"/>
        <v>159038.20000000001</v>
      </c>
      <c r="G77" s="7">
        <f t="shared" si="15"/>
        <v>0</v>
      </c>
      <c r="H77" s="35">
        <f t="shared" si="1"/>
        <v>159038.20000000001</v>
      </c>
      <c r="I77" s="7">
        <f t="shared" si="15"/>
        <v>0</v>
      </c>
      <c r="J77" s="35">
        <f t="shared" si="2"/>
        <v>159038.20000000001</v>
      </c>
      <c r="K77" s="7">
        <f t="shared" si="15"/>
        <v>0</v>
      </c>
      <c r="L77" s="35">
        <f t="shared" si="3"/>
        <v>159038.20000000001</v>
      </c>
      <c r="M77" s="7">
        <f t="shared" si="15"/>
        <v>-2877.3</v>
      </c>
      <c r="N77" s="35">
        <f t="shared" si="4"/>
        <v>156160.90000000002</v>
      </c>
      <c r="O77" s="7">
        <f t="shared" si="15"/>
        <v>0</v>
      </c>
      <c r="P77" s="35">
        <f t="shared" si="5"/>
        <v>156160.90000000002</v>
      </c>
      <c r="Q77" s="7">
        <f t="shared" si="15"/>
        <v>0</v>
      </c>
      <c r="R77" s="35">
        <f t="shared" si="6"/>
        <v>156160.90000000002</v>
      </c>
      <c r="S77" s="7">
        <f t="shared" si="15"/>
        <v>0</v>
      </c>
      <c r="T77" s="35">
        <f t="shared" si="7"/>
        <v>156160.90000000002</v>
      </c>
    </row>
    <row r="78" spans="1:20" ht="23.25" customHeight="1">
      <c r="A78" s="12" t="s">
        <v>250</v>
      </c>
      <c r="B78" s="43" t="s">
        <v>281</v>
      </c>
      <c r="C78" s="8" t="s">
        <v>195</v>
      </c>
      <c r="D78" s="1" t="s">
        <v>214</v>
      </c>
      <c r="E78" s="104"/>
      <c r="F78" s="7">
        <f t="shared" si="15"/>
        <v>159038.20000000001</v>
      </c>
      <c r="G78" s="7">
        <f t="shared" si="15"/>
        <v>0</v>
      </c>
      <c r="H78" s="35">
        <f t="shared" si="1"/>
        <v>159038.20000000001</v>
      </c>
      <c r="I78" s="7">
        <f t="shared" si="15"/>
        <v>0</v>
      </c>
      <c r="J78" s="35">
        <f t="shared" si="2"/>
        <v>159038.20000000001</v>
      </c>
      <c r="K78" s="7">
        <f t="shared" si="15"/>
        <v>0</v>
      </c>
      <c r="L78" s="35">
        <f t="shared" si="3"/>
        <v>159038.20000000001</v>
      </c>
      <c r="M78" s="7">
        <f t="shared" si="15"/>
        <v>-2877.3</v>
      </c>
      <c r="N78" s="35">
        <f t="shared" si="4"/>
        <v>156160.90000000002</v>
      </c>
      <c r="O78" s="7">
        <f t="shared" si="15"/>
        <v>0</v>
      </c>
      <c r="P78" s="35">
        <f t="shared" si="5"/>
        <v>156160.90000000002</v>
      </c>
      <c r="Q78" s="7">
        <f t="shared" si="15"/>
        <v>0</v>
      </c>
      <c r="R78" s="35">
        <f t="shared" si="6"/>
        <v>156160.90000000002</v>
      </c>
      <c r="S78" s="7">
        <f t="shared" si="15"/>
        <v>0</v>
      </c>
      <c r="T78" s="35">
        <f t="shared" si="7"/>
        <v>156160.90000000002</v>
      </c>
    </row>
    <row r="79" spans="1:20" ht="36.75" customHeight="1">
      <c r="A79" s="61" t="str">
        <f ca="1">IF(ISERROR(MATCH(E79,Код_КВР,0)),"",INDIRECT(ADDRESS(MATCH(E79,Код_КВР,0)+1,2,,,"КВР")))</f>
        <v>Предоставление субсидий бюджетным, автономным учреждениям и иным некоммерческим организациям</v>
      </c>
      <c r="B79" s="43" t="s">
        <v>281</v>
      </c>
      <c r="C79" s="8" t="s">
        <v>195</v>
      </c>
      <c r="D79" s="1" t="s">
        <v>214</v>
      </c>
      <c r="E79" s="104">
        <v>600</v>
      </c>
      <c r="F79" s="7">
        <f>F80+F82</f>
        <v>159038.20000000001</v>
      </c>
      <c r="G79" s="7">
        <f>G80+G82</f>
        <v>0</v>
      </c>
      <c r="H79" s="35">
        <f t="shared" si="1"/>
        <v>159038.20000000001</v>
      </c>
      <c r="I79" s="7">
        <f>I80+I82</f>
        <v>0</v>
      </c>
      <c r="J79" s="35">
        <f t="shared" si="2"/>
        <v>159038.20000000001</v>
      </c>
      <c r="K79" s="7">
        <f>K80+K82</f>
        <v>0</v>
      </c>
      <c r="L79" s="35">
        <f t="shared" si="3"/>
        <v>159038.20000000001</v>
      </c>
      <c r="M79" s="7">
        <f>M80+M82</f>
        <v>-2877.3</v>
      </c>
      <c r="N79" s="35">
        <f t="shared" si="4"/>
        <v>156160.90000000002</v>
      </c>
      <c r="O79" s="7">
        <f>O80+O82</f>
        <v>0</v>
      </c>
      <c r="P79" s="35">
        <f t="shared" si="5"/>
        <v>156160.90000000002</v>
      </c>
      <c r="Q79" s="7">
        <f>Q80+Q82</f>
        <v>0</v>
      </c>
      <c r="R79" s="35">
        <f t="shared" si="6"/>
        <v>156160.90000000002</v>
      </c>
      <c r="S79" s="7">
        <f>S80+S82</f>
        <v>0</v>
      </c>
      <c r="T79" s="35">
        <f t="shared" si="7"/>
        <v>156160.90000000002</v>
      </c>
    </row>
    <row r="80" spans="1:20" ht="23.25" customHeight="1">
      <c r="A80" s="61" t="str">
        <f ca="1">IF(ISERROR(MATCH(E80,Код_КВР,0)),"",INDIRECT(ADDRESS(MATCH(E80,Код_КВР,0)+1,2,,,"КВР")))</f>
        <v>Субсидии бюджетным учреждениям</v>
      </c>
      <c r="B80" s="43" t="s">
        <v>281</v>
      </c>
      <c r="C80" s="8" t="s">
        <v>195</v>
      </c>
      <c r="D80" s="1" t="s">
        <v>214</v>
      </c>
      <c r="E80" s="104">
        <v>610</v>
      </c>
      <c r="F80" s="7">
        <f>F81</f>
        <v>155778.5</v>
      </c>
      <c r="G80" s="7">
        <f>G81</f>
        <v>0</v>
      </c>
      <c r="H80" s="35">
        <f t="shared" si="1"/>
        <v>155778.5</v>
      </c>
      <c r="I80" s="7">
        <f>I81</f>
        <v>0</v>
      </c>
      <c r="J80" s="35">
        <f t="shared" si="2"/>
        <v>155778.5</v>
      </c>
      <c r="K80" s="7">
        <f>K81</f>
        <v>0</v>
      </c>
      <c r="L80" s="35">
        <f t="shared" si="3"/>
        <v>155778.5</v>
      </c>
      <c r="M80" s="7">
        <f>M81</f>
        <v>-2877.3</v>
      </c>
      <c r="N80" s="35">
        <f t="shared" si="4"/>
        <v>152901.20000000001</v>
      </c>
      <c r="O80" s="7">
        <f>O81</f>
        <v>0</v>
      </c>
      <c r="P80" s="35">
        <f t="shared" si="5"/>
        <v>152901.20000000001</v>
      </c>
      <c r="Q80" s="7">
        <f>Q81</f>
        <v>0</v>
      </c>
      <c r="R80" s="35">
        <f t="shared" si="6"/>
        <v>152901.20000000001</v>
      </c>
      <c r="S80" s="7">
        <f>S81</f>
        <v>0</v>
      </c>
      <c r="T80" s="35">
        <f t="shared" si="7"/>
        <v>152901.20000000001</v>
      </c>
    </row>
    <row r="81" spans="1:20" ht="54.75" customHeight="1">
      <c r="A81" s="61" t="str">
        <f ca="1">IF(ISERROR(MATCH(E81,Код_КВР,0)),"",INDIRECT(ADDRESS(MATCH(E81,Код_КВР,0)+1,2,,,"КВР")))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81" s="43" t="s">
        <v>281</v>
      </c>
      <c r="C81" s="8" t="s">
        <v>195</v>
      </c>
      <c r="D81" s="1" t="s">
        <v>214</v>
      </c>
      <c r="E81" s="104">
        <v>611</v>
      </c>
      <c r="F81" s="7">
        <f>прил.6!G632</f>
        <v>155778.5</v>
      </c>
      <c r="G81" s="7">
        <f>прил.6!H632</f>
        <v>0</v>
      </c>
      <c r="H81" s="35">
        <f t="shared" si="1"/>
        <v>155778.5</v>
      </c>
      <c r="I81" s="7">
        <f>прил.6!J632</f>
        <v>0</v>
      </c>
      <c r="J81" s="35">
        <f t="shared" si="2"/>
        <v>155778.5</v>
      </c>
      <c r="K81" s="7">
        <f>прил.6!L632</f>
        <v>0</v>
      </c>
      <c r="L81" s="35">
        <f t="shared" si="3"/>
        <v>155778.5</v>
      </c>
      <c r="M81" s="7">
        <f>прил.6!N632</f>
        <v>-2877.3</v>
      </c>
      <c r="N81" s="35">
        <f t="shared" si="4"/>
        <v>152901.20000000001</v>
      </c>
      <c r="O81" s="7">
        <f>прил.6!P632</f>
        <v>0</v>
      </c>
      <c r="P81" s="35">
        <f t="shared" si="5"/>
        <v>152901.20000000001</v>
      </c>
      <c r="Q81" s="7">
        <f>прил.6!R632</f>
        <v>0</v>
      </c>
      <c r="R81" s="35">
        <f t="shared" si="6"/>
        <v>152901.20000000001</v>
      </c>
      <c r="S81" s="7">
        <f>прил.6!T632</f>
        <v>0</v>
      </c>
      <c r="T81" s="35">
        <f t="shared" si="7"/>
        <v>152901.20000000001</v>
      </c>
    </row>
    <row r="82" spans="1:20" ht="18.75" customHeight="1">
      <c r="A82" s="61" t="str">
        <f ca="1">IF(ISERROR(MATCH(E82,Код_КВР,0)),"",INDIRECT(ADDRESS(MATCH(E82,Код_КВР,0)+1,2,,,"КВР")))</f>
        <v>Субсидии автономным учреждениям</v>
      </c>
      <c r="B82" s="43" t="s">
        <v>281</v>
      </c>
      <c r="C82" s="8" t="s">
        <v>195</v>
      </c>
      <c r="D82" s="1" t="s">
        <v>214</v>
      </c>
      <c r="E82" s="104">
        <v>620</v>
      </c>
      <c r="F82" s="7">
        <f>F83</f>
        <v>3259.7</v>
      </c>
      <c r="G82" s="7">
        <f>G83</f>
        <v>0</v>
      </c>
      <c r="H82" s="35">
        <f t="shared" si="1"/>
        <v>3259.7</v>
      </c>
      <c r="I82" s="7">
        <f>I83</f>
        <v>0</v>
      </c>
      <c r="J82" s="35">
        <f t="shared" si="2"/>
        <v>3259.7</v>
      </c>
      <c r="K82" s="7">
        <f>K83</f>
        <v>0</v>
      </c>
      <c r="L82" s="35">
        <f t="shared" si="3"/>
        <v>3259.7</v>
      </c>
      <c r="M82" s="7">
        <f>M83</f>
        <v>0</v>
      </c>
      <c r="N82" s="35">
        <f t="shared" si="4"/>
        <v>3259.7</v>
      </c>
      <c r="O82" s="7">
        <f>O83</f>
        <v>0</v>
      </c>
      <c r="P82" s="35">
        <f t="shared" si="5"/>
        <v>3259.7</v>
      </c>
      <c r="Q82" s="7">
        <f>Q83</f>
        <v>0</v>
      </c>
      <c r="R82" s="35">
        <f t="shared" si="6"/>
        <v>3259.7</v>
      </c>
      <c r="S82" s="7">
        <f>S83</f>
        <v>0</v>
      </c>
      <c r="T82" s="35">
        <f t="shared" si="7"/>
        <v>3259.7</v>
      </c>
    </row>
    <row r="83" spans="1:20" ht="56.25" customHeight="1">
      <c r="A83" s="61" t="str">
        <f ca="1">IF(ISERROR(MATCH(E83,Код_КВР,0)),"",INDIRECT(ADDRESS(MATCH(E83,Код_КВР,0)+1,2,,,"КВР")))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83" s="43" t="s">
        <v>281</v>
      </c>
      <c r="C83" s="8" t="s">
        <v>195</v>
      </c>
      <c r="D83" s="1" t="s">
        <v>214</v>
      </c>
      <c r="E83" s="104">
        <v>621</v>
      </c>
      <c r="F83" s="7">
        <f>прил.6!G634</f>
        <v>3259.7</v>
      </c>
      <c r="G83" s="7">
        <f>прил.6!H634</f>
        <v>0</v>
      </c>
      <c r="H83" s="35">
        <f t="shared" si="1"/>
        <v>3259.7</v>
      </c>
      <c r="I83" s="7">
        <f>прил.6!J634</f>
        <v>0</v>
      </c>
      <c r="J83" s="35">
        <f t="shared" si="2"/>
        <v>3259.7</v>
      </c>
      <c r="K83" s="7">
        <f>прил.6!L634</f>
        <v>0</v>
      </c>
      <c r="L83" s="35">
        <f t="shared" si="3"/>
        <v>3259.7</v>
      </c>
      <c r="M83" s="7">
        <f>прил.6!N634</f>
        <v>0</v>
      </c>
      <c r="N83" s="35">
        <f t="shared" si="4"/>
        <v>3259.7</v>
      </c>
      <c r="O83" s="7">
        <f>прил.6!P634</f>
        <v>0</v>
      </c>
      <c r="P83" s="35">
        <f t="shared" ref="P83:P154" si="16">N83+O83</f>
        <v>3259.7</v>
      </c>
      <c r="Q83" s="7">
        <f>прил.6!R634</f>
        <v>0</v>
      </c>
      <c r="R83" s="35">
        <f t="shared" ref="R83:R154" si="17">P83+Q83</f>
        <v>3259.7</v>
      </c>
      <c r="S83" s="7">
        <f>прил.6!T634</f>
        <v>0</v>
      </c>
      <c r="T83" s="35">
        <f t="shared" ref="T83:T146" si="18">R83+S83</f>
        <v>3259.7</v>
      </c>
    </row>
    <row r="84" spans="1:20" ht="87.75" customHeight="1">
      <c r="A84" s="61" t="str">
        <f ca="1">IF(ISERROR(MATCH(B84,Код_КЦСР,0)),"",INDIRECT(ADDRESS(MATCH(B84,Код_КЦСР,0)+1,2,,,"КЦСР")))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</v>
      </c>
      <c r="B84" s="43" t="s">
        <v>282</v>
      </c>
      <c r="C84" s="8"/>
      <c r="D84" s="1"/>
      <c r="E84" s="104"/>
      <c r="F84" s="7">
        <f t="shared" ref="F84:S88" si="19">F85</f>
        <v>8367.7000000000007</v>
      </c>
      <c r="G84" s="7">
        <f t="shared" si="19"/>
        <v>0</v>
      </c>
      <c r="H84" s="35">
        <f t="shared" si="1"/>
        <v>8367.7000000000007</v>
      </c>
      <c r="I84" s="7">
        <f t="shared" si="19"/>
        <v>0</v>
      </c>
      <c r="J84" s="35">
        <f t="shared" si="2"/>
        <v>8367.7000000000007</v>
      </c>
      <c r="K84" s="7">
        <f t="shared" si="19"/>
        <v>0</v>
      </c>
      <c r="L84" s="35">
        <f t="shared" si="3"/>
        <v>8367.7000000000007</v>
      </c>
      <c r="M84" s="7">
        <f t="shared" si="19"/>
        <v>0</v>
      </c>
      <c r="N84" s="35">
        <f t="shared" si="4"/>
        <v>8367.7000000000007</v>
      </c>
      <c r="O84" s="7">
        <f t="shared" si="19"/>
        <v>0</v>
      </c>
      <c r="P84" s="35">
        <f t="shared" si="16"/>
        <v>8367.7000000000007</v>
      </c>
      <c r="Q84" s="7">
        <f t="shared" si="19"/>
        <v>0</v>
      </c>
      <c r="R84" s="35">
        <f t="shared" si="17"/>
        <v>8367.7000000000007</v>
      </c>
      <c r="S84" s="7">
        <f t="shared" si="19"/>
        <v>-373.2</v>
      </c>
      <c r="T84" s="35">
        <f t="shared" si="18"/>
        <v>7994.5000000000009</v>
      </c>
    </row>
    <row r="85" spans="1:20" ht="21" customHeight="1">
      <c r="A85" s="61" t="str">
        <f ca="1">IF(ISERROR(MATCH(C85,Код_Раздел,0)),"",INDIRECT(ADDRESS(MATCH(C85,Код_Раздел,0)+1,2,,,"Раздел")))</f>
        <v>Образование</v>
      </c>
      <c r="B85" s="43" t="s">
        <v>282</v>
      </c>
      <c r="C85" s="8" t="s">
        <v>195</v>
      </c>
      <c r="D85" s="1"/>
      <c r="E85" s="104"/>
      <c r="F85" s="7">
        <f t="shared" si="19"/>
        <v>8367.7000000000007</v>
      </c>
      <c r="G85" s="7">
        <f t="shared" si="19"/>
        <v>0</v>
      </c>
      <c r="H85" s="35">
        <f t="shared" si="1"/>
        <v>8367.7000000000007</v>
      </c>
      <c r="I85" s="7">
        <f t="shared" si="19"/>
        <v>0</v>
      </c>
      <c r="J85" s="35">
        <f t="shared" si="2"/>
        <v>8367.7000000000007</v>
      </c>
      <c r="K85" s="7">
        <f t="shared" si="19"/>
        <v>0</v>
      </c>
      <c r="L85" s="35">
        <f t="shared" si="3"/>
        <v>8367.7000000000007</v>
      </c>
      <c r="M85" s="7">
        <f t="shared" si="19"/>
        <v>0</v>
      </c>
      <c r="N85" s="35">
        <f t="shared" si="4"/>
        <v>8367.7000000000007</v>
      </c>
      <c r="O85" s="7">
        <f t="shared" si="19"/>
        <v>0</v>
      </c>
      <c r="P85" s="35">
        <f t="shared" si="16"/>
        <v>8367.7000000000007</v>
      </c>
      <c r="Q85" s="7">
        <f t="shared" si="19"/>
        <v>0</v>
      </c>
      <c r="R85" s="35">
        <f t="shared" si="17"/>
        <v>8367.7000000000007</v>
      </c>
      <c r="S85" s="7">
        <f t="shared" si="19"/>
        <v>-373.2</v>
      </c>
      <c r="T85" s="35">
        <f t="shared" si="18"/>
        <v>7994.5000000000009</v>
      </c>
    </row>
    <row r="86" spans="1:20" ht="20.25" customHeight="1">
      <c r="A86" s="12" t="s">
        <v>250</v>
      </c>
      <c r="B86" s="43" t="s">
        <v>282</v>
      </c>
      <c r="C86" s="8" t="s">
        <v>195</v>
      </c>
      <c r="D86" s="1" t="s">
        <v>214</v>
      </c>
      <c r="E86" s="104"/>
      <c r="F86" s="7">
        <f t="shared" si="19"/>
        <v>8367.7000000000007</v>
      </c>
      <c r="G86" s="7">
        <f t="shared" si="19"/>
        <v>0</v>
      </c>
      <c r="H86" s="35">
        <f t="shared" si="1"/>
        <v>8367.7000000000007</v>
      </c>
      <c r="I86" s="7">
        <f t="shared" si="19"/>
        <v>0</v>
      </c>
      <c r="J86" s="35">
        <f t="shared" si="2"/>
        <v>8367.7000000000007</v>
      </c>
      <c r="K86" s="7">
        <f t="shared" si="19"/>
        <v>0</v>
      </c>
      <c r="L86" s="35">
        <f t="shared" si="3"/>
        <v>8367.7000000000007</v>
      </c>
      <c r="M86" s="7">
        <f t="shared" si="19"/>
        <v>0</v>
      </c>
      <c r="N86" s="35">
        <f t="shared" si="4"/>
        <v>8367.7000000000007</v>
      </c>
      <c r="O86" s="7">
        <f t="shared" si="19"/>
        <v>0</v>
      </c>
      <c r="P86" s="35">
        <f t="shared" si="16"/>
        <v>8367.7000000000007</v>
      </c>
      <c r="Q86" s="7">
        <f t="shared" si="19"/>
        <v>0</v>
      </c>
      <c r="R86" s="35">
        <f t="shared" si="17"/>
        <v>8367.7000000000007</v>
      </c>
      <c r="S86" s="7">
        <f t="shared" si="19"/>
        <v>-373.2</v>
      </c>
      <c r="T86" s="35">
        <f t="shared" si="18"/>
        <v>7994.5000000000009</v>
      </c>
    </row>
    <row r="87" spans="1:20" ht="36" customHeight="1">
      <c r="A87" s="61" t="str">
        <f ca="1">IF(ISERROR(MATCH(E87,Код_КВР,0)),"",INDIRECT(ADDRESS(MATCH(E87,Код_КВР,0)+1,2,,,"КВР")))</f>
        <v>Предоставление субсидий бюджетным, автономным учреждениям и иным некоммерческим организациям</v>
      </c>
      <c r="B87" s="43" t="s">
        <v>282</v>
      </c>
      <c r="C87" s="8" t="s">
        <v>195</v>
      </c>
      <c r="D87" s="1" t="s">
        <v>214</v>
      </c>
      <c r="E87" s="104">
        <v>600</v>
      </c>
      <c r="F87" s="7">
        <f t="shared" si="19"/>
        <v>8367.7000000000007</v>
      </c>
      <c r="G87" s="7">
        <f t="shared" si="19"/>
        <v>0</v>
      </c>
      <c r="H87" s="35">
        <f t="shared" si="1"/>
        <v>8367.7000000000007</v>
      </c>
      <c r="I87" s="7">
        <f t="shared" si="19"/>
        <v>0</v>
      </c>
      <c r="J87" s="35">
        <f t="shared" si="2"/>
        <v>8367.7000000000007</v>
      </c>
      <c r="K87" s="7">
        <f t="shared" si="19"/>
        <v>0</v>
      </c>
      <c r="L87" s="35">
        <f t="shared" si="3"/>
        <v>8367.7000000000007</v>
      </c>
      <c r="M87" s="7">
        <f t="shared" si="19"/>
        <v>0</v>
      </c>
      <c r="N87" s="35">
        <f t="shared" si="4"/>
        <v>8367.7000000000007</v>
      </c>
      <c r="O87" s="7">
        <f t="shared" si="19"/>
        <v>0</v>
      </c>
      <c r="P87" s="35">
        <f t="shared" si="16"/>
        <v>8367.7000000000007</v>
      </c>
      <c r="Q87" s="7">
        <f t="shared" si="19"/>
        <v>0</v>
      </c>
      <c r="R87" s="35">
        <f t="shared" si="17"/>
        <v>8367.7000000000007</v>
      </c>
      <c r="S87" s="7">
        <f t="shared" si="19"/>
        <v>-373.2</v>
      </c>
      <c r="T87" s="35">
        <f t="shared" si="18"/>
        <v>7994.5000000000009</v>
      </c>
    </row>
    <row r="88" spans="1:20" ht="19.5" customHeight="1">
      <c r="A88" s="61" t="str">
        <f ca="1">IF(ISERROR(MATCH(E88,Код_КВР,0)),"",INDIRECT(ADDRESS(MATCH(E88,Код_КВР,0)+1,2,,,"КВР")))</f>
        <v>Субсидии бюджетным учреждениям</v>
      </c>
      <c r="B88" s="43" t="s">
        <v>282</v>
      </c>
      <c r="C88" s="8" t="s">
        <v>195</v>
      </c>
      <c r="D88" s="1" t="s">
        <v>214</v>
      </c>
      <c r="E88" s="104">
        <v>610</v>
      </c>
      <c r="F88" s="7">
        <f t="shared" si="19"/>
        <v>8367.7000000000007</v>
      </c>
      <c r="G88" s="7">
        <f t="shared" si="19"/>
        <v>0</v>
      </c>
      <c r="H88" s="35">
        <f t="shared" si="1"/>
        <v>8367.7000000000007</v>
      </c>
      <c r="I88" s="7">
        <f t="shared" si="19"/>
        <v>0</v>
      </c>
      <c r="J88" s="35">
        <f t="shared" si="2"/>
        <v>8367.7000000000007</v>
      </c>
      <c r="K88" s="7">
        <f t="shared" si="19"/>
        <v>0</v>
      </c>
      <c r="L88" s="35">
        <f t="shared" ref="L88:L159" si="20">J88+K88</f>
        <v>8367.7000000000007</v>
      </c>
      <c r="M88" s="7">
        <f t="shared" si="19"/>
        <v>0</v>
      </c>
      <c r="N88" s="35">
        <f t="shared" ref="N88:N159" si="21">L88+M88</f>
        <v>8367.7000000000007</v>
      </c>
      <c r="O88" s="7">
        <f t="shared" si="19"/>
        <v>0</v>
      </c>
      <c r="P88" s="35">
        <f t="shared" si="16"/>
        <v>8367.7000000000007</v>
      </c>
      <c r="Q88" s="7">
        <f t="shared" si="19"/>
        <v>0</v>
      </c>
      <c r="R88" s="35">
        <f t="shared" si="17"/>
        <v>8367.7000000000007</v>
      </c>
      <c r="S88" s="7">
        <f t="shared" si="19"/>
        <v>-373.2</v>
      </c>
      <c r="T88" s="35">
        <f t="shared" si="18"/>
        <v>7994.5000000000009</v>
      </c>
    </row>
    <row r="89" spans="1:20" ht="51.75" customHeight="1">
      <c r="A89" s="61" t="str">
        <f ca="1">IF(ISERROR(MATCH(E89,Код_КВР,0)),"",INDIRECT(ADDRESS(MATCH(E89,Код_КВР,0)+1,2,,,"КВР")))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89" s="43" t="s">
        <v>282</v>
      </c>
      <c r="C89" s="8" t="s">
        <v>195</v>
      </c>
      <c r="D89" s="1" t="s">
        <v>214</v>
      </c>
      <c r="E89" s="104">
        <v>611</v>
      </c>
      <c r="F89" s="7">
        <f>прил.6!G638</f>
        <v>8367.7000000000007</v>
      </c>
      <c r="G89" s="7">
        <f>прил.6!H638</f>
        <v>0</v>
      </c>
      <c r="H89" s="35">
        <f t="shared" si="1"/>
        <v>8367.7000000000007</v>
      </c>
      <c r="I89" s="7">
        <f>прил.6!J638</f>
        <v>0</v>
      </c>
      <c r="J89" s="35">
        <f t="shared" si="2"/>
        <v>8367.7000000000007</v>
      </c>
      <c r="K89" s="7">
        <f>прил.6!L638</f>
        <v>0</v>
      </c>
      <c r="L89" s="35">
        <f t="shared" si="20"/>
        <v>8367.7000000000007</v>
      </c>
      <c r="M89" s="7">
        <f>прил.6!N638</f>
        <v>0</v>
      </c>
      <c r="N89" s="35">
        <f t="shared" si="21"/>
        <v>8367.7000000000007</v>
      </c>
      <c r="O89" s="7">
        <f>прил.6!P638</f>
        <v>0</v>
      </c>
      <c r="P89" s="35">
        <f t="shared" si="16"/>
        <v>8367.7000000000007</v>
      </c>
      <c r="Q89" s="7">
        <f>прил.6!R638</f>
        <v>0</v>
      </c>
      <c r="R89" s="35">
        <f t="shared" si="17"/>
        <v>8367.7000000000007</v>
      </c>
      <c r="S89" s="7">
        <f>прил.6!T638</f>
        <v>-373.2</v>
      </c>
      <c r="T89" s="35">
        <f t="shared" si="18"/>
        <v>7994.5000000000009</v>
      </c>
    </row>
    <row r="90" spans="1:20" ht="35.25" customHeight="1">
      <c r="A90" s="61" t="str">
        <f ca="1">IF(ISERROR(MATCH(B90,Код_КЦСР,0)),"",INDIRECT(ADDRESS(MATCH(B90,Код_КЦСР,0)+1,2,,,"КЦСР")))</f>
        <v>Формирование комплексной системы выявления, развития и поддержки одаренных детей и молодых талантов</v>
      </c>
      <c r="B90" s="43" t="s">
        <v>283</v>
      </c>
      <c r="C90" s="8"/>
      <c r="D90" s="1"/>
      <c r="E90" s="104"/>
      <c r="F90" s="7">
        <f t="shared" ref="F90:S92" si="22">F91</f>
        <v>458</v>
      </c>
      <c r="G90" s="7">
        <f t="shared" si="22"/>
        <v>0</v>
      </c>
      <c r="H90" s="35">
        <f t="shared" si="1"/>
        <v>458</v>
      </c>
      <c r="I90" s="7">
        <f t="shared" si="22"/>
        <v>0</v>
      </c>
      <c r="J90" s="35">
        <f t="shared" ref="J90:J161" si="23">H90+I90</f>
        <v>458</v>
      </c>
      <c r="K90" s="7">
        <f t="shared" si="22"/>
        <v>0</v>
      </c>
      <c r="L90" s="35">
        <f t="shared" si="20"/>
        <v>458</v>
      </c>
      <c r="M90" s="7">
        <f t="shared" si="22"/>
        <v>0</v>
      </c>
      <c r="N90" s="35">
        <f t="shared" si="21"/>
        <v>458</v>
      </c>
      <c r="O90" s="7">
        <f t="shared" si="22"/>
        <v>10</v>
      </c>
      <c r="P90" s="35">
        <f t="shared" si="16"/>
        <v>468</v>
      </c>
      <c r="Q90" s="7">
        <f t="shared" si="22"/>
        <v>0</v>
      </c>
      <c r="R90" s="35">
        <f t="shared" si="17"/>
        <v>468</v>
      </c>
      <c r="S90" s="7">
        <f t="shared" si="22"/>
        <v>0</v>
      </c>
      <c r="T90" s="35">
        <f t="shared" si="18"/>
        <v>468</v>
      </c>
    </row>
    <row r="91" spans="1:20" ht="18.75" customHeight="1">
      <c r="A91" s="61" t="str">
        <f ca="1">IF(ISERROR(MATCH(C91,Код_Раздел,0)),"",INDIRECT(ADDRESS(MATCH(C91,Код_Раздел,0)+1,2,,,"Раздел")))</f>
        <v>Образование</v>
      </c>
      <c r="B91" s="43" t="s">
        <v>283</v>
      </c>
      <c r="C91" s="8" t="s">
        <v>195</v>
      </c>
      <c r="D91" s="1"/>
      <c r="E91" s="104"/>
      <c r="F91" s="7">
        <f t="shared" si="22"/>
        <v>458</v>
      </c>
      <c r="G91" s="7">
        <f t="shared" si="22"/>
        <v>0</v>
      </c>
      <c r="H91" s="35">
        <f t="shared" si="1"/>
        <v>458</v>
      </c>
      <c r="I91" s="7">
        <f t="shared" si="22"/>
        <v>0</v>
      </c>
      <c r="J91" s="35">
        <f t="shared" si="23"/>
        <v>458</v>
      </c>
      <c r="K91" s="7">
        <f t="shared" si="22"/>
        <v>0</v>
      </c>
      <c r="L91" s="35">
        <f t="shared" si="20"/>
        <v>458</v>
      </c>
      <c r="M91" s="7">
        <f t="shared" si="22"/>
        <v>0</v>
      </c>
      <c r="N91" s="35">
        <f t="shared" si="21"/>
        <v>458</v>
      </c>
      <c r="O91" s="7">
        <f t="shared" si="22"/>
        <v>10</v>
      </c>
      <c r="P91" s="35">
        <f t="shared" si="16"/>
        <v>468</v>
      </c>
      <c r="Q91" s="7">
        <f t="shared" si="22"/>
        <v>0</v>
      </c>
      <c r="R91" s="35">
        <f t="shared" si="17"/>
        <v>468</v>
      </c>
      <c r="S91" s="7">
        <f t="shared" si="22"/>
        <v>0</v>
      </c>
      <c r="T91" s="35">
        <f t="shared" si="18"/>
        <v>468</v>
      </c>
    </row>
    <row r="92" spans="1:20">
      <c r="A92" s="12" t="s">
        <v>250</v>
      </c>
      <c r="B92" s="43" t="s">
        <v>283</v>
      </c>
      <c r="C92" s="8" t="s">
        <v>195</v>
      </c>
      <c r="D92" s="1" t="s">
        <v>214</v>
      </c>
      <c r="E92" s="104"/>
      <c r="F92" s="7">
        <f t="shared" si="22"/>
        <v>458</v>
      </c>
      <c r="G92" s="7">
        <f t="shared" si="22"/>
        <v>0</v>
      </c>
      <c r="H92" s="35">
        <f t="shared" ref="H92:H169" si="24">F92+G92</f>
        <v>458</v>
      </c>
      <c r="I92" s="7">
        <f t="shared" si="22"/>
        <v>0</v>
      </c>
      <c r="J92" s="35">
        <f t="shared" si="23"/>
        <v>458</v>
      </c>
      <c r="K92" s="7">
        <f t="shared" si="22"/>
        <v>0</v>
      </c>
      <c r="L92" s="35">
        <f t="shared" si="20"/>
        <v>458</v>
      </c>
      <c r="M92" s="7">
        <f t="shared" si="22"/>
        <v>0</v>
      </c>
      <c r="N92" s="35">
        <f t="shared" si="21"/>
        <v>458</v>
      </c>
      <c r="O92" s="7">
        <f t="shared" si="22"/>
        <v>10</v>
      </c>
      <c r="P92" s="35">
        <f t="shared" si="16"/>
        <v>468</v>
      </c>
      <c r="Q92" s="7">
        <f t="shared" si="22"/>
        <v>0</v>
      </c>
      <c r="R92" s="35">
        <f t="shared" si="17"/>
        <v>468</v>
      </c>
      <c r="S92" s="7">
        <f t="shared" si="22"/>
        <v>0</v>
      </c>
      <c r="T92" s="35">
        <f t="shared" si="18"/>
        <v>468</v>
      </c>
    </row>
    <row r="93" spans="1:20">
      <c r="A93" s="61" t="str">
        <f ca="1">IF(ISERROR(MATCH(E93,Код_КВР,0)),"",INDIRECT(ADDRESS(MATCH(E93,Код_КВР,0)+1,2,,,"КВР")))</f>
        <v>Социальное обеспечение и иные выплаты населению</v>
      </c>
      <c r="B93" s="43" t="s">
        <v>283</v>
      </c>
      <c r="C93" s="8" t="s">
        <v>195</v>
      </c>
      <c r="D93" s="1" t="s">
        <v>214</v>
      </c>
      <c r="E93" s="104">
        <v>300</v>
      </c>
      <c r="F93" s="7">
        <f>SUM(F94:F95)</f>
        <v>458</v>
      </c>
      <c r="G93" s="7">
        <f>SUM(G94:G95)</f>
        <v>0</v>
      </c>
      <c r="H93" s="35">
        <f t="shared" si="24"/>
        <v>458</v>
      </c>
      <c r="I93" s="7">
        <f>SUM(I94:I95)</f>
        <v>0</v>
      </c>
      <c r="J93" s="35">
        <f t="shared" si="23"/>
        <v>458</v>
      </c>
      <c r="K93" s="7">
        <f>SUM(K94:K95)</f>
        <v>0</v>
      </c>
      <c r="L93" s="35">
        <f t="shared" si="20"/>
        <v>458</v>
      </c>
      <c r="M93" s="7">
        <f>SUM(M94:M95)</f>
        <v>0</v>
      </c>
      <c r="N93" s="35">
        <f t="shared" si="21"/>
        <v>458</v>
      </c>
      <c r="O93" s="7">
        <f>SUM(O94:O95)</f>
        <v>10</v>
      </c>
      <c r="P93" s="35">
        <f t="shared" si="16"/>
        <v>468</v>
      </c>
      <c r="Q93" s="7">
        <f>SUM(Q94:Q95)</f>
        <v>0</v>
      </c>
      <c r="R93" s="35">
        <f t="shared" si="17"/>
        <v>468</v>
      </c>
      <c r="S93" s="7">
        <f>SUM(S94:S95)</f>
        <v>0</v>
      </c>
      <c r="T93" s="35">
        <f t="shared" si="18"/>
        <v>468</v>
      </c>
    </row>
    <row r="94" spans="1:20">
      <c r="A94" s="61" t="str">
        <f ca="1">IF(ISERROR(MATCH(E94,Код_КВР,0)),"",INDIRECT(ADDRESS(MATCH(E94,Код_КВР,0)+1,2,,,"КВР")))</f>
        <v>Стипендии</v>
      </c>
      <c r="B94" s="43" t="s">
        <v>283</v>
      </c>
      <c r="C94" s="8" t="s">
        <v>195</v>
      </c>
      <c r="D94" s="1" t="s">
        <v>214</v>
      </c>
      <c r="E94" s="104">
        <v>340</v>
      </c>
      <c r="F94" s="7">
        <f>прил.6!G641</f>
        <v>200</v>
      </c>
      <c r="G94" s="7">
        <f>прил.6!H641</f>
        <v>0</v>
      </c>
      <c r="H94" s="35">
        <f t="shared" si="24"/>
        <v>200</v>
      </c>
      <c r="I94" s="7">
        <f>прил.6!J641</f>
        <v>0</v>
      </c>
      <c r="J94" s="35">
        <f t="shared" si="23"/>
        <v>200</v>
      </c>
      <c r="K94" s="7">
        <f>прил.6!L641</f>
        <v>0</v>
      </c>
      <c r="L94" s="35">
        <f t="shared" si="20"/>
        <v>200</v>
      </c>
      <c r="M94" s="7">
        <f>прил.6!N641</f>
        <v>0</v>
      </c>
      <c r="N94" s="35">
        <f t="shared" si="21"/>
        <v>200</v>
      </c>
      <c r="O94" s="7">
        <f>прил.6!P641</f>
        <v>0</v>
      </c>
      <c r="P94" s="35">
        <f t="shared" si="16"/>
        <v>200</v>
      </c>
      <c r="Q94" s="7">
        <f>прил.6!R641</f>
        <v>0</v>
      </c>
      <c r="R94" s="35">
        <f t="shared" si="17"/>
        <v>200</v>
      </c>
      <c r="S94" s="7">
        <f>прил.6!T641</f>
        <v>0</v>
      </c>
      <c r="T94" s="35">
        <f t="shared" si="18"/>
        <v>200</v>
      </c>
    </row>
    <row r="95" spans="1:20">
      <c r="A95" s="61" t="str">
        <f ca="1">IF(ISERROR(MATCH(E95,Код_КВР,0)),"",INDIRECT(ADDRESS(MATCH(E95,Код_КВР,0)+1,2,,,"КВР")))</f>
        <v>Премии и гранты</v>
      </c>
      <c r="B95" s="43" t="s">
        <v>283</v>
      </c>
      <c r="C95" s="8" t="s">
        <v>195</v>
      </c>
      <c r="D95" s="1" t="s">
        <v>214</v>
      </c>
      <c r="E95" s="104">
        <v>350</v>
      </c>
      <c r="F95" s="7">
        <f>прил.6!G642</f>
        <v>258</v>
      </c>
      <c r="G95" s="7">
        <f>прил.6!H642</f>
        <v>0</v>
      </c>
      <c r="H95" s="35">
        <f t="shared" si="24"/>
        <v>258</v>
      </c>
      <c r="I95" s="7">
        <f>прил.6!J642</f>
        <v>0</v>
      </c>
      <c r="J95" s="35">
        <f t="shared" si="23"/>
        <v>258</v>
      </c>
      <c r="K95" s="7">
        <f>прил.6!L642</f>
        <v>0</v>
      </c>
      <c r="L95" s="35">
        <f t="shared" si="20"/>
        <v>258</v>
      </c>
      <c r="M95" s="7">
        <f>прил.6!N642</f>
        <v>0</v>
      </c>
      <c r="N95" s="35">
        <f t="shared" si="21"/>
        <v>258</v>
      </c>
      <c r="O95" s="7">
        <f>прил.6!P642</f>
        <v>10</v>
      </c>
      <c r="P95" s="35">
        <f t="shared" si="16"/>
        <v>268</v>
      </c>
      <c r="Q95" s="7">
        <f>прил.6!R642</f>
        <v>0</v>
      </c>
      <c r="R95" s="35">
        <f t="shared" si="17"/>
        <v>268</v>
      </c>
      <c r="S95" s="7">
        <f>прил.6!T642</f>
        <v>0</v>
      </c>
      <c r="T95" s="35">
        <f t="shared" si="18"/>
        <v>268</v>
      </c>
    </row>
    <row r="96" spans="1:20" ht="69" customHeight="1">
      <c r="A96" s="61" t="str">
        <f ca="1">IF(ISERROR(MATCH(B96,Код_КЦСР,0)),"",INDIRECT(ADDRESS(MATCH(B96,Код_КЦСР,0)+1,2,,,"КЦСР")))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 за счет субвенций из областного бюджета</v>
      </c>
      <c r="B96" s="43" t="s">
        <v>438</v>
      </c>
      <c r="C96" s="8"/>
      <c r="D96" s="1"/>
      <c r="E96" s="104"/>
      <c r="F96" s="7">
        <f t="shared" ref="F96:S98" si="25">F97</f>
        <v>1155626.6000000001</v>
      </c>
      <c r="G96" s="7">
        <f t="shared" si="25"/>
        <v>0</v>
      </c>
      <c r="H96" s="35">
        <f t="shared" si="24"/>
        <v>1155626.6000000001</v>
      </c>
      <c r="I96" s="7">
        <f t="shared" si="25"/>
        <v>0</v>
      </c>
      <c r="J96" s="35">
        <f t="shared" si="23"/>
        <v>1155626.6000000001</v>
      </c>
      <c r="K96" s="7">
        <f t="shared" si="25"/>
        <v>0</v>
      </c>
      <c r="L96" s="35">
        <f t="shared" si="20"/>
        <v>1155626.6000000001</v>
      </c>
      <c r="M96" s="7">
        <f t="shared" si="25"/>
        <v>0</v>
      </c>
      <c r="N96" s="35">
        <f t="shared" si="21"/>
        <v>1155626.6000000001</v>
      </c>
      <c r="O96" s="7">
        <f t="shared" si="25"/>
        <v>0</v>
      </c>
      <c r="P96" s="35">
        <f t="shared" si="16"/>
        <v>1155626.6000000001</v>
      </c>
      <c r="Q96" s="7">
        <f t="shared" si="25"/>
        <v>4006.7000000000007</v>
      </c>
      <c r="R96" s="35">
        <f t="shared" si="17"/>
        <v>1159633.3</v>
      </c>
      <c r="S96" s="7">
        <f t="shared" si="25"/>
        <v>7434.9000000000005</v>
      </c>
      <c r="T96" s="35">
        <f t="shared" si="18"/>
        <v>1167068.2</v>
      </c>
    </row>
    <row r="97" spans="1:20">
      <c r="A97" s="61" t="str">
        <f ca="1">IF(ISERROR(MATCH(C97,Код_Раздел,0)),"",INDIRECT(ADDRESS(MATCH(C97,Код_Раздел,0)+1,2,,,"Раздел")))</f>
        <v>Образование</v>
      </c>
      <c r="B97" s="43" t="s">
        <v>438</v>
      </c>
      <c r="C97" s="8" t="s">
        <v>195</v>
      </c>
      <c r="D97" s="1"/>
      <c r="E97" s="104"/>
      <c r="F97" s="7">
        <f t="shared" si="25"/>
        <v>1155626.6000000001</v>
      </c>
      <c r="G97" s="7">
        <f t="shared" si="25"/>
        <v>0</v>
      </c>
      <c r="H97" s="35">
        <f t="shared" si="24"/>
        <v>1155626.6000000001</v>
      </c>
      <c r="I97" s="7">
        <f t="shared" si="25"/>
        <v>0</v>
      </c>
      <c r="J97" s="35">
        <f t="shared" si="23"/>
        <v>1155626.6000000001</v>
      </c>
      <c r="K97" s="7">
        <f t="shared" si="25"/>
        <v>0</v>
      </c>
      <c r="L97" s="35">
        <f t="shared" si="20"/>
        <v>1155626.6000000001</v>
      </c>
      <c r="M97" s="7">
        <f t="shared" si="25"/>
        <v>0</v>
      </c>
      <c r="N97" s="35">
        <f t="shared" si="21"/>
        <v>1155626.6000000001</v>
      </c>
      <c r="O97" s="7">
        <f t="shared" si="25"/>
        <v>0</v>
      </c>
      <c r="P97" s="35">
        <f t="shared" si="16"/>
        <v>1155626.6000000001</v>
      </c>
      <c r="Q97" s="7">
        <f t="shared" si="25"/>
        <v>4006.7000000000007</v>
      </c>
      <c r="R97" s="35">
        <f t="shared" si="17"/>
        <v>1159633.3</v>
      </c>
      <c r="S97" s="7">
        <f t="shared" si="25"/>
        <v>7434.9000000000005</v>
      </c>
      <c r="T97" s="35">
        <f t="shared" si="18"/>
        <v>1167068.2</v>
      </c>
    </row>
    <row r="98" spans="1:20">
      <c r="A98" s="12" t="s">
        <v>250</v>
      </c>
      <c r="B98" s="43" t="s">
        <v>438</v>
      </c>
      <c r="C98" s="8" t="s">
        <v>195</v>
      </c>
      <c r="D98" s="1" t="s">
        <v>214</v>
      </c>
      <c r="E98" s="104"/>
      <c r="F98" s="7">
        <f t="shared" si="25"/>
        <v>1155626.6000000001</v>
      </c>
      <c r="G98" s="7">
        <f t="shared" si="25"/>
        <v>0</v>
      </c>
      <c r="H98" s="35">
        <f t="shared" si="24"/>
        <v>1155626.6000000001</v>
      </c>
      <c r="I98" s="7">
        <f t="shared" si="25"/>
        <v>0</v>
      </c>
      <c r="J98" s="35">
        <f t="shared" si="23"/>
        <v>1155626.6000000001</v>
      </c>
      <c r="K98" s="7">
        <f t="shared" si="25"/>
        <v>0</v>
      </c>
      <c r="L98" s="35">
        <f t="shared" si="20"/>
        <v>1155626.6000000001</v>
      </c>
      <c r="M98" s="7">
        <f t="shared" si="25"/>
        <v>0</v>
      </c>
      <c r="N98" s="35">
        <f t="shared" si="21"/>
        <v>1155626.6000000001</v>
      </c>
      <c r="O98" s="7">
        <f t="shared" si="25"/>
        <v>0</v>
      </c>
      <c r="P98" s="35">
        <f t="shared" si="16"/>
        <v>1155626.6000000001</v>
      </c>
      <c r="Q98" s="7">
        <f t="shared" si="25"/>
        <v>4006.7000000000007</v>
      </c>
      <c r="R98" s="35">
        <f t="shared" si="17"/>
        <v>1159633.3</v>
      </c>
      <c r="S98" s="7">
        <f t="shared" si="25"/>
        <v>7434.9000000000005</v>
      </c>
      <c r="T98" s="35">
        <f t="shared" si="18"/>
        <v>1167068.2</v>
      </c>
    </row>
    <row r="99" spans="1:20" ht="33">
      <c r="A99" s="61" t="str">
        <f t="shared" ref="A99:A105" ca="1" si="26">IF(ISERROR(MATCH(E99,Код_КВР,0)),"",INDIRECT(ADDRESS(MATCH(E99,Код_КВР,0)+1,2,,,"КВР")))</f>
        <v>Предоставление субсидий бюджетным, автономным учреждениям и иным некоммерческим организациям</v>
      </c>
      <c r="B99" s="43" t="s">
        <v>438</v>
      </c>
      <c r="C99" s="8" t="s">
        <v>195</v>
      </c>
      <c r="D99" s="1" t="s">
        <v>214</v>
      </c>
      <c r="E99" s="104">
        <v>600</v>
      </c>
      <c r="F99" s="7">
        <f>F100+F103</f>
        <v>1155626.6000000001</v>
      </c>
      <c r="G99" s="7">
        <f>G100+G103</f>
        <v>0</v>
      </c>
      <c r="H99" s="35">
        <f t="shared" si="24"/>
        <v>1155626.6000000001</v>
      </c>
      <c r="I99" s="7">
        <f>I100+I103</f>
        <v>0</v>
      </c>
      <c r="J99" s="35">
        <f t="shared" si="23"/>
        <v>1155626.6000000001</v>
      </c>
      <c r="K99" s="7">
        <f>K100+K103</f>
        <v>0</v>
      </c>
      <c r="L99" s="35">
        <f t="shared" si="20"/>
        <v>1155626.6000000001</v>
      </c>
      <c r="M99" s="7">
        <f>M100+M103</f>
        <v>0</v>
      </c>
      <c r="N99" s="35">
        <f t="shared" si="21"/>
        <v>1155626.6000000001</v>
      </c>
      <c r="O99" s="7">
        <f>O100+O103</f>
        <v>0</v>
      </c>
      <c r="P99" s="35">
        <f t="shared" si="16"/>
        <v>1155626.6000000001</v>
      </c>
      <c r="Q99" s="7">
        <f>Q100+Q103</f>
        <v>4006.7000000000007</v>
      </c>
      <c r="R99" s="35">
        <f t="shared" si="17"/>
        <v>1159633.3</v>
      </c>
      <c r="S99" s="7">
        <f>S100+S103</f>
        <v>7434.9000000000005</v>
      </c>
      <c r="T99" s="35">
        <f t="shared" si="18"/>
        <v>1167068.2</v>
      </c>
    </row>
    <row r="100" spans="1:20">
      <c r="A100" s="61" t="str">
        <f t="shared" ca="1" si="26"/>
        <v>Субсидии бюджетным учреждениям</v>
      </c>
      <c r="B100" s="43" t="s">
        <v>438</v>
      </c>
      <c r="C100" s="8" t="s">
        <v>195</v>
      </c>
      <c r="D100" s="1" t="s">
        <v>214</v>
      </c>
      <c r="E100" s="104">
        <v>610</v>
      </c>
      <c r="F100" s="7">
        <f>F101</f>
        <v>1133628.3</v>
      </c>
      <c r="G100" s="7">
        <f>G101</f>
        <v>0</v>
      </c>
      <c r="H100" s="35">
        <f t="shared" si="24"/>
        <v>1133628.3</v>
      </c>
      <c r="I100" s="7">
        <f>I101</f>
        <v>0</v>
      </c>
      <c r="J100" s="35">
        <f t="shared" si="23"/>
        <v>1133628.3</v>
      </c>
      <c r="K100" s="7">
        <f>K101</f>
        <v>0</v>
      </c>
      <c r="L100" s="35">
        <f t="shared" si="20"/>
        <v>1133628.3</v>
      </c>
      <c r="M100" s="7">
        <f>M101</f>
        <v>0</v>
      </c>
      <c r="N100" s="35">
        <f t="shared" si="21"/>
        <v>1133628.3</v>
      </c>
      <c r="O100" s="7">
        <f>O101</f>
        <v>0</v>
      </c>
      <c r="P100" s="35">
        <f t="shared" si="16"/>
        <v>1133628.3</v>
      </c>
      <c r="Q100" s="7">
        <f>Q101+Q102</f>
        <v>4006.7000000000007</v>
      </c>
      <c r="R100" s="35">
        <f t="shared" si="17"/>
        <v>1137635</v>
      </c>
      <c r="S100" s="7">
        <f>S101+S102</f>
        <v>7434.9000000000005</v>
      </c>
      <c r="T100" s="35">
        <f t="shared" si="18"/>
        <v>1145069.8999999999</v>
      </c>
    </row>
    <row r="101" spans="1:20" ht="49.5">
      <c r="A101" s="61" t="str">
        <f t="shared" ca="1" si="26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1" s="43" t="s">
        <v>438</v>
      </c>
      <c r="C101" s="8" t="s">
        <v>195</v>
      </c>
      <c r="D101" s="1" t="s">
        <v>214</v>
      </c>
      <c r="E101" s="104">
        <v>611</v>
      </c>
      <c r="F101" s="7">
        <f>прил.6!G646</f>
        <v>1133628.3</v>
      </c>
      <c r="G101" s="7">
        <f>прил.6!H646</f>
        <v>0</v>
      </c>
      <c r="H101" s="35">
        <f t="shared" si="24"/>
        <v>1133628.3</v>
      </c>
      <c r="I101" s="7">
        <f>прил.6!J646</f>
        <v>0</v>
      </c>
      <c r="J101" s="35">
        <f t="shared" si="23"/>
        <v>1133628.3</v>
      </c>
      <c r="K101" s="7">
        <f>прил.6!L646</f>
        <v>0</v>
      </c>
      <c r="L101" s="35">
        <f t="shared" si="20"/>
        <v>1133628.3</v>
      </c>
      <c r="M101" s="7">
        <f>прил.6!N646</f>
        <v>0</v>
      </c>
      <c r="N101" s="35">
        <f t="shared" si="21"/>
        <v>1133628.3</v>
      </c>
      <c r="O101" s="7">
        <f>прил.6!P646</f>
        <v>0</v>
      </c>
      <c r="P101" s="35">
        <f t="shared" si="16"/>
        <v>1133628.3</v>
      </c>
      <c r="Q101" s="7">
        <f>прил.6!R646</f>
        <v>-12904.099999999999</v>
      </c>
      <c r="R101" s="35">
        <f t="shared" si="17"/>
        <v>1120724.2</v>
      </c>
      <c r="S101" s="7">
        <f>прил.6!T646</f>
        <v>7434.9000000000005</v>
      </c>
      <c r="T101" s="35">
        <f t="shared" si="18"/>
        <v>1128159.0999999999</v>
      </c>
    </row>
    <row r="102" spans="1:20" ht="20.25" customHeight="1">
      <c r="A102" s="61" t="str">
        <f t="shared" ca="1" si="26"/>
        <v>Субсидии бюджетным учреждениям на иные цели</v>
      </c>
      <c r="B102" s="43" t="s">
        <v>438</v>
      </c>
      <c r="C102" s="8" t="s">
        <v>195</v>
      </c>
      <c r="D102" s="1" t="s">
        <v>214</v>
      </c>
      <c r="E102" s="109">
        <v>612</v>
      </c>
      <c r="F102" s="7"/>
      <c r="G102" s="7"/>
      <c r="H102" s="35"/>
      <c r="I102" s="7"/>
      <c r="J102" s="35"/>
      <c r="K102" s="7"/>
      <c r="L102" s="35"/>
      <c r="M102" s="7"/>
      <c r="N102" s="35"/>
      <c r="O102" s="7"/>
      <c r="P102" s="35">
        <f t="shared" si="16"/>
        <v>0</v>
      </c>
      <c r="Q102" s="7">
        <f>прил.6!R647</f>
        <v>16910.8</v>
      </c>
      <c r="R102" s="35">
        <f t="shared" si="17"/>
        <v>16910.8</v>
      </c>
      <c r="S102" s="7">
        <f>прил.6!T647</f>
        <v>0</v>
      </c>
      <c r="T102" s="35">
        <f t="shared" si="18"/>
        <v>16910.8</v>
      </c>
    </row>
    <row r="103" spans="1:20" ht="21" customHeight="1">
      <c r="A103" s="61" t="str">
        <f t="shared" ca="1" si="26"/>
        <v>Субсидии автономным учреждениям</v>
      </c>
      <c r="B103" s="43" t="s">
        <v>438</v>
      </c>
      <c r="C103" s="8" t="s">
        <v>195</v>
      </c>
      <c r="D103" s="1" t="s">
        <v>214</v>
      </c>
      <c r="E103" s="104">
        <v>620</v>
      </c>
      <c r="F103" s="7">
        <f>F104</f>
        <v>21998.3</v>
      </c>
      <c r="G103" s="7">
        <f>G104</f>
        <v>0</v>
      </c>
      <c r="H103" s="35">
        <f t="shared" si="24"/>
        <v>21998.3</v>
      </c>
      <c r="I103" s="7">
        <f>I104</f>
        <v>0</v>
      </c>
      <c r="J103" s="35">
        <f t="shared" si="23"/>
        <v>21998.3</v>
      </c>
      <c r="K103" s="7">
        <f>K104</f>
        <v>0</v>
      </c>
      <c r="L103" s="35">
        <f t="shared" si="20"/>
        <v>21998.3</v>
      </c>
      <c r="M103" s="7">
        <f>M104</f>
        <v>0</v>
      </c>
      <c r="N103" s="35">
        <f t="shared" si="21"/>
        <v>21998.3</v>
      </c>
      <c r="O103" s="7">
        <f>O104</f>
        <v>0</v>
      </c>
      <c r="P103" s="35">
        <f t="shared" si="16"/>
        <v>21998.3</v>
      </c>
      <c r="Q103" s="7">
        <f>Q104+Q105</f>
        <v>0</v>
      </c>
      <c r="R103" s="35">
        <f t="shared" si="17"/>
        <v>21998.3</v>
      </c>
      <c r="S103" s="7">
        <f>S104+S105</f>
        <v>0</v>
      </c>
      <c r="T103" s="35">
        <f t="shared" si="18"/>
        <v>21998.3</v>
      </c>
    </row>
    <row r="104" spans="1:20" ht="60.75" customHeight="1">
      <c r="A104" s="61" t="str">
        <f t="shared" ca="1" si="26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04" s="43" t="s">
        <v>438</v>
      </c>
      <c r="C104" s="8" t="s">
        <v>195</v>
      </c>
      <c r="D104" s="1" t="s">
        <v>214</v>
      </c>
      <c r="E104" s="104">
        <v>621</v>
      </c>
      <c r="F104" s="7">
        <f>прил.6!G649</f>
        <v>21998.3</v>
      </c>
      <c r="G104" s="7">
        <f>прил.6!H649</f>
        <v>0</v>
      </c>
      <c r="H104" s="35">
        <f t="shared" si="24"/>
        <v>21998.3</v>
      </c>
      <c r="I104" s="7">
        <f>прил.6!J649</f>
        <v>0</v>
      </c>
      <c r="J104" s="35">
        <f t="shared" si="23"/>
        <v>21998.3</v>
      </c>
      <c r="K104" s="7">
        <f>прил.6!L649</f>
        <v>0</v>
      </c>
      <c r="L104" s="35">
        <f t="shared" si="20"/>
        <v>21998.3</v>
      </c>
      <c r="M104" s="7">
        <f>прил.6!N649</f>
        <v>0</v>
      </c>
      <c r="N104" s="35">
        <f t="shared" si="21"/>
        <v>21998.3</v>
      </c>
      <c r="O104" s="7">
        <f>прил.6!P649</f>
        <v>0</v>
      </c>
      <c r="P104" s="35">
        <f t="shared" si="16"/>
        <v>21998.3</v>
      </c>
      <c r="Q104" s="7">
        <f>прил.6!R649</f>
        <v>-400.8</v>
      </c>
      <c r="R104" s="35">
        <f t="shared" si="17"/>
        <v>21597.5</v>
      </c>
      <c r="S104" s="7">
        <f>прил.6!T649</f>
        <v>0</v>
      </c>
      <c r="T104" s="35">
        <f t="shared" si="18"/>
        <v>21597.5</v>
      </c>
    </row>
    <row r="105" spans="1:20" ht="27.2" customHeight="1">
      <c r="A105" s="61" t="str">
        <f t="shared" ca="1" si="26"/>
        <v>Субсидии автономным учреждениям на иные цели</v>
      </c>
      <c r="B105" s="43" t="s">
        <v>438</v>
      </c>
      <c r="C105" s="8" t="s">
        <v>195</v>
      </c>
      <c r="D105" s="1" t="s">
        <v>214</v>
      </c>
      <c r="E105" s="109">
        <v>622</v>
      </c>
      <c r="F105" s="7"/>
      <c r="G105" s="7"/>
      <c r="H105" s="35"/>
      <c r="I105" s="7"/>
      <c r="J105" s="35"/>
      <c r="K105" s="7"/>
      <c r="L105" s="35"/>
      <c r="M105" s="7"/>
      <c r="N105" s="35"/>
      <c r="O105" s="7"/>
      <c r="P105" s="35">
        <f t="shared" si="16"/>
        <v>0</v>
      </c>
      <c r="Q105" s="7">
        <f>прил.6!R650</f>
        <v>400.8</v>
      </c>
      <c r="R105" s="35">
        <f t="shared" si="17"/>
        <v>400.8</v>
      </c>
      <c r="S105" s="7">
        <f>прил.6!T650</f>
        <v>0</v>
      </c>
      <c r="T105" s="35">
        <f t="shared" si="18"/>
        <v>400.8</v>
      </c>
    </row>
    <row r="106" spans="1:20" ht="128.25" customHeight="1">
      <c r="A106" s="61" t="str">
        <f ca="1">IF(ISERROR(MATCH(B106,Код_КЦСР,0)),"",INDIRECT(ADDRESS(MATCH(B106,Код_КЦСР,0)+1,2,,,"КЦСР")))</f>
        <v>Социальная поддержка детей, обучающихся в муниципальных общеобразовательных учреждениях, из многодетных семей в части предоставления денежных выплат на проезд (кроме такси) на городском транспорте, а также на автобусах пригородных и внутрирайонных маршрутов и на приобретение комплекта одежды для посещения школьных занятий, спортивной формы для занятий физической культурой за счет субвенций из областного бюджета</v>
      </c>
      <c r="B106" s="43" t="s">
        <v>435</v>
      </c>
      <c r="C106" s="8"/>
      <c r="D106" s="1"/>
      <c r="E106" s="104"/>
      <c r="F106" s="7">
        <f t="shared" ref="F106:S110" si="27">F107</f>
        <v>6276.3</v>
      </c>
      <c r="G106" s="7">
        <f t="shared" si="27"/>
        <v>0</v>
      </c>
      <c r="H106" s="35">
        <f t="shared" si="24"/>
        <v>6276.3</v>
      </c>
      <c r="I106" s="7">
        <f t="shared" si="27"/>
        <v>0</v>
      </c>
      <c r="J106" s="35">
        <f t="shared" si="23"/>
        <v>6276.3</v>
      </c>
      <c r="K106" s="7">
        <f t="shared" si="27"/>
        <v>0</v>
      </c>
      <c r="L106" s="35">
        <f t="shared" si="20"/>
        <v>6276.3</v>
      </c>
      <c r="M106" s="7">
        <f t="shared" si="27"/>
        <v>0</v>
      </c>
      <c r="N106" s="35">
        <f t="shared" si="21"/>
        <v>6276.3</v>
      </c>
      <c r="O106" s="7">
        <f t="shared" si="27"/>
        <v>0</v>
      </c>
      <c r="P106" s="35">
        <f t="shared" si="16"/>
        <v>6276.3</v>
      </c>
      <c r="Q106" s="7">
        <f t="shared" si="27"/>
        <v>-290.10000000000002</v>
      </c>
      <c r="R106" s="35">
        <f t="shared" si="17"/>
        <v>5986.2</v>
      </c>
      <c r="S106" s="7">
        <f t="shared" si="27"/>
        <v>76.900000000000006</v>
      </c>
      <c r="T106" s="35">
        <f t="shared" si="18"/>
        <v>6063.0999999999995</v>
      </c>
    </row>
    <row r="107" spans="1:20" ht="20.25" customHeight="1">
      <c r="A107" s="61" t="str">
        <f ca="1">IF(ISERROR(MATCH(C107,Код_Раздел,0)),"",INDIRECT(ADDRESS(MATCH(C107,Код_Раздел,0)+1,2,,,"Раздел")))</f>
        <v>Социальная политика</v>
      </c>
      <c r="B107" s="43" t="s">
        <v>435</v>
      </c>
      <c r="C107" s="8" t="s">
        <v>188</v>
      </c>
      <c r="D107" s="1"/>
      <c r="E107" s="104"/>
      <c r="F107" s="7">
        <f t="shared" si="27"/>
        <v>6276.3</v>
      </c>
      <c r="G107" s="7">
        <f t="shared" si="27"/>
        <v>0</v>
      </c>
      <c r="H107" s="35">
        <f t="shared" si="24"/>
        <v>6276.3</v>
      </c>
      <c r="I107" s="7">
        <f t="shared" si="27"/>
        <v>0</v>
      </c>
      <c r="J107" s="35">
        <f t="shared" si="23"/>
        <v>6276.3</v>
      </c>
      <c r="K107" s="7">
        <f t="shared" si="27"/>
        <v>0</v>
      </c>
      <c r="L107" s="35">
        <f t="shared" si="20"/>
        <v>6276.3</v>
      </c>
      <c r="M107" s="7">
        <f t="shared" si="27"/>
        <v>0</v>
      </c>
      <c r="N107" s="35">
        <f t="shared" si="21"/>
        <v>6276.3</v>
      </c>
      <c r="O107" s="7">
        <f t="shared" si="27"/>
        <v>0</v>
      </c>
      <c r="P107" s="35">
        <f t="shared" si="16"/>
        <v>6276.3</v>
      </c>
      <c r="Q107" s="7">
        <f t="shared" si="27"/>
        <v>-290.10000000000002</v>
      </c>
      <c r="R107" s="35">
        <f t="shared" si="17"/>
        <v>5986.2</v>
      </c>
      <c r="S107" s="7">
        <f t="shared" si="27"/>
        <v>76.900000000000006</v>
      </c>
      <c r="T107" s="35">
        <f t="shared" si="18"/>
        <v>6063.0999999999995</v>
      </c>
    </row>
    <row r="108" spans="1:20" ht="19.5" customHeight="1">
      <c r="A108" s="12" t="s">
        <v>179</v>
      </c>
      <c r="B108" s="43" t="s">
        <v>435</v>
      </c>
      <c r="C108" s="8" t="s">
        <v>188</v>
      </c>
      <c r="D108" s="8" t="s">
        <v>215</v>
      </c>
      <c r="E108" s="104"/>
      <c r="F108" s="7">
        <f t="shared" si="27"/>
        <v>6276.3</v>
      </c>
      <c r="G108" s="7">
        <f t="shared" si="27"/>
        <v>0</v>
      </c>
      <c r="H108" s="35">
        <f t="shared" si="24"/>
        <v>6276.3</v>
      </c>
      <c r="I108" s="7">
        <f t="shared" si="27"/>
        <v>0</v>
      </c>
      <c r="J108" s="35">
        <f t="shared" si="23"/>
        <v>6276.3</v>
      </c>
      <c r="K108" s="7">
        <f t="shared" si="27"/>
        <v>0</v>
      </c>
      <c r="L108" s="35">
        <f t="shared" si="20"/>
        <v>6276.3</v>
      </c>
      <c r="M108" s="7">
        <f t="shared" si="27"/>
        <v>0</v>
      </c>
      <c r="N108" s="35">
        <f t="shared" si="21"/>
        <v>6276.3</v>
      </c>
      <c r="O108" s="7">
        <f t="shared" si="27"/>
        <v>0</v>
      </c>
      <c r="P108" s="35">
        <f t="shared" si="16"/>
        <v>6276.3</v>
      </c>
      <c r="Q108" s="7">
        <f t="shared" si="27"/>
        <v>-290.10000000000002</v>
      </c>
      <c r="R108" s="35">
        <f t="shared" si="17"/>
        <v>5986.2</v>
      </c>
      <c r="S108" s="7">
        <f t="shared" si="27"/>
        <v>76.900000000000006</v>
      </c>
      <c r="T108" s="35">
        <f t="shared" si="18"/>
        <v>6063.0999999999995</v>
      </c>
    </row>
    <row r="109" spans="1:20" ht="20.25" customHeight="1">
      <c r="A109" s="61" t="str">
        <f ca="1">IF(ISERROR(MATCH(E109,Код_КВР,0)),"",INDIRECT(ADDRESS(MATCH(E109,Код_КВР,0)+1,2,,,"КВР")))</f>
        <v>Социальное обеспечение и иные выплаты населению</v>
      </c>
      <c r="B109" s="43" t="s">
        <v>435</v>
      </c>
      <c r="C109" s="8" t="s">
        <v>188</v>
      </c>
      <c r="D109" s="8" t="s">
        <v>215</v>
      </c>
      <c r="E109" s="104">
        <v>300</v>
      </c>
      <c r="F109" s="7">
        <f t="shared" si="27"/>
        <v>6276.3</v>
      </c>
      <c r="G109" s="7">
        <f t="shared" si="27"/>
        <v>0</v>
      </c>
      <c r="H109" s="35">
        <f t="shared" si="24"/>
        <v>6276.3</v>
      </c>
      <c r="I109" s="7">
        <f t="shared" si="27"/>
        <v>0</v>
      </c>
      <c r="J109" s="35">
        <f t="shared" si="23"/>
        <v>6276.3</v>
      </c>
      <c r="K109" s="7">
        <f t="shared" si="27"/>
        <v>0</v>
      </c>
      <c r="L109" s="35">
        <f t="shared" si="20"/>
        <v>6276.3</v>
      </c>
      <c r="M109" s="7">
        <f t="shared" si="27"/>
        <v>0</v>
      </c>
      <c r="N109" s="35">
        <f t="shared" si="21"/>
        <v>6276.3</v>
      </c>
      <c r="O109" s="7">
        <f t="shared" si="27"/>
        <v>0</v>
      </c>
      <c r="P109" s="35">
        <f t="shared" si="16"/>
        <v>6276.3</v>
      </c>
      <c r="Q109" s="7">
        <f t="shared" si="27"/>
        <v>-290.10000000000002</v>
      </c>
      <c r="R109" s="35">
        <f t="shared" si="17"/>
        <v>5986.2</v>
      </c>
      <c r="S109" s="7">
        <f t="shared" si="27"/>
        <v>76.900000000000006</v>
      </c>
      <c r="T109" s="35">
        <f t="shared" si="18"/>
        <v>6063.0999999999995</v>
      </c>
    </row>
    <row r="110" spans="1:20" ht="33.75" customHeight="1">
      <c r="A110" s="61" t="str">
        <f ca="1">IF(ISERROR(MATCH(E110,Код_КВР,0)),"",INDIRECT(ADDRESS(MATCH(E110,Код_КВР,0)+1,2,,,"КВР")))</f>
        <v>Социальные выплаты гражданам, кроме публичных нормативных социальных выплат</v>
      </c>
      <c r="B110" s="43" t="s">
        <v>435</v>
      </c>
      <c r="C110" s="8" t="s">
        <v>188</v>
      </c>
      <c r="D110" s="8" t="s">
        <v>215</v>
      </c>
      <c r="E110" s="104">
        <v>320</v>
      </c>
      <c r="F110" s="7">
        <f t="shared" si="27"/>
        <v>6276.3</v>
      </c>
      <c r="G110" s="7">
        <f t="shared" si="27"/>
        <v>0</v>
      </c>
      <c r="H110" s="35">
        <f t="shared" si="24"/>
        <v>6276.3</v>
      </c>
      <c r="I110" s="7">
        <f t="shared" si="27"/>
        <v>0</v>
      </c>
      <c r="J110" s="35">
        <f t="shared" si="23"/>
        <v>6276.3</v>
      </c>
      <c r="K110" s="7">
        <f t="shared" si="27"/>
        <v>0</v>
      </c>
      <c r="L110" s="35">
        <f t="shared" si="20"/>
        <v>6276.3</v>
      </c>
      <c r="M110" s="7">
        <f t="shared" si="27"/>
        <v>0</v>
      </c>
      <c r="N110" s="35">
        <f t="shared" si="21"/>
        <v>6276.3</v>
      </c>
      <c r="O110" s="7">
        <f t="shared" si="27"/>
        <v>0</v>
      </c>
      <c r="P110" s="35">
        <f t="shared" si="16"/>
        <v>6276.3</v>
      </c>
      <c r="Q110" s="7">
        <f t="shared" si="27"/>
        <v>-290.10000000000002</v>
      </c>
      <c r="R110" s="35">
        <f t="shared" si="17"/>
        <v>5986.2</v>
      </c>
      <c r="S110" s="7">
        <f t="shared" si="27"/>
        <v>76.900000000000006</v>
      </c>
      <c r="T110" s="35">
        <f t="shared" si="18"/>
        <v>6063.0999999999995</v>
      </c>
    </row>
    <row r="111" spans="1:20" ht="38.25" customHeight="1">
      <c r="A111" s="61" t="str">
        <f ca="1">IF(ISERROR(MATCH(E111,Код_КВР,0)),"",INDIRECT(ADDRESS(MATCH(E111,Код_КВР,0)+1,2,,,"КВР")))</f>
        <v>Пособия, компенсации и иные социальные выплаты гражданам, кроме публичных нормативных обязательств</v>
      </c>
      <c r="B111" s="43" t="s">
        <v>435</v>
      </c>
      <c r="C111" s="8" t="s">
        <v>188</v>
      </c>
      <c r="D111" s="8" t="s">
        <v>215</v>
      </c>
      <c r="E111" s="104">
        <v>321</v>
      </c>
      <c r="F111" s="7">
        <f>прил.6!G825</f>
        <v>6276.3</v>
      </c>
      <c r="G111" s="7">
        <f>прил.6!H825</f>
        <v>0</v>
      </c>
      <c r="H111" s="35">
        <f t="shared" si="24"/>
        <v>6276.3</v>
      </c>
      <c r="I111" s="7">
        <f>прил.6!J825</f>
        <v>0</v>
      </c>
      <c r="J111" s="35">
        <f t="shared" si="23"/>
        <v>6276.3</v>
      </c>
      <c r="K111" s="7">
        <f>прил.6!L825</f>
        <v>0</v>
      </c>
      <c r="L111" s="35">
        <f t="shared" si="20"/>
        <v>6276.3</v>
      </c>
      <c r="M111" s="7">
        <f>прил.6!N825</f>
        <v>0</v>
      </c>
      <c r="N111" s="35">
        <f t="shared" si="21"/>
        <v>6276.3</v>
      </c>
      <c r="O111" s="7">
        <f>прил.6!P825</f>
        <v>0</v>
      </c>
      <c r="P111" s="35">
        <f t="shared" si="16"/>
        <v>6276.3</v>
      </c>
      <c r="Q111" s="7">
        <f>прил.6!R825</f>
        <v>-290.10000000000002</v>
      </c>
      <c r="R111" s="35">
        <f t="shared" si="17"/>
        <v>5986.2</v>
      </c>
      <c r="S111" s="7">
        <f>прил.6!T825</f>
        <v>76.900000000000006</v>
      </c>
      <c r="T111" s="35">
        <f t="shared" si="18"/>
        <v>6063.0999999999995</v>
      </c>
    </row>
    <row r="112" spans="1:20" ht="102" customHeight="1">
      <c r="A112" s="61" t="str">
        <f ca="1">IF(ISERROR(MATCH(B112,Код_КЦСР,0)),"",INDIRECT(ADDRESS(MATCH(B112,Код_КЦСР,0)+1,2,,,"КЦСР")))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 за счет субвенций из областного бюджета</v>
      </c>
      <c r="B112" s="43" t="s">
        <v>437</v>
      </c>
      <c r="C112" s="8"/>
      <c r="D112" s="1"/>
      <c r="E112" s="104"/>
      <c r="F112" s="7">
        <f t="shared" ref="F112:S122" si="28">F113</f>
        <v>18111.400000000001</v>
      </c>
      <c r="G112" s="7">
        <f t="shared" si="28"/>
        <v>0</v>
      </c>
      <c r="H112" s="35">
        <f t="shared" si="24"/>
        <v>18111.400000000001</v>
      </c>
      <c r="I112" s="7">
        <f t="shared" si="28"/>
        <v>0</v>
      </c>
      <c r="J112" s="35">
        <f t="shared" si="23"/>
        <v>18111.400000000001</v>
      </c>
      <c r="K112" s="7">
        <f t="shared" si="28"/>
        <v>0</v>
      </c>
      <c r="L112" s="35">
        <f t="shared" si="20"/>
        <v>18111.400000000001</v>
      </c>
      <c r="M112" s="7">
        <f t="shared" si="28"/>
        <v>0</v>
      </c>
      <c r="N112" s="35">
        <f t="shared" si="21"/>
        <v>18111.400000000001</v>
      </c>
      <c r="O112" s="7">
        <f t="shared" si="28"/>
        <v>0</v>
      </c>
      <c r="P112" s="35">
        <f t="shared" si="16"/>
        <v>18111.400000000001</v>
      </c>
      <c r="Q112" s="7">
        <f t="shared" si="28"/>
        <v>2943.8999999999996</v>
      </c>
      <c r="R112" s="35">
        <f t="shared" si="17"/>
        <v>21055.300000000003</v>
      </c>
      <c r="S112" s="7">
        <f t="shared" si="28"/>
        <v>-966.0999999999998</v>
      </c>
      <c r="T112" s="35">
        <f t="shared" si="18"/>
        <v>20089.200000000004</v>
      </c>
    </row>
    <row r="113" spans="1:20" ht="20.25" customHeight="1">
      <c r="A113" s="61" t="str">
        <f ca="1">IF(ISERROR(MATCH(C113,Код_Раздел,0)),"",INDIRECT(ADDRESS(MATCH(C113,Код_Раздел,0)+1,2,,,"Раздел")))</f>
        <v>Образование</v>
      </c>
      <c r="B113" s="43" t="s">
        <v>437</v>
      </c>
      <c r="C113" s="8" t="s">
        <v>195</v>
      </c>
      <c r="D113" s="1"/>
      <c r="E113" s="104"/>
      <c r="F113" s="7">
        <f>F120+F124</f>
        <v>18111.400000000001</v>
      </c>
      <c r="G113" s="7">
        <f t="shared" ref="G113:I113" si="29">G120+G124</f>
        <v>0</v>
      </c>
      <c r="H113" s="7">
        <f t="shared" si="29"/>
        <v>18111.400000000001</v>
      </c>
      <c r="I113" s="7">
        <f t="shared" si="29"/>
        <v>0</v>
      </c>
      <c r="J113" s="35">
        <f t="shared" si="23"/>
        <v>18111.400000000001</v>
      </c>
      <c r="K113" s="7">
        <f t="shared" ref="K113:M113" si="30">K120+K124</f>
        <v>0</v>
      </c>
      <c r="L113" s="35">
        <f t="shared" si="20"/>
        <v>18111.400000000001</v>
      </c>
      <c r="M113" s="7">
        <f t="shared" si="30"/>
        <v>0</v>
      </c>
      <c r="N113" s="35">
        <f t="shared" si="21"/>
        <v>18111.400000000001</v>
      </c>
      <c r="O113" s="7">
        <f>O120+O124</f>
        <v>0</v>
      </c>
      <c r="P113" s="35">
        <f t="shared" si="16"/>
        <v>18111.400000000001</v>
      </c>
      <c r="Q113" s="7">
        <f>Q120+Q124+Q114</f>
        <v>2943.8999999999996</v>
      </c>
      <c r="R113" s="35">
        <f>P113+Q113</f>
        <v>21055.300000000003</v>
      </c>
      <c r="S113" s="7">
        <f>S120+S124+S114</f>
        <v>-966.0999999999998</v>
      </c>
      <c r="T113" s="35">
        <f t="shared" si="18"/>
        <v>20089.200000000004</v>
      </c>
    </row>
    <row r="114" spans="1:20" ht="20.25" customHeight="1">
      <c r="A114" s="12" t="s">
        <v>258</v>
      </c>
      <c r="B114" s="43" t="s">
        <v>437</v>
      </c>
      <c r="C114" s="8" t="s">
        <v>195</v>
      </c>
      <c r="D114" s="1" t="s">
        <v>213</v>
      </c>
      <c r="E114" s="110"/>
      <c r="F114" s="7"/>
      <c r="G114" s="7"/>
      <c r="H114" s="7"/>
      <c r="I114" s="7"/>
      <c r="J114" s="35"/>
      <c r="K114" s="7"/>
      <c r="L114" s="35"/>
      <c r="M114" s="7"/>
      <c r="N114" s="35"/>
      <c r="O114" s="7"/>
      <c r="P114" s="35"/>
      <c r="Q114" s="7">
        <f>Q115</f>
        <v>2943.8999999999996</v>
      </c>
      <c r="R114" s="35">
        <f t="shared" si="17"/>
        <v>2943.8999999999996</v>
      </c>
      <c r="S114" s="7">
        <f>S115</f>
        <v>-95.4</v>
      </c>
      <c r="T114" s="35">
        <f t="shared" si="18"/>
        <v>2848.4999999999995</v>
      </c>
    </row>
    <row r="115" spans="1:20" ht="20.25" customHeight="1">
      <c r="A115" s="61" t="str">
        <f t="shared" ref="A115:A119" ca="1" si="31">IF(ISERROR(MATCH(E115,Код_КВР,0)),"",INDIRECT(ADDRESS(MATCH(E115,Код_КВР,0)+1,2,,,"КВР")))</f>
        <v>Предоставление субсидий бюджетным, автономным учреждениям и иным некоммерческим организациям</v>
      </c>
      <c r="B115" s="43" t="s">
        <v>437</v>
      </c>
      <c r="C115" s="8" t="s">
        <v>195</v>
      </c>
      <c r="D115" s="1" t="s">
        <v>213</v>
      </c>
      <c r="E115" s="110">
        <v>600</v>
      </c>
      <c r="F115" s="7"/>
      <c r="G115" s="7"/>
      <c r="H115" s="7"/>
      <c r="I115" s="7"/>
      <c r="J115" s="35"/>
      <c r="K115" s="7"/>
      <c r="L115" s="35"/>
      <c r="M115" s="7"/>
      <c r="N115" s="35"/>
      <c r="O115" s="7"/>
      <c r="P115" s="35"/>
      <c r="Q115" s="7">
        <f>Q116+Q118</f>
        <v>2943.8999999999996</v>
      </c>
      <c r="R115" s="35">
        <f t="shared" si="17"/>
        <v>2943.8999999999996</v>
      </c>
      <c r="S115" s="7">
        <f>S116+S118</f>
        <v>-95.4</v>
      </c>
      <c r="T115" s="35">
        <f t="shared" si="18"/>
        <v>2848.4999999999995</v>
      </c>
    </row>
    <row r="116" spans="1:20" ht="20.25" customHeight="1">
      <c r="A116" s="61" t="str">
        <f t="shared" ca="1" si="31"/>
        <v>Субсидии бюджетным учреждениям</v>
      </c>
      <c r="B116" s="43" t="s">
        <v>437</v>
      </c>
      <c r="C116" s="8" t="s">
        <v>195</v>
      </c>
      <c r="D116" s="1" t="s">
        <v>213</v>
      </c>
      <c r="E116" s="110">
        <v>610</v>
      </c>
      <c r="F116" s="7"/>
      <c r="G116" s="7"/>
      <c r="H116" s="7"/>
      <c r="I116" s="7"/>
      <c r="J116" s="35"/>
      <c r="K116" s="7"/>
      <c r="L116" s="35"/>
      <c r="M116" s="7"/>
      <c r="N116" s="35"/>
      <c r="O116" s="7"/>
      <c r="P116" s="35"/>
      <c r="Q116" s="7">
        <f>Q117</f>
        <v>2843.8999999999996</v>
      </c>
      <c r="R116" s="35">
        <f t="shared" si="17"/>
        <v>2843.8999999999996</v>
      </c>
      <c r="S116" s="7">
        <f>S117</f>
        <v>0</v>
      </c>
      <c r="T116" s="35">
        <f t="shared" si="18"/>
        <v>2843.8999999999996</v>
      </c>
    </row>
    <row r="117" spans="1:20" ht="20.25" customHeight="1">
      <c r="A117" s="61" t="str">
        <f t="shared" ca="1" si="31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17" s="43" t="s">
        <v>437</v>
      </c>
      <c r="C117" s="8" t="s">
        <v>195</v>
      </c>
      <c r="D117" s="1" t="s">
        <v>213</v>
      </c>
      <c r="E117" s="127">
        <v>611</v>
      </c>
      <c r="F117" s="7"/>
      <c r="G117" s="7"/>
      <c r="H117" s="7"/>
      <c r="I117" s="7"/>
      <c r="J117" s="35"/>
      <c r="K117" s="7"/>
      <c r="L117" s="35"/>
      <c r="M117" s="7"/>
      <c r="N117" s="35"/>
      <c r="O117" s="7"/>
      <c r="P117" s="35"/>
      <c r="Q117" s="7">
        <f>прил.6!R604</f>
        <v>2843.8999999999996</v>
      </c>
      <c r="R117" s="35">
        <f t="shared" si="17"/>
        <v>2843.8999999999996</v>
      </c>
      <c r="S117" s="7">
        <f>прил.6!T604</f>
        <v>0</v>
      </c>
      <c r="T117" s="35">
        <f t="shared" si="18"/>
        <v>2843.8999999999996</v>
      </c>
    </row>
    <row r="118" spans="1:20" ht="20.25" customHeight="1">
      <c r="A118" s="61" t="str">
        <f t="shared" ca="1" si="31"/>
        <v>Субсидии автономным учреждениям</v>
      </c>
      <c r="B118" s="43" t="s">
        <v>437</v>
      </c>
      <c r="C118" s="8" t="s">
        <v>195</v>
      </c>
      <c r="D118" s="1" t="s">
        <v>213</v>
      </c>
      <c r="E118" s="110">
        <v>620</v>
      </c>
      <c r="F118" s="7"/>
      <c r="G118" s="7"/>
      <c r="H118" s="7"/>
      <c r="I118" s="7"/>
      <c r="J118" s="35"/>
      <c r="K118" s="7"/>
      <c r="L118" s="35"/>
      <c r="M118" s="7"/>
      <c r="N118" s="35"/>
      <c r="O118" s="7"/>
      <c r="P118" s="35"/>
      <c r="Q118" s="7">
        <f>Q119</f>
        <v>100</v>
      </c>
      <c r="R118" s="35">
        <f t="shared" si="17"/>
        <v>100</v>
      </c>
      <c r="S118" s="7">
        <f>S119</f>
        <v>-95.4</v>
      </c>
      <c r="T118" s="35">
        <f t="shared" si="18"/>
        <v>4.5999999999999943</v>
      </c>
    </row>
    <row r="119" spans="1:20" ht="49.5">
      <c r="A119" s="61" t="str">
        <f t="shared" ca="1" si="31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19" s="43" t="s">
        <v>437</v>
      </c>
      <c r="C119" s="8" t="s">
        <v>195</v>
      </c>
      <c r="D119" s="1" t="s">
        <v>213</v>
      </c>
      <c r="E119" s="110">
        <v>621</v>
      </c>
      <c r="F119" s="7"/>
      <c r="G119" s="7"/>
      <c r="H119" s="7"/>
      <c r="I119" s="7"/>
      <c r="J119" s="35"/>
      <c r="K119" s="7"/>
      <c r="L119" s="35"/>
      <c r="M119" s="7"/>
      <c r="N119" s="35"/>
      <c r="O119" s="7"/>
      <c r="P119" s="35"/>
      <c r="Q119" s="7">
        <f>прил.6!R606</f>
        <v>100</v>
      </c>
      <c r="R119" s="35">
        <f>P119+Q119</f>
        <v>100</v>
      </c>
      <c r="S119" s="7">
        <f>прил.6!T606</f>
        <v>-95.4</v>
      </c>
      <c r="T119" s="35">
        <f t="shared" si="18"/>
        <v>4.5999999999999943</v>
      </c>
    </row>
    <row r="120" spans="1:20" ht="19.5" customHeight="1">
      <c r="A120" s="12" t="s">
        <v>250</v>
      </c>
      <c r="B120" s="43" t="s">
        <v>437</v>
      </c>
      <c r="C120" s="8" t="s">
        <v>195</v>
      </c>
      <c r="D120" s="1" t="s">
        <v>214</v>
      </c>
      <c r="E120" s="104"/>
      <c r="F120" s="7">
        <f t="shared" si="28"/>
        <v>18111.400000000001</v>
      </c>
      <c r="G120" s="7">
        <f t="shared" si="28"/>
        <v>0</v>
      </c>
      <c r="H120" s="35">
        <f t="shared" si="24"/>
        <v>18111.400000000001</v>
      </c>
      <c r="I120" s="7">
        <f t="shared" si="28"/>
        <v>-7173</v>
      </c>
      <c r="J120" s="35">
        <f t="shared" si="23"/>
        <v>10938.400000000001</v>
      </c>
      <c r="K120" s="7">
        <f t="shared" si="28"/>
        <v>0</v>
      </c>
      <c r="L120" s="35">
        <f t="shared" si="20"/>
        <v>10938.400000000001</v>
      </c>
      <c r="M120" s="7">
        <f t="shared" si="28"/>
        <v>0</v>
      </c>
      <c r="N120" s="35">
        <f t="shared" si="21"/>
        <v>10938.400000000001</v>
      </c>
      <c r="O120" s="7">
        <f t="shared" si="28"/>
        <v>0</v>
      </c>
      <c r="P120" s="35">
        <f t="shared" si="16"/>
        <v>10938.400000000001</v>
      </c>
      <c r="Q120" s="7">
        <f t="shared" si="28"/>
        <v>0</v>
      </c>
      <c r="R120" s="35">
        <f t="shared" si="17"/>
        <v>10938.400000000001</v>
      </c>
      <c r="S120" s="7">
        <f t="shared" si="28"/>
        <v>-4200.5</v>
      </c>
      <c r="T120" s="35">
        <f t="shared" si="18"/>
        <v>6737.9000000000015</v>
      </c>
    </row>
    <row r="121" spans="1:20" ht="33">
      <c r="A121" s="61" t="str">
        <f ca="1">IF(ISERROR(MATCH(E121,Код_КВР,0)),"",INDIRECT(ADDRESS(MATCH(E121,Код_КВР,0)+1,2,,,"КВР")))</f>
        <v>Предоставление субсидий бюджетным, автономным учреждениям и иным некоммерческим организациям</v>
      </c>
      <c r="B121" s="43" t="s">
        <v>437</v>
      </c>
      <c r="C121" s="8" t="s">
        <v>195</v>
      </c>
      <c r="D121" s="1" t="s">
        <v>214</v>
      </c>
      <c r="E121" s="104">
        <v>600</v>
      </c>
      <c r="F121" s="7">
        <f t="shared" si="28"/>
        <v>18111.400000000001</v>
      </c>
      <c r="G121" s="7">
        <f t="shared" si="28"/>
        <v>0</v>
      </c>
      <c r="H121" s="35">
        <f t="shared" si="24"/>
        <v>18111.400000000001</v>
      </c>
      <c r="I121" s="7">
        <f t="shared" si="28"/>
        <v>-7173</v>
      </c>
      <c r="J121" s="35">
        <f t="shared" si="23"/>
        <v>10938.400000000001</v>
      </c>
      <c r="K121" s="7">
        <f t="shared" si="28"/>
        <v>0</v>
      </c>
      <c r="L121" s="35">
        <f t="shared" si="20"/>
        <v>10938.400000000001</v>
      </c>
      <c r="M121" s="7">
        <f t="shared" si="28"/>
        <v>0</v>
      </c>
      <c r="N121" s="35">
        <f t="shared" si="21"/>
        <v>10938.400000000001</v>
      </c>
      <c r="O121" s="7">
        <f t="shared" si="28"/>
        <v>0</v>
      </c>
      <c r="P121" s="35">
        <f t="shared" si="16"/>
        <v>10938.400000000001</v>
      </c>
      <c r="Q121" s="7">
        <f t="shared" si="28"/>
        <v>0</v>
      </c>
      <c r="R121" s="35">
        <f t="shared" si="17"/>
        <v>10938.400000000001</v>
      </c>
      <c r="S121" s="7">
        <f t="shared" si="28"/>
        <v>-4200.5</v>
      </c>
      <c r="T121" s="35">
        <f t="shared" si="18"/>
        <v>6737.9000000000015</v>
      </c>
    </row>
    <row r="122" spans="1:20">
      <c r="A122" s="61" t="str">
        <f ca="1">IF(ISERROR(MATCH(E122,Код_КВР,0)),"",INDIRECT(ADDRESS(MATCH(E122,Код_КВР,0)+1,2,,,"КВР")))</f>
        <v>Субсидии бюджетным учреждениям</v>
      </c>
      <c r="B122" s="43" t="s">
        <v>437</v>
      </c>
      <c r="C122" s="8" t="s">
        <v>195</v>
      </c>
      <c r="D122" s="1" t="s">
        <v>214</v>
      </c>
      <c r="E122" s="104">
        <v>610</v>
      </c>
      <c r="F122" s="7">
        <f t="shared" si="28"/>
        <v>18111.400000000001</v>
      </c>
      <c r="G122" s="7">
        <f t="shared" si="28"/>
        <v>0</v>
      </c>
      <c r="H122" s="35">
        <f t="shared" si="24"/>
        <v>18111.400000000001</v>
      </c>
      <c r="I122" s="7">
        <f t="shared" si="28"/>
        <v>-7173</v>
      </c>
      <c r="J122" s="35">
        <f t="shared" si="23"/>
        <v>10938.400000000001</v>
      </c>
      <c r="K122" s="7">
        <f t="shared" si="28"/>
        <v>0</v>
      </c>
      <c r="L122" s="35">
        <f t="shared" si="20"/>
        <v>10938.400000000001</v>
      </c>
      <c r="M122" s="7">
        <f t="shared" si="28"/>
        <v>0</v>
      </c>
      <c r="N122" s="35">
        <f t="shared" si="21"/>
        <v>10938.400000000001</v>
      </c>
      <c r="O122" s="7">
        <f t="shared" si="28"/>
        <v>0</v>
      </c>
      <c r="P122" s="35">
        <f t="shared" si="16"/>
        <v>10938.400000000001</v>
      </c>
      <c r="Q122" s="7">
        <f t="shared" si="28"/>
        <v>0</v>
      </c>
      <c r="R122" s="35">
        <f t="shared" si="17"/>
        <v>10938.400000000001</v>
      </c>
      <c r="S122" s="7">
        <f t="shared" si="28"/>
        <v>-4200.5</v>
      </c>
      <c r="T122" s="35">
        <f t="shared" si="18"/>
        <v>6737.9000000000015</v>
      </c>
    </row>
    <row r="123" spans="1:20" ht="54" customHeight="1">
      <c r="A123" s="61" t="str">
        <f ca="1">IF(ISERROR(MATCH(E123,Код_КВР,0)),"",INDIRECT(ADDRESS(MATCH(E123,Код_КВР,0)+1,2,,,"КВР")))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3" s="43" t="s">
        <v>437</v>
      </c>
      <c r="C123" s="8" t="s">
        <v>195</v>
      </c>
      <c r="D123" s="1" t="s">
        <v>214</v>
      </c>
      <c r="E123" s="104">
        <v>611</v>
      </c>
      <c r="F123" s="7">
        <f>прил.6!G654</f>
        <v>18111.400000000001</v>
      </c>
      <c r="G123" s="7">
        <f>прил.6!H654</f>
        <v>0</v>
      </c>
      <c r="H123" s="35">
        <f t="shared" si="24"/>
        <v>18111.400000000001</v>
      </c>
      <c r="I123" s="7">
        <f>прил.6!J654</f>
        <v>-7173</v>
      </c>
      <c r="J123" s="35">
        <f t="shared" si="23"/>
        <v>10938.400000000001</v>
      </c>
      <c r="K123" s="7">
        <f>прил.6!L654</f>
        <v>0</v>
      </c>
      <c r="L123" s="35">
        <f t="shared" si="20"/>
        <v>10938.400000000001</v>
      </c>
      <c r="M123" s="7">
        <f>прил.6!N654</f>
        <v>0</v>
      </c>
      <c r="N123" s="35">
        <f t="shared" si="21"/>
        <v>10938.400000000001</v>
      </c>
      <c r="O123" s="7">
        <f>прил.6!P654</f>
        <v>0</v>
      </c>
      <c r="P123" s="35">
        <f t="shared" si="16"/>
        <v>10938.400000000001</v>
      </c>
      <c r="Q123" s="7">
        <f>прил.6!R654</f>
        <v>0</v>
      </c>
      <c r="R123" s="35">
        <f t="shared" si="17"/>
        <v>10938.400000000001</v>
      </c>
      <c r="S123" s="7">
        <f>прил.6!T654</f>
        <v>-4200.5</v>
      </c>
      <c r="T123" s="35">
        <f t="shared" si="18"/>
        <v>6737.9000000000015</v>
      </c>
    </row>
    <row r="124" spans="1:20">
      <c r="A124" s="12" t="s">
        <v>250</v>
      </c>
      <c r="B124" s="43" t="s">
        <v>437</v>
      </c>
      <c r="C124" s="8" t="s">
        <v>195</v>
      </c>
      <c r="D124" s="1" t="s">
        <v>219</v>
      </c>
      <c r="E124" s="104"/>
      <c r="F124" s="7">
        <f>F125</f>
        <v>0</v>
      </c>
      <c r="G124" s="7">
        <f t="shared" ref="G124:S126" si="32">G125</f>
        <v>0</v>
      </c>
      <c r="H124" s="7">
        <f t="shared" si="32"/>
        <v>0</v>
      </c>
      <c r="I124" s="7">
        <f t="shared" si="32"/>
        <v>7173</v>
      </c>
      <c r="J124" s="35">
        <f t="shared" si="23"/>
        <v>7173</v>
      </c>
      <c r="K124" s="7">
        <f t="shared" si="32"/>
        <v>0</v>
      </c>
      <c r="L124" s="35">
        <f t="shared" si="20"/>
        <v>7173</v>
      </c>
      <c r="M124" s="7">
        <f t="shared" si="32"/>
        <v>0</v>
      </c>
      <c r="N124" s="35">
        <f t="shared" si="21"/>
        <v>7173</v>
      </c>
      <c r="O124" s="7">
        <f t="shared" si="32"/>
        <v>0</v>
      </c>
      <c r="P124" s="35">
        <f t="shared" si="16"/>
        <v>7173</v>
      </c>
      <c r="Q124" s="7">
        <f t="shared" si="32"/>
        <v>0</v>
      </c>
      <c r="R124" s="35">
        <f t="shared" si="17"/>
        <v>7173</v>
      </c>
      <c r="S124" s="7">
        <f t="shared" si="32"/>
        <v>3329.8</v>
      </c>
      <c r="T124" s="35">
        <f t="shared" si="18"/>
        <v>10502.8</v>
      </c>
    </row>
    <row r="125" spans="1:20" ht="33">
      <c r="A125" s="61" t="str">
        <f ca="1">IF(ISERROR(MATCH(E125,Код_КВР,0)),"",INDIRECT(ADDRESS(MATCH(E125,Код_КВР,0)+1,2,,,"КВР")))</f>
        <v>Предоставление субсидий бюджетным, автономным учреждениям и иным некоммерческим организациям</v>
      </c>
      <c r="B125" s="43" t="s">
        <v>437</v>
      </c>
      <c r="C125" s="8" t="s">
        <v>195</v>
      </c>
      <c r="D125" s="1" t="s">
        <v>219</v>
      </c>
      <c r="E125" s="104">
        <v>600</v>
      </c>
      <c r="F125" s="7">
        <f>F126</f>
        <v>0</v>
      </c>
      <c r="G125" s="7">
        <f t="shared" si="32"/>
        <v>0</v>
      </c>
      <c r="H125" s="7">
        <f t="shared" si="32"/>
        <v>0</v>
      </c>
      <c r="I125" s="7">
        <f>I126+I128</f>
        <v>7173</v>
      </c>
      <c r="J125" s="35">
        <f t="shared" si="23"/>
        <v>7173</v>
      </c>
      <c r="K125" s="7">
        <f>K126+K128</f>
        <v>0</v>
      </c>
      <c r="L125" s="35">
        <f t="shared" si="20"/>
        <v>7173</v>
      </c>
      <c r="M125" s="7">
        <f>M126+M128</f>
        <v>0</v>
      </c>
      <c r="N125" s="35">
        <f t="shared" si="21"/>
        <v>7173</v>
      </c>
      <c r="O125" s="7">
        <f>O126+O128</f>
        <v>0</v>
      </c>
      <c r="P125" s="35">
        <f t="shared" si="16"/>
        <v>7173</v>
      </c>
      <c r="Q125" s="7">
        <f>Q126+Q128</f>
        <v>0</v>
      </c>
      <c r="R125" s="35">
        <f t="shared" si="17"/>
        <v>7173</v>
      </c>
      <c r="S125" s="7">
        <f>S126+S128</f>
        <v>3329.8</v>
      </c>
      <c r="T125" s="35">
        <f t="shared" si="18"/>
        <v>10502.8</v>
      </c>
    </row>
    <row r="126" spans="1:20">
      <c r="A126" s="61" t="str">
        <f ca="1">IF(ISERROR(MATCH(E126,Код_КВР,0)),"",INDIRECT(ADDRESS(MATCH(E126,Код_КВР,0)+1,2,,,"КВР")))</f>
        <v>Субсидии бюджетным учреждениям</v>
      </c>
      <c r="B126" s="43" t="s">
        <v>437</v>
      </c>
      <c r="C126" s="8" t="s">
        <v>195</v>
      </c>
      <c r="D126" s="1" t="s">
        <v>219</v>
      </c>
      <c r="E126" s="104">
        <v>610</v>
      </c>
      <c r="F126" s="7">
        <f>F127</f>
        <v>0</v>
      </c>
      <c r="G126" s="7">
        <f t="shared" si="32"/>
        <v>0</v>
      </c>
      <c r="H126" s="7">
        <f t="shared" si="32"/>
        <v>0</v>
      </c>
      <c r="I126" s="7">
        <f t="shared" si="32"/>
        <v>1874.9</v>
      </c>
      <c r="J126" s="35">
        <f t="shared" si="23"/>
        <v>1874.9</v>
      </c>
      <c r="K126" s="7">
        <f t="shared" si="32"/>
        <v>0</v>
      </c>
      <c r="L126" s="35">
        <f t="shared" si="20"/>
        <v>1874.9</v>
      </c>
      <c r="M126" s="7">
        <f t="shared" si="32"/>
        <v>0</v>
      </c>
      <c r="N126" s="35">
        <f t="shared" si="21"/>
        <v>1874.9</v>
      </c>
      <c r="O126" s="7">
        <f t="shared" si="32"/>
        <v>0</v>
      </c>
      <c r="P126" s="35">
        <f t="shared" si="16"/>
        <v>1874.9</v>
      </c>
      <c r="Q126" s="7">
        <f t="shared" si="32"/>
        <v>0</v>
      </c>
      <c r="R126" s="35">
        <f t="shared" si="17"/>
        <v>1874.9</v>
      </c>
      <c r="S126" s="7">
        <f t="shared" si="32"/>
        <v>0</v>
      </c>
      <c r="T126" s="35">
        <f t="shared" si="18"/>
        <v>1874.9</v>
      </c>
    </row>
    <row r="127" spans="1:20" ht="55.5" customHeight="1">
      <c r="A127" s="61" t="str">
        <f ca="1">IF(ISERROR(MATCH(E127,Код_КВР,0)),"",INDIRECT(ADDRESS(MATCH(E127,Код_КВР,0)+1,2,,,"КВР")))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7" s="43" t="s">
        <v>437</v>
      </c>
      <c r="C127" s="8" t="s">
        <v>195</v>
      </c>
      <c r="D127" s="1" t="s">
        <v>219</v>
      </c>
      <c r="E127" s="104">
        <v>611</v>
      </c>
      <c r="F127" s="7">
        <f>прил.6!G734</f>
        <v>0</v>
      </c>
      <c r="G127" s="7">
        <f>прил.6!H734</f>
        <v>0</v>
      </c>
      <c r="H127" s="7">
        <f>прил.6!I734</f>
        <v>0</v>
      </c>
      <c r="I127" s="7">
        <f>прил.6!J734</f>
        <v>1874.9</v>
      </c>
      <c r="J127" s="35">
        <f t="shared" si="23"/>
        <v>1874.9</v>
      </c>
      <c r="K127" s="7">
        <f>прил.6!L734</f>
        <v>0</v>
      </c>
      <c r="L127" s="35">
        <f t="shared" si="20"/>
        <v>1874.9</v>
      </c>
      <c r="M127" s="7">
        <f>прил.6!N734</f>
        <v>0</v>
      </c>
      <c r="N127" s="35">
        <f t="shared" si="21"/>
        <v>1874.9</v>
      </c>
      <c r="O127" s="7">
        <f>прил.6!P734</f>
        <v>0</v>
      </c>
      <c r="P127" s="35">
        <f t="shared" si="16"/>
        <v>1874.9</v>
      </c>
      <c r="Q127" s="7">
        <f>прил.6!R734</f>
        <v>0</v>
      </c>
      <c r="R127" s="35">
        <f t="shared" si="17"/>
        <v>1874.9</v>
      </c>
      <c r="S127" s="7">
        <f>прил.6!T734</f>
        <v>0</v>
      </c>
      <c r="T127" s="35">
        <f t="shared" si="18"/>
        <v>1874.9</v>
      </c>
    </row>
    <row r="128" spans="1:20" ht="30.75" customHeight="1">
      <c r="A128" s="61" t="str">
        <f ca="1">IF(ISERROR(MATCH(E128,Код_КВР,0)),"",INDIRECT(ADDRESS(MATCH(E128,Код_КВР,0)+1,2,,,"КВР")))</f>
        <v>Субсидии автономным учреждениям</v>
      </c>
      <c r="B128" s="43" t="s">
        <v>437</v>
      </c>
      <c r="C128" s="8" t="s">
        <v>195</v>
      </c>
      <c r="D128" s="1" t="s">
        <v>219</v>
      </c>
      <c r="E128" s="104">
        <v>620</v>
      </c>
      <c r="F128" s="7"/>
      <c r="G128" s="7"/>
      <c r="H128" s="7"/>
      <c r="I128" s="7">
        <f>I129</f>
        <v>5298.1</v>
      </c>
      <c r="J128" s="35">
        <f t="shared" si="23"/>
        <v>5298.1</v>
      </c>
      <c r="K128" s="7">
        <f>K129</f>
        <v>0</v>
      </c>
      <c r="L128" s="35">
        <f t="shared" si="20"/>
        <v>5298.1</v>
      </c>
      <c r="M128" s="7">
        <f>M129</f>
        <v>0</v>
      </c>
      <c r="N128" s="35">
        <f t="shared" si="21"/>
        <v>5298.1</v>
      </c>
      <c r="O128" s="7">
        <f>O129</f>
        <v>0</v>
      </c>
      <c r="P128" s="35">
        <f t="shared" si="16"/>
        <v>5298.1</v>
      </c>
      <c r="Q128" s="7">
        <f>Q129</f>
        <v>0</v>
      </c>
      <c r="R128" s="35">
        <f t="shared" si="17"/>
        <v>5298.1</v>
      </c>
      <c r="S128" s="7">
        <f>S129</f>
        <v>3329.8</v>
      </c>
      <c r="T128" s="35">
        <f t="shared" si="18"/>
        <v>8627.9000000000015</v>
      </c>
    </row>
    <row r="129" spans="1:20" ht="55.5" customHeight="1">
      <c r="A129" s="61" t="str">
        <f ca="1">IF(ISERROR(MATCH(E129,Код_КВР,0)),"",INDIRECT(ADDRESS(MATCH(E129,Код_КВР,0)+1,2,,,"КВР")))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29" s="43" t="s">
        <v>437</v>
      </c>
      <c r="C129" s="8" t="s">
        <v>195</v>
      </c>
      <c r="D129" s="1" t="s">
        <v>219</v>
      </c>
      <c r="E129" s="104">
        <v>621</v>
      </c>
      <c r="F129" s="7"/>
      <c r="G129" s="7"/>
      <c r="H129" s="7"/>
      <c r="I129" s="7">
        <f>прил.6!J736</f>
        <v>5298.1</v>
      </c>
      <c r="J129" s="35">
        <f t="shared" si="23"/>
        <v>5298.1</v>
      </c>
      <c r="K129" s="7">
        <f>прил.6!L736</f>
        <v>0</v>
      </c>
      <c r="L129" s="35">
        <f t="shared" si="20"/>
        <v>5298.1</v>
      </c>
      <c r="M129" s="7">
        <f>прил.6!N736</f>
        <v>0</v>
      </c>
      <c r="N129" s="35">
        <f t="shared" si="21"/>
        <v>5298.1</v>
      </c>
      <c r="O129" s="7">
        <f>прил.6!P736</f>
        <v>0</v>
      </c>
      <c r="P129" s="35">
        <f t="shared" si="16"/>
        <v>5298.1</v>
      </c>
      <c r="Q129" s="7">
        <f>прил.6!R736</f>
        <v>0</v>
      </c>
      <c r="R129" s="35">
        <f t="shared" si="17"/>
        <v>5298.1</v>
      </c>
      <c r="S129" s="7">
        <f>прил.6!T736</f>
        <v>3329.8</v>
      </c>
      <c r="T129" s="35">
        <f t="shared" si="18"/>
        <v>8627.9000000000015</v>
      </c>
    </row>
    <row r="130" spans="1:20" ht="20.25" customHeight="1">
      <c r="A130" s="61" t="str">
        <f ca="1">IF(ISERROR(MATCH(B130,Код_КЦСР,0)),"",INDIRECT(ADDRESS(MATCH(B130,Код_КЦСР,0)+1,2,,,"КЦСР")))</f>
        <v>Дополнительное образование</v>
      </c>
      <c r="B130" s="43" t="s">
        <v>285</v>
      </c>
      <c r="C130" s="8"/>
      <c r="D130" s="1"/>
      <c r="E130" s="104"/>
      <c r="F130" s="7">
        <f>F131+F137+F143</f>
        <v>90338.2</v>
      </c>
      <c r="G130" s="7">
        <f>G131+G137+G143</f>
        <v>0</v>
      </c>
      <c r="H130" s="35">
        <f t="shared" si="24"/>
        <v>90338.2</v>
      </c>
      <c r="I130" s="7">
        <f>I131+I137+I143</f>
        <v>0</v>
      </c>
      <c r="J130" s="35">
        <f t="shared" si="23"/>
        <v>90338.2</v>
      </c>
      <c r="K130" s="7">
        <f>K131+K137+K143</f>
        <v>-77</v>
      </c>
      <c r="L130" s="35">
        <f t="shared" si="20"/>
        <v>90261.2</v>
      </c>
      <c r="M130" s="7">
        <f>M131+M137+M143</f>
        <v>0</v>
      </c>
      <c r="N130" s="35">
        <f t="shared" si="21"/>
        <v>90261.2</v>
      </c>
      <c r="O130" s="7">
        <f>O131+O137+O143</f>
        <v>0</v>
      </c>
      <c r="P130" s="35">
        <f t="shared" si="16"/>
        <v>90261.2</v>
      </c>
      <c r="Q130" s="7">
        <f>Q131+Q137+Q143</f>
        <v>0</v>
      </c>
      <c r="R130" s="35">
        <f t="shared" si="17"/>
        <v>90261.2</v>
      </c>
      <c r="S130" s="7">
        <f>S131+S137+S143</f>
        <v>373.2</v>
      </c>
      <c r="T130" s="35">
        <f t="shared" si="18"/>
        <v>90634.4</v>
      </c>
    </row>
    <row r="131" spans="1:20" ht="19.5" customHeight="1">
      <c r="A131" s="61" t="str">
        <f ca="1">IF(ISERROR(MATCH(B131,Код_КЦСР,0)),"",INDIRECT(ADDRESS(MATCH(B131,Код_КЦСР,0)+1,2,,,"КЦСР")))</f>
        <v xml:space="preserve">Организация предоставления дополнительного образования детям </v>
      </c>
      <c r="B131" s="43" t="s">
        <v>287</v>
      </c>
      <c r="C131" s="8"/>
      <c r="D131" s="1"/>
      <c r="E131" s="104"/>
      <c r="F131" s="7">
        <f t="shared" ref="F131:S135" si="33">F132</f>
        <v>88222.7</v>
      </c>
      <c r="G131" s="7">
        <f t="shared" si="33"/>
        <v>0</v>
      </c>
      <c r="H131" s="35">
        <f t="shared" si="24"/>
        <v>88222.7</v>
      </c>
      <c r="I131" s="7">
        <f t="shared" si="33"/>
        <v>0</v>
      </c>
      <c r="J131" s="35">
        <f t="shared" si="23"/>
        <v>88222.7</v>
      </c>
      <c r="K131" s="7">
        <f t="shared" si="33"/>
        <v>-77</v>
      </c>
      <c r="L131" s="35">
        <f t="shared" si="20"/>
        <v>88145.7</v>
      </c>
      <c r="M131" s="7">
        <f t="shared" si="33"/>
        <v>0</v>
      </c>
      <c r="N131" s="35">
        <f t="shared" si="21"/>
        <v>88145.7</v>
      </c>
      <c r="O131" s="7">
        <f t="shared" si="33"/>
        <v>0</v>
      </c>
      <c r="P131" s="35">
        <f t="shared" si="16"/>
        <v>88145.7</v>
      </c>
      <c r="Q131" s="7">
        <f t="shared" si="33"/>
        <v>0</v>
      </c>
      <c r="R131" s="35">
        <f t="shared" si="17"/>
        <v>88145.7</v>
      </c>
      <c r="S131" s="7">
        <f t="shared" si="33"/>
        <v>373.2</v>
      </c>
      <c r="T131" s="35">
        <f t="shared" si="18"/>
        <v>88518.9</v>
      </c>
    </row>
    <row r="132" spans="1:20" ht="21" customHeight="1">
      <c r="A132" s="61" t="str">
        <f ca="1">IF(ISERROR(MATCH(C132,Код_Раздел,0)),"",INDIRECT(ADDRESS(MATCH(C132,Код_Раздел,0)+1,2,,,"Раздел")))</f>
        <v>Образование</v>
      </c>
      <c r="B132" s="43" t="s">
        <v>287</v>
      </c>
      <c r="C132" s="8" t="s">
        <v>195</v>
      </c>
      <c r="D132" s="1"/>
      <c r="E132" s="104"/>
      <c r="F132" s="7">
        <f t="shared" si="33"/>
        <v>88222.7</v>
      </c>
      <c r="G132" s="7">
        <f t="shared" si="33"/>
        <v>0</v>
      </c>
      <c r="H132" s="35">
        <f t="shared" si="24"/>
        <v>88222.7</v>
      </c>
      <c r="I132" s="7">
        <f t="shared" si="33"/>
        <v>0</v>
      </c>
      <c r="J132" s="35">
        <f t="shared" si="23"/>
        <v>88222.7</v>
      </c>
      <c r="K132" s="7">
        <f t="shared" si="33"/>
        <v>-77</v>
      </c>
      <c r="L132" s="35">
        <f t="shared" si="20"/>
        <v>88145.7</v>
      </c>
      <c r="M132" s="7">
        <f t="shared" si="33"/>
        <v>0</v>
      </c>
      <c r="N132" s="35">
        <f t="shared" si="21"/>
        <v>88145.7</v>
      </c>
      <c r="O132" s="7">
        <f t="shared" si="33"/>
        <v>0</v>
      </c>
      <c r="P132" s="35">
        <f t="shared" si="16"/>
        <v>88145.7</v>
      </c>
      <c r="Q132" s="7">
        <f t="shared" si="33"/>
        <v>0</v>
      </c>
      <c r="R132" s="35">
        <f t="shared" si="17"/>
        <v>88145.7</v>
      </c>
      <c r="S132" s="7">
        <f t="shared" si="33"/>
        <v>373.2</v>
      </c>
      <c r="T132" s="35">
        <f t="shared" si="18"/>
        <v>88518.9</v>
      </c>
    </row>
    <row r="133" spans="1:20" ht="20.25" customHeight="1">
      <c r="A133" s="12" t="s">
        <v>250</v>
      </c>
      <c r="B133" s="43" t="s">
        <v>287</v>
      </c>
      <c r="C133" s="8" t="s">
        <v>195</v>
      </c>
      <c r="D133" s="1" t="s">
        <v>214</v>
      </c>
      <c r="E133" s="104"/>
      <c r="F133" s="7">
        <f t="shared" si="33"/>
        <v>88222.7</v>
      </c>
      <c r="G133" s="7">
        <f t="shared" si="33"/>
        <v>0</v>
      </c>
      <c r="H133" s="35">
        <f t="shared" si="24"/>
        <v>88222.7</v>
      </c>
      <c r="I133" s="7">
        <f t="shared" si="33"/>
        <v>0</v>
      </c>
      <c r="J133" s="35">
        <f t="shared" si="23"/>
        <v>88222.7</v>
      </c>
      <c r="K133" s="7">
        <f t="shared" si="33"/>
        <v>-77</v>
      </c>
      <c r="L133" s="35">
        <f t="shared" si="20"/>
        <v>88145.7</v>
      </c>
      <c r="M133" s="7">
        <f t="shared" si="33"/>
        <v>0</v>
      </c>
      <c r="N133" s="35">
        <f t="shared" si="21"/>
        <v>88145.7</v>
      </c>
      <c r="O133" s="7">
        <f t="shared" si="33"/>
        <v>0</v>
      </c>
      <c r="P133" s="35">
        <f t="shared" si="16"/>
        <v>88145.7</v>
      </c>
      <c r="Q133" s="7">
        <f t="shared" si="33"/>
        <v>0</v>
      </c>
      <c r="R133" s="35">
        <f t="shared" si="17"/>
        <v>88145.7</v>
      </c>
      <c r="S133" s="7">
        <f t="shared" si="33"/>
        <v>373.2</v>
      </c>
      <c r="T133" s="35">
        <f t="shared" si="18"/>
        <v>88518.9</v>
      </c>
    </row>
    <row r="134" spans="1:20" ht="36.75" customHeight="1">
      <c r="A134" s="61" t="str">
        <f ca="1">IF(ISERROR(MATCH(E134,Код_КВР,0)),"",INDIRECT(ADDRESS(MATCH(E134,Код_КВР,0)+1,2,,,"КВР")))</f>
        <v>Предоставление субсидий бюджетным, автономным учреждениям и иным некоммерческим организациям</v>
      </c>
      <c r="B134" s="43" t="s">
        <v>287</v>
      </c>
      <c r="C134" s="8" t="s">
        <v>195</v>
      </c>
      <c r="D134" s="1" t="s">
        <v>214</v>
      </c>
      <c r="E134" s="104">
        <v>600</v>
      </c>
      <c r="F134" s="7">
        <f t="shared" si="33"/>
        <v>88222.7</v>
      </c>
      <c r="G134" s="7">
        <f t="shared" si="33"/>
        <v>0</v>
      </c>
      <c r="H134" s="35">
        <f t="shared" si="24"/>
        <v>88222.7</v>
      </c>
      <c r="I134" s="7">
        <f t="shared" si="33"/>
        <v>0</v>
      </c>
      <c r="J134" s="35">
        <f t="shared" si="23"/>
        <v>88222.7</v>
      </c>
      <c r="K134" s="7">
        <f t="shared" si="33"/>
        <v>-77</v>
      </c>
      <c r="L134" s="35">
        <f t="shared" si="20"/>
        <v>88145.7</v>
      </c>
      <c r="M134" s="7">
        <f t="shared" si="33"/>
        <v>0</v>
      </c>
      <c r="N134" s="35">
        <f t="shared" si="21"/>
        <v>88145.7</v>
      </c>
      <c r="O134" s="7">
        <f t="shared" si="33"/>
        <v>0</v>
      </c>
      <c r="P134" s="35">
        <f t="shared" si="16"/>
        <v>88145.7</v>
      </c>
      <c r="Q134" s="7">
        <f t="shared" si="33"/>
        <v>0</v>
      </c>
      <c r="R134" s="35">
        <f t="shared" si="17"/>
        <v>88145.7</v>
      </c>
      <c r="S134" s="7">
        <f t="shared" si="33"/>
        <v>373.2</v>
      </c>
      <c r="T134" s="35">
        <f t="shared" si="18"/>
        <v>88518.9</v>
      </c>
    </row>
    <row r="135" spans="1:20" ht="19.5" customHeight="1">
      <c r="A135" s="61" t="str">
        <f ca="1">IF(ISERROR(MATCH(E135,Код_КВР,0)),"",INDIRECT(ADDRESS(MATCH(E135,Код_КВР,0)+1,2,,,"КВР")))</f>
        <v>Субсидии бюджетным учреждениям</v>
      </c>
      <c r="B135" s="43" t="s">
        <v>287</v>
      </c>
      <c r="C135" s="8" t="s">
        <v>195</v>
      </c>
      <c r="D135" s="1" t="s">
        <v>214</v>
      </c>
      <c r="E135" s="104">
        <v>610</v>
      </c>
      <c r="F135" s="7">
        <f t="shared" si="33"/>
        <v>88222.7</v>
      </c>
      <c r="G135" s="7">
        <f t="shared" si="33"/>
        <v>0</v>
      </c>
      <c r="H135" s="35">
        <f t="shared" si="24"/>
        <v>88222.7</v>
      </c>
      <c r="I135" s="7">
        <f t="shared" si="33"/>
        <v>0</v>
      </c>
      <c r="J135" s="35">
        <f t="shared" si="23"/>
        <v>88222.7</v>
      </c>
      <c r="K135" s="7">
        <f t="shared" si="33"/>
        <v>-77</v>
      </c>
      <c r="L135" s="35">
        <f t="shared" si="20"/>
        <v>88145.7</v>
      </c>
      <c r="M135" s="7">
        <f t="shared" si="33"/>
        <v>0</v>
      </c>
      <c r="N135" s="35">
        <f t="shared" si="21"/>
        <v>88145.7</v>
      </c>
      <c r="O135" s="7">
        <f t="shared" si="33"/>
        <v>0</v>
      </c>
      <c r="P135" s="35">
        <f t="shared" si="16"/>
        <v>88145.7</v>
      </c>
      <c r="Q135" s="7">
        <f t="shared" si="33"/>
        <v>0</v>
      </c>
      <c r="R135" s="35">
        <f t="shared" si="17"/>
        <v>88145.7</v>
      </c>
      <c r="S135" s="7">
        <f t="shared" si="33"/>
        <v>373.2</v>
      </c>
      <c r="T135" s="35">
        <f t="shared" si="18"/>
        <v>88518.9</v>
      </c>
    </row>
    <row r="136" spans="1:20" ht="53.25" customHeight="1">
      <c r="A136" s="61" t="str">
        <f ca="1">IF(ISERROR(MATCH(E136,Код_КВР,0)),"",INDIRECT(ADDRESS(MATCH(E136,Код_КВР,0)+1,2,,,"КВР")))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36" s="43" t="s">
        <v>287</v>
      </c>
      <c r="C136" s="8" t="s">
        <v>195</v>
      </c>
      <c r="D136" s="1" t="s">
        <v>214</v>
      </c>
      <c r="E136" s="104">
        <v>611</v>
      </c>
      <c r="F136" s="7">
        <f>прил.6!G661</f>
        <v>88222.7</v>
      </c>
      <c r="G136" s="7">
        <f>прил.6!H661</f>
        <v>0</v>
      </c>
      <c r="H136" s="35">
        <f t="shared" si="24"/>
        <v>88222.7</v>
      </c>
      <c r="I136" s="7">
        <f>прил.6!J661</f>
        <v>0</v>
      </c>
      <c r="J136" s="35">
        <f t="shared" si="23"/>
        <v>88222.7</v>
      </c>
      <c r="K136" s="7">
        <f>прил.6!L661</f>
        <v>-77</v>
      </c>
      <c r="L136" s="35">
        <f t="shared" si="20"/>
        <v>88145.7</v>
      </c>
      <c r="M136" s="7">
        <f>прил.6!N661</f>
        <v>0</v>
      </c>
      <c r="N136" s="35">
        <f t="shared" si="21"/>
        <v>88145.7</v>
      </c>
      <c r="O136" s="7">
        <f>прил.6!P661</f>
        <v>0</v>
      </c>
      <c r="P136" s="35">
        <f t="shared" si="16"/>
        <v>88145.7</v>
      </c>
      <c r="Q136" s="7">
        <f>прил.6!R661</f>
        <v>0</v>
      </c>
      <c r="R136" s="35">
        <f t="shared" si="17"/>
        <v>88145.7</v>
      </c>
      <c r="S136" s="7">
        <f>прил.6!T661</f>
        <v>373.2</v>
      </c>
      <c r="T136" s="35">
        <f t="shared" si="18"/>
        <v>88518.9</v>
      </c>
    </row>
    <row r="137" spans="1:20" ht="53.25" customHeight="1">
      <c r="A137" s="61" t="str">
        <f ca="1">IF(ISERROR(MATCH(B137,Код_КЦСР,0)),"",INDIRECT(ADDRESS(MATCH(B137,Код_КЦСР,0)+1,2,,,"КЦСР")))</f>
        <v xml:space="preserve">Организация и проведение массовых мероприятий муниципального уровня различной направленности с обучающимися, обеспечение участия в мероприятиях различного уровня </v>
      </c>
      <c r="B137" s="43" t="s">
        <v>289</v>
      </c>
      <c r="C137" s="8"/>
      <c r="D137" s="1"/>
      <c r="E137" s="104"/>
      <c r="F137" s="7">
        <f t="shared" ref="F137:S141" si="34">F138</f>
        <v>258</v>
      </c>
      <c r="G137" s="7">
        <f t="shared" si="34"/>
        <v>0</v>
      </c>
      <c r="H137" s="35">
        <f t="shared" si="24"/>
        <v>258</v>
      </c>
      <c r="I137" s="7">
        <f t="shared" si="34"/>
        <v>0</v>
      </c>
      <c r="J137" s="35">
        <f t="shared" si="23"/>
        <v>258</v>
      </c>
      <c r="K137" s="7">
        <f t="shared" si="34"/>
        <v>0</v>
      </c>
      <c r="L137" s="35">
        <f t="shared" si="20"/>
        <v>258</v>
      </c>
      <c r="M137" s="7">
        <f t="shared" si="34"/>
        <v>0</v>
      </c>
      <c r="N137" s="35">
        <f t="shared" si="21"/>
        <v>258</v>
      </c>
      <c r="O137" s="7">
        <f t="shared" si="34"/>
        <v>0</v>
      </c>
      <c r="P137" s="35">
        <f t="shared" si="16"/>
        <v>258</v>
      </c>
      <c r="Q137" s="7">
        <f t="shared" si="34"/>
        <v>0</v>
      </c>
      <c r="R137" s="35">
        <f t="shared" si="17"/>
        <v>258</v>
      </c>
      <c r="S137" s="7">
        <f t="shared" si="34"/>
        <v>0</v>
      </c>
      <c r="T137" s="35">
        <f t="shared" si="18"/>
        <v>258</v>
      </c>
    </row>
    <row r="138" spans="1:20">
      <c r="A138" s="61" t="str">
        <f ca="1">IF(ISERROR(MATCH(C138,Код_Раздел,0)),"",INDIRECT(ADDRESS(MATCH(C138,Код_Раздел,0)+1,2,,,"Раздел")))</f>
        <v>Образование</v>
      </c>
      <c r="B138" s="43" t="s">
        <v>289</v>
      </c>
      <c r="C138" s="8" t="s">
        <v>195</v>
      </c>
      <c r="D138" s="1"/>
      <c r="E138" s="104"/>
      <c r="F138" s="7">
        <f t="shared" si="34"/>
        <v>258</v>
      </c>
      <c r="G138" s="7">
        <f t="shared" si="34"/>
        <v>0</v>
      </c>
      <c r="H138" s="35">
        <f t="shared" si="24"/>
        <v>258</v>
      </c>
      <c r="I138" s="7">
        <f t="shared" si="34"/>
        <v>0</v>
      </c>
      <c r="J138" s="35">
        <f t="shared" si="23"/>
        <v>258</v>
      </c>
      <c r="K138" s="7">
        <f t="shared" si="34"/>
        <v>0</v>
      </c>
      <c r="L138" s="35">
        <f t="shared" si="20"/>
        <v>258</v>
      </c>
      <c r="M138" s="7">
        <f t="shared" si="34"/>
        <v>0</v>
      </c>
      <c r="N138" s="35">
        <f t="shared" si="21"/>
        <v>258</v>
      </c>
      <c r="O138" s="7">
        <f t="shared" si="34"/>
        <v>0</v>
      </c>
      <c r="P138" s="35">
        <f t="shared" si="16"/>
        <v>258</v>
      </c>
      <c r="Q138" s="7">
        <f t="shared" si="34"/>
        <v>0</v>
      </c>
      <c r="R138" s="35">
        <f t="shared" si="17"/>
        <v>258</v>
      </c>
      <c r="S138" s="7">
        <f t="shared" si="34"/>
        <v>0</v>
      </c>
      <c r="T138" s="35">
        <f t="shared" si="18"/>
        <v>258</v>
      </c>
    </row>
    <row r="139" spans="1:20">
      <c r="A139" s="12" t="s">
        <v>251</v>
      </c>
      <c r="B139" s="43" t="s">
        <v>289</v>
      </c>
      <c r="C139" s="8" t="s">
        <v>195</v>
      </c>
      <c r="D139" s="1" t="s">
        <v>219</v>
      </c>
      <c r="E139" s="104"/>
      <c r="F139" s="7">
        <f t="shared" si="34"/>
        <v>258</v>
      </c>
      <c r="G139" s="7">
        <f t="shared" si="34"/>
        <v>0</v>
      </c>
      <c r="H139" s="35">
        <f t="shared" si="24"/>
        <v>258</v>
      </c>
      <c r="I139" s="7">
        <f t="shared" si="34"/>
        <v>0</v>
      </c>
      <c r="J139" s="35">
        <f t="shared" si="23"/>
        <v>258</v>
      </c>
      <c r="K139" s="7">
        <f t="shared" si="34"/>
        <v>0</v>
      </c>
      <c r="L139" s="35">
        <f t="shared" si="20"/>
        <v>258</v>
      </c>
      <c r="M139" s="7">
        <f t="shared" si="34"/>
        <v>0</v>
      </c>
      <c r="N139" s="35">
        <f t="shared" si="21"/>
        <v>258</v>
      </c>
      <c r="O139" s="7">
        <f t="shared" si="34"/>
        <v>0</v>
      </c>
      <c r="P139" s="35">
        <f t="shared" si="16"/>
        <v>258</v>
      </c>
      <c r="Q139" s="7">
        <f t="shared" si="34"/>
        <v>0</v>
      </c>
      <c r="R139" s="35">
        <f t="shared" si="17"/>
        <v>258</v>
      </c>
      <c r="S139" s="7">
        <f t="shared" si="34"/>
        <v>0</v>
      </c>
      <c r="T139" s="35">
        <f t="shared" si="18"/>
        <v>258</v>
      </c>
    </row>
    <row r="140" spans="1:20" ht="33">
      <c r="A140" s="61" t="str">
        <f ca="1">IF(ISERROR(MATCH(E140,Код_КВР,0)),"",INDIRECT(ADDRESS(MATCH(E140,Код_КВР,0)+1,2,,,"КВР")))</f>
        <v>Предоставление субсидий бюджетным, автономным учреждениям и иным некоммерческим организациям</v>
      </c>
      <c r="B140" s="43" t="s">
        <v>289</v>
      </c>
      <c r="C140" s="8" t="s">
        <v>195</v>
      </c>
      <c r="D140" s="1" t="s">
        <v>219</v>
      </c>
      <c r="E140" s="104">
        <v>600</v>
      </c>
      <c r="F140" s="7">
        <f t="shared" si="34"/>
        <v>258</v>
      </c>
      <c r="G140" s="7">
        <f t="shared" si="34"/>
        <v>0</v>
      </c>
      <c r="H140" s="35">
        <f t="shared" si="24"/>
        <v>258</v>
      </c>
      <c r="I140" s="7">
        <f t="shared" si="34"/>
        <v>0</v>
      </c>
      <c r="J140" s="35">
        <f t="shared" si="23"/>
        <v>258</v>
      </c>
      <c r="K140" s="7">
        <f t="shared" si="34"/>
        <v>0</v>
      </c>
      <c r="L140" s="35">
        <f t="shared" si="20"/>
        <v>258</v>
      </c>
      <c r="M140" s="7">
        <f t="shared" si="34"/>
        <v>0</v>
      </c>
      <c r="N140" s="35">
        <f t="shared" si="21"/>
        <v>258</v>
      </c>
      <c r="O140" s="7">
        <f t="shared" si="34"/>
        <v>0</v>
      </c>
      <c r="P140" s="35">
        <f t="shared" si="16"/>
        <v>258</v>
      </c>
      <c r="Q140" s="7">
        <f t="shared" si="34"/>
        <v>0</v>
      </c>
      <c r="R140" s="35">
        <f t="shared" si="17"/>
        <v>258</v>
      </c>
      <c r="S140" s="7">
        <f t="shared" si="34"/>
        <v>0</v>
      </c>
      <c r="T140" s="35">
        <f t="shared" si="18"/>
        <v>258</v>
      </c>
    </row>
    <row r="141" spans="1:20" ht="21" customHeight="1">
      <c r="A141" s="61" t="str">
        <f ca="1">IF(ISERROR(MATCH(E141,Код_КВР,0)),"",INDIRECT(ADDRESS(MATCH(E141,Код_КВР,0)+1,2,,,"КВР")))</f>
        <v>Субсидии бюджетным учреждениям</v>
      </c>
      <c r="B141" s="43" t="s">
        <v>289</v>
      </c>
      <c r="C141" s="8" t="s">
        <v>195</v>
      </c>
      <c r="D141" s="1" t="s">
        <v>219</v>
      </c>
      <c r="E141" s="104">
        <v>610</v>
      </c>
      <c r="F141" s="7">
        <f t="shared" si="34"/>
        <v>258</v>
      </c>
      <c r="G141" s="7">
        <f t="shared" si="34"/>
        <v>0</v>
      </c>
      <c r="H141" s="35">
        <f t="shared" si="24"/>
        <v>258</v>
      </c>
      <c r="I141" s="7">
        <f t="shared" si="34"/>
        <v>0</v>
      </c>
      <c r="J141" s="35">
        <f t="shared" si="23"/>
        <v>258</v>
      </c>
      <c r="K141" s="7">
        <f t="shared" si="34"/>
        <v>0</v>
      </c>
      <c r="L141" s="35">
        <f t="shared" si="20"/>
        <v>258</v>
      </c>
      <c r="M141" s="7">
        <f t="shared" si="34"/>
        <v>0</v>
      </c>
      <c r="N141" s="35">
        <f t="shared" si="21"/>
        <v>258</v>
      </c>
      <c r="O141" s="7">
        <f t="shared" si="34"/>
        <v>0</v>
      </c>
      <c r="P141" s="35">
        <f t="shared" si="16"/>
        <v>258</v>
      </c>
      <c r="Q141" s="7">
        <f t="shared" si="34"/>
        <v>0</v>
      </c>
      <c r="R141" s="35">
        <f t="shared" si="17"/>
        <v>258</v>
      </c>
      <c r="S141" s="7">
        <f t="shared" si="34"/>
        <v>0</v>
      </c>
      <c r="T141" s="35">
        <f t="shared" si="18"/>
        <v>258</v>
      </c>
    </row>
    <row r="142" spans="1:20" ht="54" customHeight="1">
      <c r="A142" s="61" t="str">
        <f ca="1">IF(ISERROR(MATCH(E142,Код_КВР,0)),"",INDIRECT(ADDRESS(MATCH(E142,Код_КВР,0)+1,2,,,"КВР")))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42" s="43" t="s">
        <v>289</v>
      </c>
      <c r="C142" s="8" t="s">
        <v>195</v>
      </c>
      <c r="D142" s="1" t="s">
        <v>219</v>
      </c>
      <c r="E142" s="104">
        <v>611</v>
      </c>
      <c r="F142" s="7">
        <f>прил.6!G741</f>
        <v>258</v>
      </c>
      <c r="G142" s="7">
        <f>прил.6!H741</f>
        <v>0</v>
      </c>
      <c r="H142" s="35">
        <f t="shared" si="24"/>
        <v>258</v>
      </c>
      <c r="I142" s="7">
        <f>прил.6!J741</f>
        <v>0</v>
      </c>
      <c r="J142" s="35">
        <f t="shared" si="23"/>
        <v>258</v>
      </c>
      <c r="K142" s="7">
        <f>прил.6!L741</f>
        <v>0</v>
      </c>
      <c r="L142" s="35">
        <f t="shared" si="20"/>
        <v>258</v>
      </c>
      <c r="M142" s="7">
        <f>прил.6!N741</f>
        <v>0</v>
      </c>
      <c r="N142" s="35">
        <f t="shared" si="21"/>
        <v>258</v>
      </c>
      <c r="O142" s="7">
        <f>прил.6!P741</f>
        <v>0</v>
      </c>
      <c r="P142" s="35">
        <f t="shared" si="16"/>
        <v>258</v>
      </c>
      <c r="Q142" s="7">
        <f>прил.6!R741</f>
        <v>0</v>
      </c>
      <c r="R142" s="35">
        <f t="shared" si="17"/>
        <v>258</v>
      </c>
      <c r="S142" s="7">
        <f>прил.6!T741</f>
        <v>0</v>
      </c>
      <c r="T142" s="35">
        <f t="shared" si="18"/>
        <v>258</v>
      </c>
    </row>
    <row r="143" spans="1:20" ht="87.75" customHeight="1">
      <c r="A143" s="61" t="str">
        <f ca="1">IF(ISERROR(MATCH(B143,Код_КЦСР,0)),"",INDIRECT(ADDRESS(MATCH(B143,Код_КЦСР,0)+1,2,,,"КЦСР")))</f>
        <v>Оказание методической помощи муниципальным общеобразовательным учреждениям, реализующим основные общеобразовательные программы – образовательные программы начального общего, основного общего, среднего общего образования</v>
      </c>
      <c r="B143" s="43" t="s">
        <v>109</v>
      </c>
      <c r="C143" s="8"/>
      <c r="D143" s="1"/>
      <c r="E143" s="104"/>
      <c r="F143" s="7">
        <f t="shared" ref="F143:S147" si="35">F144</f>
        <v>1857.5</v>
      </c>
      <c r="G143" s="7">
        <f t="shared" si="35"/>
        <v>0</v>
      </c>
      <c r="H143" s="35">
        <f t="shared" si="24"/>
        <v>1857.5</v>
      </c>
      <c r="I143" s="7">
        <f t="shared" si="35"/>
        <v>0</v>
      </c>
      <c r="J143" s="35">
        <f t="shared" si="23"/>
        <v>1857.5</v>
      </c>
      <c r="K143" s="7">
        <f t="shared" si="35"/>
        <v>0</v>
      </c>
      <c r="L143" s="35">
        <f t="shared" si="20"/>
        <v>1857.5</v>
      </c>
      <c r="M143" s="7">
        <f t="shared" si="35"/>
        <v>0</v>
      </c>
      <c r="N143" s="35">
        <f t="shared" si="21"/>
        <v>1857.5</v>
      </c>
      <c r="O143" s="7">
        <f t="shared" si="35"/>
        <v>0</v>
      </c>
      <c r="P143" s="35">
        <f t="shared" si="16"/>
        <v>1857.5</v>
      </c>
      <c r="Q143" s="7">
        <f t="shared" si="35"/>
        <v>0</v>
      </c>
      <c r="R143" s="35">
        <f t="shared" si="17"/>
        <v>1857.5</v>
      </c>
      <c r="S143" s="7">
        <f t="shared" si="35"/>
        <v>0</v>
      </c>
      <c r="T143" s="35">
        <f t="shared" si="18"/>
        <v>1857.5</v>
      </c>
    </row>
    <row r="144" spans="1:20" ht="18.75" customHeight="1">
      <c r="A144" s="61" t="str">
        <f ca="1">IF(ISERROR(MATCH(C144,Код_Раздел,0)),"",INDIRECT(ADDRESS(MATCH(C144,Код_Раздел,0)+1,2,,,"Раздел")))</f>
        <v>Образование</v>
      </c>
      <c r="B144" s="43" t="s">
        <v>109</v>
      </c>
      <c r="C144" s="8" t="s">
        <v>195</v>
      </c>
      <c r="D144" s="1"/>
      <c r="E144" s="104"/>
      <c r="F144" s="7">
        <f t="shared" si="35"/>
        <v>1857.5</v>
      </c>
      <c r="G144" s="7">
        <f t="shared" si="35"/>
        <v>0</v>
      </c>
      <c r="H144" s="35">
        <f t="shared" si="24"/>
        <v>1857.5</v>
      </c>
      <c r="I144" s="7">
        <f t="shared" si="35"/>
        <v>0</v>
      </c>
      <c r="J144" s="35">
        <f t="shared" si="23"/>
        <v>1857.5</v>
      </c>
      <c r="K144" s="7">
        <f t="shared" si="35"/>
        <v>0</v>
      </c>
      <c r="L144" s="35">
        <f t="shared" si="20"/>
        <v>1857.5</v>
      </c>
      <c r="M144" s="7">
        <f t="shared" si="35"/>
        <v>0</v>
      </c>
      <c r="N144" s="35">
        <f t="shared" si="21"/>
        <v>1857.5</v>
      </c>
      <c r="O144" s="7">
        <f t="shared" si="35"/>
        <v>0</v>
      </c>
      <c r="P144" s="35">
        <f t="shared" si="16"/>
        <v>1857.5</v>
      </c>
      <c r="Q144" s="7">
        <f t="shared" si="35"/>
        <v>0</v>
      </c>
      <c r="R144" s="35">
        <f t="shared" si="17"/>
        <v>1857.5</v>
      </c>
      <c r="S144" s="7">
        <f t="shared" si="35"/>
        <v>0</v>
      </c>
      <c r="T144" s="35">
        <f t="shared" si="18"/>
        <v>1857.5</v>
      </c>
    </row>
    <row r="145" spans="1:20" ht="21" customHeight="1">
      <c r="A145" s="12" t="s">
        <v>250</v>
      </c>
      <c r="B145" s="43" t="s">
        <v>109</v>
      </c>
      <c r="C145" s="8" t="s">
        <v>195</v>
      </c>
      <c r="D145" s="1" t="s">
        <v>214</v>
      </c>
      <c r="E145" s="104"/>
      <c r="F145" s="7">
        <f t="shared" si="35"/>
        <v>1857.5</v>
      </c>
      <c r="G145" s="7">
        <f t="shared" si="35"/>
        <v>0</v>
      </c>
      <c r="H145" s="35">
        <f t="shared" si="24"/>
        <v>1857.5</v>
      </c>
      <c r="I145" s="7">
        <f t="shared" si="35"/>
        <v>0</v>
      </c>
      <c r="J145" s="35">
        <f t="shared" si="23"/>
        <v>1857.5</v>
      </c>
      <c r="K145" s="7">
        <f t="shared" si="35"/>
        <v>0</v>
      </c>
      <c r="L145" s="35">
        <f t="shared" si="20"/>
        <v>1857.5</v>
      </c>
      <c r="M145" s="7">
        <f t="shared" si="35"/>
        <v>0</v>
      </c>
      <c r="N145" s="35">
        <f t="shared" si="21"/>
        <v>1857.5</v>
      </c>
      <c r="O145" s="7">
        <f t="shared" si="35"/>
        <v>0</v>
      </c>
      <c r="P145" s="35">
        <f t="shared" si="16"/>
        <v>1857.5</v>
      </c>
      <c r="Q145" s="7">
        <f t="shared" si="35"/>
        <v>0</v>
      </c>
      <c r="R145" s="35">
        <f t="shared" si="17"/>
        <v>1857.5</v>
      </c>
      <c r="S145" s="7">
        <f t="shared" si="35"/>
        <v>0</v>
      </c>
      <c r="T145" s="35">
        <f t="shared" si="18"/>
        <v>1857.5</v>
      </c>
    </row>
    <row r="146" spans="1:20" ht="39" customHeight="1">
      <c r="A146" s="61" t="str">
        <f ca="1">IF(ISERROR(MATCH(E146,Код_КВР,0)),"",INDIRECT(ADDRESS(MATCH(E146,Код_КВР,0)+1,2,,,"КВР")))</f>
        <v>Предоставление субсидий бюджетным, автономным учреждениям и иным некоммерческим организациям</v>
      </c>
      <c r="B146" s="43" t="s">
        <v>109</v>
      </c>
      <c r="C146" s="8" t="s">
        <v>195</v>
      </c>
      <c r="D146" s="1" t="s">
        <v>214</v>
      </c>
      <c r="E146" s="104">
        <v>600</v>
      </c>
      <c r="F146" s="7">
        <f t="shared" si="35"/>
        <v>1857.5</v>
      </c>
      <c r="G146" s="7">
        <f t="shared" si="35"/>
        <v>0</v>
      </c>
      <c r="H146" s="35">
        <f t="shared" si="24"/>
        <v>1857.5</v>
      </c>
      <c r="I146" s="7">
        <f t="shared" si="35"/>
        <v>0</v>
      </c>
      <c r="J146" s="35">
        <f t="shared" si="23"/>
        <v>1857.5</v>
      </c>
      <c r="K146" s="7">
        <f t="shared" si="35"/>
        <v>0</v>
      </c>
      <c r="L146" s="35">
        <f t="shared" si="20"/>
        <v>1857.5</v>
      </c>
      <c r="M146" s="7">
        <f t="shared" si="35"/>
        <v>0</v>
      </c>
      <c r="N146" s="35">
        <f t="shared" si="21"/>
        <v>1857.5</v>
      </c>
      <c r="O146" s="7">
        <f t="shared" si="35"/>
        <v>0</v>
      </c>
      <c r="P146" s="35">
        <f t="shared" si="16"/>
        <v>1857.5</v>
      </c>
      <c r="Q146" s="7">
        <f t="shared" si="35"/>
        <v>0</v>
      </c>
      <c r="R146" s="35">
        <f t="shared" si="17"/>
        <v>1857.5</v>
      </c>
      <c r="S146" s="7">
        <f t="shared" si="35"/>
        <v>0</v>
      </c>
      <c r="T146" s="35">
        <f t="shared" si="18"/>
        <v>1857.5</v>
      </c>
    </row>
    <row r="147" spans="1:20" ht="22.5" customHeight="1">
      <c r="A147" s="61" t="str">
        <f ca="1">IF(ISERROR(MATCH(E147,Код_КВР,0)),"",INDIRECT(ADDRESS(MATCH(E147,Код_КВР,0)+1,2,,,"КВР")))</f>
        <v>Субсидии бюджетным учреждениям</v>
      </c>
      <c r="B147" s="43" t="s">
        <v>109</v>
      </c>
      <c r="C147" s="8" t="s">
        <v>195</v>
      </c>
      <c r="D147" s="1" t="s">
        <v>214</v>
      </c>
      <c r="E147" s="104">
        <v>610</v>
      </c>
      <c r="F147" s="7">
        <f t="shared" si="35"/>
        <v>1857.5</v>
      </c>
      <c r="G147" s="7">
        <f t="shared" si="35"/>
        <v>0</v>
      </c>
      <c r="H147" s="35">
        <f t="shared" si="24"/>
        <v>1857.5</v>
      </c>
      <c r="I147" s="7">
        <f t="shared" si="35"/>
        <v>0</v>
      </c>
      <c r="J147" s="35">
        <f t="shared" si="23"/>
        <v>1857.5</v>
      </c>
      <c r="K147" s="7">
        <f t="shared" si="35"/>
        <v>0</v>
      </c>
      <c r="L147" s="35">
        <f t="shared" si="20"/>
        <v>1857.5</v>
      </c>
      <c r="M147" s="7">
        <f t="shared" si="35"/>
        <v>0</v>
      </c>
      <c r="N147" s="35">
        <f t="shared" si="21"/>
        <v>1857.5</v>
      </c>
      <c r="O147" s="7">
        <f t="shared" si="35"/>
        <v>0</v>
      </c>
      <c r="P147" s="35">
        <f t="shared" si="16"/>
        <v>1857.5</v>
      </c>
      <c r="Q147" s="7">
        <f t="shared" si="35"/>
        <v>0</v>
      </c>
      <c r="R147" s="35">
        <f t="shared" si="17"/>
        <v>1857.5</v>
      </c>
      <c r="S147" s="7">
        <f t="shared" si="35"/>
        <v>0</v>
      </c>
      <c r="T147" s="35">
        <f t="shared" ref="T147:T210" si="36">R147+S147</f>
        <v>1857.5</v>
      </c>
    </row>
    <row r="148" spans="1:20" ht="53.25" customHeight="1">
      <c r="A148" s="61" t="str">
        <f ca="1">IF(ISERROR(MATCH(E148,Код_КВР,0)),"",INDIRECT(ADDRESS(MATCH(E148,Код_КВР,0)+1,2,,,"КВР")))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48" s="43" t="s">
        <v>109</v>
      </c>
      <c r="C148" s="8" t="s">
        <v>195</v>
      </c>
      <c r="D148" s="1" t="s">
        <v>214</v>
      </c>
      <c r="E148" s="104">
        <v>611</v>
      </c>
      <c r="F148" s="7">
        <f>прил.6!G665</f>
        <v>1857.5</v>
      </c>
      <c r="G148" s="7">
        <f>прил.6!H665</f>
        <v>0</v>
      </c>
      <c r="H148" s="35">
        <f t="shared" si="24"/>
        <v>1857.5</v>
      </c>
      <c r="I148" s="7">
        <f>прил.6!J665</f>
        <v>0</v>
      </c>
      <c r="J148" s="35">
        <f t="shared" si="23"/>
        <v>1857.5</v>
      </c>
      <c r="K148" s="7">
        <f>прил.6!L665</f>
        <v>0</v>
      </c>
      <c r="L148" s="35">
        <f t="shared" si="20"/>
        <v>1857.5</v>
      </c>
      <c r="M148" s="7">
        <f>прил.6!N665</f>
        <v>0</v>
      </c>
      <c r="N148" s="35">
        <f>L148+M148</f>
        <v>1857.5</v>
      </c>
      <c r="O148" s="7">
        <f>прил.6!P665</f>
        <v>0</v>
      </c>
      <c r="P148" s="35">
        <f t="shared" si="16"/>
        <v>1857.5</v>
      </c>
      <c r="Q148" s="7">
        <f>прил.6!R665</f>
        <v>0</v>
      </c>
      <c r="R148" s="35">
        <f t="shared" si="17"/>
        <v>1857.5</v>
      </c>
      <c r="S148" s="7">
        <f>прил.6!T665</f>
        <v>0</v>
      </c>
      <c r="T148" s="35">
        <f t="shared" si="36"/>
        <v>1857.5</v>
      </c>
    </row>
    <row r="149" spans="1:20" ht="22.5" customHeight="1">
      <c r="A149" s="61" t="str">
        <f ca="1">IF(ISERROR(MATCH(B149,Код_КЦСР,0)),"",INDIRECT(ADDRESS(MATCH(B149,Код_КЦСР,0)+1,2,,,"КЦСР")))</f>
        <v>Кадровое обеспечение муниципальной системы образования</v>
      </c>
      <c r="B149" s="43" t="s">
        <v>291</v>
      </c>
      <c r="C149" s="8"/>
      <c r="D149" s="1"/>
      <c r="E149" s="104"/>
      <c r="F149" s="7">
        <f>F150+F161+F180</f>
        <v>30567.599999999999</v>
      </c>
      <c r="G149" s="7">
        <f>G150+G161+G180</f>
        <v>0</v>
      </c>
      <c r="H149" s="35">
        <f t="shared" si="24"/>
        <v>30567.599999999999</v>
      </c>
      <c r="I149" s="7">
        <f>I150+I161+I180</f>
        <v>0</v>
      </c>
      <c r="J149" s="35">
        <f t="shared" si="23"/>
        <v>30567.599999999999</v>
      </c>
      <c r="K149" s="7">
        <f>K150+K161+K180</f>
        <v>0</v>
      </c>
      <c r="L149" s="35">
        <f t="shared" si="20"/>
        <v>30567.599999999999</v>
      </c>
      <c r="M149" s="7">
        <f>M150+M161+M180</f>
        <v>0</v>
      </c>
      <c r="N149" s="35">
        <f t="shared" si="21"/>
        <v>30567.599999999999</v>
      </c>
      <c r="O149" s="7">
        <f>O150+O161+O180</f>
        <v>-10</v>
      </c>
      <c r="P149" s="35">
        <f t="shared" si="16"/>
        <v>30557.599999999999</v>
      </c>
      <c r="Q149" s="7">
        <f>Q150+Q161+Q180</f>
        <v>2264</v>
      </c>
      <c r="R149" s="35">
        <f t="shared" si="17"/>
        <v>32821.599999999999</v>
      </c>
      <c r="S149" s="7">
        <f>S150+S161+S180</f>
        <v>-153.1</v>
      </c>
      <c r="T149" s="35">
        <f t="shared" si="36"/>
        <v>32668.5</v>
      </c>
    </row>
    <row r="150" spans="1:20" ht="42" customHeight="1">
      <c r="A150" s="61" t="str">
        <f ca="1">IF(ISERROR(MATCH(B150,Код_КЦСР,0)),"",INDIRECT(ADDRESS(MATCH(B150,Код_КЦСР,0)+1,2,,,"КЦСР")))</f>
        <v xml:space="preserve">Осуществление выплат городских премий работникам муниципальных образовательных учреждений     </v>
      </c>
      <c r="B150" s="43" t="s">
        <v>293</v>
      </c>
      <c r="C150" s="8"/>
      <c r="D150" s="1"/>
      <c r="E150" s="104"/>
      <c r="F150" s="7">
        <f>F151</f>
        <v>325.5</v>
      </c>
      <c r="G150" s="7">
        <f>G151</f>
        <v>0</v>
      </c>
      <c r="H150" s="35">
        <f t="shared" si="24"/>
        <v>325.5</v>
      </c>
      <c r="I150" s="7">
        <f>I151</f>
        <v>0</v>
      </c>
      <c r="J150" s="35">
        <f t="shared" si="23"/>
        <v>325.5</v>
      </c>
      <c r="K150" s="7">
        <f>K151</f>
        <v>0</v>
      </c>
      <c r="L150" s="35">
        <f t="shared" si="20"/>
        <v>325.5</v>
      </c>
      <c r="M150" s="7">
        <f>M151</f>
        <v>0</v>
      </c>
      <c r="N150" s="35">
        <f t="shared" si="21"/>
        <v>325.5</v>
      </c>
      <c r="O150" s="7">
        <f>O151</f>
        <v>0</v>
      </c>
      <c r="P150" s="35">
        <f t="shared" si="16"/>
        <v>325.5</v>
      </c>
      <c r="Q150" s="7">
        <f>Q151</f>
        <v>0</v>
      </c>
      <c r="R150" s="35">
        <f t="shared" si="17"/>
        <v>325.5</v>
      </c>
      <c r="S150" s="7">
        <f>S151</f>
        <v>0</v>
      </c>
      <c r="T150" s="35">
        <f t="shared" si="36"/>
        <v>325.5</v>
      </c>
    </row>
    <row r="151" spans="1:20" ht="56.25" customHeight="1">
      <c r="A151" s="61" t="str">
        <f ca="1">IF(ISERROR(MATCH(B151,Код_КЦСР,0)),"",INDIRECT(ADDRESS(MATCH(B151,Код_КЦСР,0)+1,2,,,"КЦСР")))</f>
        <v>Городские премии имени И.А. Милютина в области образования в соответствии с постановлением Череповецкой городской Думы от 23.09.2003 № 120</v>
      </c>
      <c r="B151" s="43" t="s">
        <v>295</v>
      </c>
      <c r="C151" s="8"/>
      <c r="D151" s="1"/>
      <c r="E151" s="104"/>
      <c r="F151" s="7">
        <f>F152</f>
        <v>325.5</v>
      </c>
      <c r="G151" s="7">
        <f>G152</f>
        <v>0</v>
      </c>
      <c r="H151" s="35">
        <f t="shared" si="24"/>
        <v>325.5</v>
      </c>
      <c r="I151" s="7">
        <f>I152</f>
        <v>0</v>
      </c>
      <c r="J151" s="35">
        <f t="shared" si="23"/>
        <v>325.5</v>
      </c>
      <c r="K151" s="7">
        <f>K152</f>
        <v>0</v>
      </c>
      <c r="L151" s="35">
        <f t="shared" si="20"/>
        <v>325.5</v>
      </c>
      <c r="M151" s="7">
        <f>M152</f>
        <v>0</v>
      </c>
      <c r="N151" s="35">
        <f t="shared" si="21"/>
        <v>325.5</v>
      </c>
      <c r="O151" s="7">
        <f>O152</f>
        <v>0</v>
      </c>
      <c r="P151" s="35">
        <f t="shared" si="16"/>
        <v>325.5</v>
      </c>
      <c r="Q151" s="7">
        <f>Q152</f>
        <v>0</v>
      </c>
      <c r="R151" s="35">
        <f t="shared" si="17"/>
        <v>325.5</v>
      </c>
      <c r="S151" s="7">
        <f>S152</f>
        <v>0</v>
      </c>
      <c r="T151" s="35">
        <f t="shared" si="36"/>
        <v>325.5</v>
      </c>
    </row>
    <row r="152" spans="1:20">
      <c r="A152" s="61" t="str">
        <f ca="1">IF(ISERROR(MATCH(C152,Код_Раздел,0)),"",INDIRECT(ADDRESS(MATCH(C152,Код_Раздел,0)+1,2,,,"Раздел")))</f>
        <v>Образование</v>
      </c>
      <c r="B152" s="43" t="s">
        <v>295</v>
      </c>
      <c r="C152" s="8" t="s">
        <v>195</v>
      </c>
      <c r="D152" s="1"/>
      <c r="E152" s="104"/>
      <c r="F152" s="7">
        <f>F153+F157</f>
        <v>325.5</v>
      </c>
      <c r="G152" s="7">
        <f>G153+G157</f>
        <v>0</v>
      </c>
      <c r="H152" s="35">
        <f t="shared" si="24"/>
        <v>325.5</v>
      </c>
      <c r="I152" s="7">
        <f>I153+I157</f>
        <v>0</v>
      </c>
      <c r="J152" s="35">
        <f t="shared" si="23"/>
        <v>325.5</v>
      </c>
      <c r="K152" s="7">
        <f>K153+K157</f>
        <v>0</v>
      </c>
      <c r="L152" s="35">
        <f t="shared" si="20"/>
        <v>325.5</v>
      </c>
      <c r="M152" s="7">
        <f>M153+M157</f>
        <v>0</v>
      </c>
      <c r="N152" s="35">
        <f t="shared" si="21"/>
        <v>325.5</v>
      </c>
      <c r="O152" s="7">
        <f>O153+O157</f>
        <v>0</v>
      </c>
      <c r="P152" s="35">
        <f t="shared" si="16"/>
        <v>325.5</v>
      </c>
      <c r="Q152" s="7">
        <f>Q153+Q157</f>
        <v>0</v>
      </c>
      <c r="R152" s="35">
        <f t="shared" si="17"/>
        <v>325.5</v>
      </c>
      <c r="S152" s="7">
        <f>S153+S157</f>
        <v>0</v>
      </c>
      <c r="T152" s="35">
        <f t="shared" si="36"/>
        <v>325.5</v>
      </c>
    </row>
    <row r="153" spans="1:20" ht="21" customHeight="1">
      <c r="A153" s="12" t="s">
        <v>258</v>
      </c>
      <c r="B153" s="43" t="s">
        <v>295</v>
      </c>
      <c r="C153" s="8" t="s">
        <v>195</v>
      </c>
      <c r="D153" s="1" t="s">
        <v>213</v>
      </c>
      <c r="E153" s="104"/>
      <c r="F153" s="7">
        <f t="shared" ref="F153:S155" si="37">F154</f>
        <v>130.19999999999999</v>
      </c>
      <c r="G153" s="7">
        <f t="shared" si="37"/>
        <v>0</v>
      </c>
      <c r="H153" s="35">
        <f t="shared" si="24"/>
        <v>130.19999999999999</v>
      </c>
      <c r="I153" s="7">
        <f t="shared" si="37"/>
        <v>0</v>
      </c>
      <c r="J153" s="35">
        <f t="shared" si="23"/>
        <v>130.19999999999999</v>
      </c>
      <c r="K153" s="7">
        <f t="shared" si="37"/>
        <v>0</v>
      </c>
      <c r="L153" s="35">
        <f t="shared" si="20"/>
        <v>130.19999999999999</v>
      </c>
      <c r="M153" s="7">
        <f t="shared" si="37"/>
        <v>0</v>
      </c>
      <c r="N153" s="35">
        <f t="shared" si="21"/>
        <v>130.19999999999999</v>
      </c>
      <c r="O153" s="7">
        <f t="shared" si="37"/>
        <v>0</v>
      </c>
      <c r="P153" s="35">
        <f t="shared" si="16"/>
        <v>130.19999999999999</v>
      </c>
      <c r="Q153" s="7">
        <f t="shared" si="37"/>
        <v>0</v>
      </c>
      <c r="R153" s="35">
        <f t="shared" si="17"/>
        <v>130.19999999999999</v>
      </c>
      <c r="S153" s="7">
        <f t="shared" si="37"/>
        <v>0</v>
      </c>
      <c r="T153" s="35">
        <f t="shared" si="36"/>
        <v>130.19999999999999</v>
      </c>
    </row>
    <row r="154" spans="1:20" ht="20.25" customHeight="1">
      <c r="A154" s="61" t="str">
        <f ca="1">IF(ISERROR(MATCH(E154,Код_КВР,0)),"",INDIRECT(ADDRESS(MATCH(E154,Код_КВР,0)+1,2,,,"КВР")))</f>
        <v>Социальное обеспечение и иные выплаты населению</v>
      </c>
      <c r="B154" s="43" t="s">
        <v>295</v>
      </c>
      <c r="C154" s="8" t="s">
        <v>195</v>
      </c>
      <c r="D154" s="1" t="s">
        <v>213</v>
      </c>
      <c r="E154" s="104">
        <v>300</v>
      </c>
      <c r="F154" s="7">
        <f t="shared" si="37"/>
        <v>130.19999999999999</v>
      </c>
      <c r="G154" s="7">
        <f t="shared" si="37"/>
        <v>0</v>
      </c>
      <c r="H154" s="35">
        <f t="shared" si="24"/>
        <v>130.19999999999999</v>
      </c>
      <c r="I154" s="7">
        <f t="shared" si="37"/>
        <v>0</v>
      </c>
      <c r="J154" s="35">
        <f t="shared" si="23"/>
        <v>130.19999999999999</v>
      </c>
      <c r="K154" s="7">
        <f t="shared" si="37"/>
        <v>0</v>
      </c>
      <c r="L154" s="35">
        <f t="shared" si="20"/>
        <v>130.19999999999999</v>
      </c>
      <c r="M154" s="7">
        <f t="shared" si="37"/>
        <v>0</v>
      </c>
      <c r="N154" s="35">
        <f t="shared" si="21"/>
        <v>130.19999999999999</v>
      </c>
      <c r="O154" s="7">
        <f t="shared" si="37"/>
        <v>0</v>
      </c>
      <c r="P154" s="35">
        <f t="shared" si="16"/>
        <v>130.19999999999999</v>
      </c>
      <c r="Q154" s="7">
        <f t="shared" si="37"/>
        <v>0</v>
      </c>
      <c r="R154" s="35">
        <f t="shared" si="17"/>
        <v>130.19999999999999</v>
      </c>
      <c r="S154" s="7">
        <f t="shared" si="37"/>
        <v>0</v>
      </c>
      <c r="T154" s="35">
        <f t="shared" si="36"/>
        <v>130.19999999999999</v>
      </c>
    </row>
    <row r="155" spans="1:20" ht="19.5" customHeight="1">
      <c r="A155" s="61" t="str">
        <f ca="1">IF(ISERROR(MATCH(E155,Код_КВР,0)),"",INDIRECT(ADDRESS(MATCH(E155,Код_КВР,0)+1,2,,,"КВР")))</f>
        <v>Публичные нормативные социальные выплаты гражданам</v>
      </c>
      <c r="B155" s="43" t="s">
        <v>295</v>
      </c>
      <c r="C155" s="8" t="s">
        <v>195</v>
      </c>
      <c r="D155" s="1" t="s">
        <v>213</v>
      </c>
      <c r="E155" s="104">
        <v>310</v>
      </c>
      <c r="F155" s="7">
        <f t="shared" si="37"/>
        <v>130.19999999999999</v>
      </c>
      <c r="G155" s="7">
        <f t="shared" si="37"/>
        <v>0</v>
      </c>
      <c r="H155" s="35">
        <f t="shared" si="24"/>
        <v>130.19999999999999</v>
      </c>
      <c r="I155" s="7">
        <f t="shared" si="37"/>
        <v>0</v>
      </c>
      <c r="J155" s="35">
        <f t="shared" si="23"/>
        <v>130.19999999999999</v>
      </c>
      <c r="K155" s="7">
        <f t="shared" si="37"/>
        <v>0</v>
      </c>
      <c r="L155" s="35">
        <f t="shared" si="20"/>
        <v>130.19999999999999</v>
      </c>
      <c r="M155" s="7">
        <f t="shared" si="37"/>
        <v>0</v>
      </c>
      <c r="N155" s="35">
        <f t="shared" si="21"/>
        <v>130.19999999999999</v>
      </c>
      <c r="O155" s="7">
        <f t="shared" si="37"/>
        <v>0</v>
      </c>
      <c r="P155" s="35">
        <f t="shared" ref="P155:P218" si="38">N155+O155</f>
        <v>130.19999999999999</v>
      </c>
      <c r="Q155" s="7">
        <f t="shared" si="37"/>
        <v>0</v>
      </c>
      <c r="R155" s="35">
        <f t="shared" ref="R155:R218" si="39">P155+Q155</f>
        <v>130.19999999999999</v>
      </c>
      <c r="S155" s="7">
        <f t="shared" si="37"/>
        <v>0</v>
      </c>
      <c r="T155" s="35">
        <f t="shared" si="36"/>
        <v>130.19999999999999</v>
      </c>
    </row>
    <row r="156" spans="1:20" ht="39" customHeight="1">
      <c r="A156" s="61" t="str">
        <f ca="1">IF(ISERROR(MATCH(E156,Код_КВР,0)),"",INDIRECT(ADDRESS(MATCH(E156,Код_КВР,0)+1,2,,,"КВР")))</f>
        <v>Пособия, компенсации, меры социальной поддержки по публичным нормативным обязательствам</v>
      </c>
      <c r="B156" s="43" t="s">
        <v>295</v>
      </c>
      <c r="C156" s="8" t="s">
        <v>195</v>
      </c>
      <c r="D156" s="1" t="s">
        <v>213</v>
      </c>
      <c r="E156" s="104">
        <v>313</v>
      </c>
      <c r="F156" s="7">
        <f>прил.6!G612</f>
        <v>130.19999999999999</v>
      </c>
      <c r="G156" s="7">
        <f>прил.6!H612</f>
        <v>0</v>
      </c>
      <c r="H156" s="35">
        <f t="shared" si="24"/>
        <v>130.19999999999999</v>
      </c>
      <c r="I156" s="7">
        <f>прил.6!J612</f>
        <v>0</v>
      </c>
      <c r="J156" s="35">
        <f t="shared" si="23"/>
        <v>130.19999999999999</v>
      </c>
      <c r="K156" s="7">
        <f>прил.6!L612</f>
        <v>0</v>
      </c>
      <c r="L156" s="35">
        <f t="shared" si="20"/>
        <v>130.19999999999999</v>
      </c>
      <c r="M156" s="7">
        <f>прил.6!N612</f>
        <v>0</v>
      </c>
      <c r="N156" s="35">
        <f t="shared" si="21"/>
        <v>130.19999999999999</v>
      </c>
      <c r="O156" s="7">
        <f>прил.6!P612</f>
        <v>0</v>
      </c>
      <c r="P156" s="35">
        <f t="shared" si="38"/>
        <v>130.19999999999999</v>
      </c>
      <c r="Q156" s="7">
        <f>прил.6!R612</f>
        <v>0</v>
      </c>
      <c r="R156" s="35">
        <f t="shared" si="39"/>
        <v>130.19999999999999</v>
      </c>
      <c r="S156" s="7">
        <f>прил.6!T612</f>
        <v>0</v>
      </c>
      <c r="T156" s="35">
        <f t="shared" si="36"/>
        <v>130.19999999999999</v>
      </c>
    </row>
    <row r="157" spans="1:20" ht="20.25" customHeight="1">
      <c r="A157" s="12" t="s">
        <v>250</v>
      </c>
      <c r="B157" s="43" t="s">
        <v>295</v>
      </c>
      <c r="C157" s="8" t="s">
        <v>195</v>
      </c>
      <c r="D157" s="1" t="s">
        <v>214</v>
      </c>
      <c r="E157" s="104"/>
      <c r="F157" s="7">
        <f t="shared" ref="F157:S159" si="40">F158</f>
        <v>195.3</v>
      </c>
      <c r="G157" s="7">
        <f t="shared" si="40"/>
        <v>0</v>
      </c>
      <c r="H157" s="35">
        <f t="shared" si="24"/>
        <v>195.3</v>
      </c>
      <c r="I157" s="7">
        <f t="shared" si="40"/>
        <v>0</v>
      </c>
      <c r="J157" s="35">
        <f t="shared" si="23"/>
        <v>195.3</v>
      </c>
      <c r="K157" s="7">
        <f t="shared" si="40"/>
        <v>0</v>
      </c>
      <c r="L157" s="35">
        <f t="shared" si="20"/>
        <v>195.3</v>
      </c>
      <c r="M157" s="7">
        <f t="shared" si="40"/>
        <v>0</v>
      </c>
      <c r="N157" s="35">
        <f t="shared" si="21"/>
        <v>195.3</v>
      </c>
      <c r="O157" s="7">
        <f t="shared" si="40"/>
        <v>0</v>
      </c>
      <c r="P157" s="35">
        <f t="shared" si="38"/>
        <v>195.3</v>
      </c>
      <c r="Q157" s="7">
        <f t="shared" si="40"/>
        <v>0</v>
      </c>
      <c r="R157" s="35">
        <f t="shared" si="39"/>
        <v>195.3</v>
      </c>
      <c r="S157" s="7">
        <f t="shared" si="40"/>
        <v>0</v>
      </c>
      <c r="T157" s="35">
        <f t="shared" si="36"/>
        <v>195.3</v>
      </c>
    </row>
    <row r="158" spans="1:20" ht="19.5" customHeight="1">
      <c r="A158" s="61" t="str">
        <f ca="1">IF(ISERROR(MATCH(E158,Код_КВР,0)),"",INDIRECT(ADDRESS(MATCH(E158,Код_КВР,0)+1,2,,,"КВР")))</f>
        <v>Социальное обеспечение и иные выплаты населению</v>
      </c>
      <c r="B158" s="43" t="s">
        <v>295</v>
      </c>
      <c r="C158" s="8" t="s">
        <v>195</v>
      </c>
      <c r="D158" s="1" t="s">
        <v>214</v>
      </c>
      <c r="E158" s="104">
        <v>300</v>
      </c>
      <c r="F158" s="7">
        <f t="shared" si="40"/>
        <v>195.3</v>
      </c>
      <c r="G158" s="7">
        <f t="shared" si="40"/>
        <v>0</v>
      </c>
      <c r="H158" s="35">
        <f t="shared" si="24"/>
        <v>195.3</v>
      </c>
      <c r="I158" s="7">
        <f t="shared" si="40"/>
        <v>0</v>
      </c>
      <c r="J158" s="35">
        <f t="shared" si="23"/>
        <v>195.3</v>
      </c>
      <c r="K158" s="7">
        <f t="shared" si="40"/>
        <v>0</v>
      </c>
      <c r="L158" s="35">
        <f t="shared" si="20"/>
        <v>195.3</v>
      </c>
      <c r="M158" s="7">
        <f t="shared" si="40"/>
        <v>0</v>
      </c>
      <c r="N158" s="35">
        <f t="shared" si="21"/>
        <v>195.3</v>
      </c>
      <c r="O158" s="7">
        <f t="shared" si="40"/>
        <v>0</v>
      </c>
      <c r="P158" s="35">
        <f t="shared" si="38"/>
        <v>195.3</v>
      </c>
      <c r="Q158" s="7">
        <f t="shared" si="40"/>
        <v>0</v>
      </c>
      <c r="R158" s="35">
        <f t="shared" si="39"/>
        <v>195.3</v>
      </c>
      <c r="S158" s="7">
        <f t="shared" si="40"/>
        <v>0</v>
      </c>
      <c r="T158" s="35">
        <f t="shared" si="36"/>
        <v>195.3</v>
      </c>
    </row>
    <row r="159" spans="1:20" ht="18.75" customHeight="1">
      <c r="A159" s="61" t="str">
        <f ca="1">IF(ISERROR(MATCH(E159,Код_КВР,0)),"",INDIRECT(ADDRESS(MATCH(E159,Код_КВР,0)+1,2,,,"КВР")))</f>
        <v>Публичные нормативные социальные выплаты гражданам</v>
      </c>
      <c r="B159" s="43" t="s">
        <v>295</v>
      </c>
      <c r="C159" s="8" t="s">
        <v>195</v>
      </c>
      <c r="D159" s="1" t="s">
        <v>214</v>
      </c>
      <c r="E159" s="104">
        <v>310</v>
      </c>
      <c r="F159" s="7">
        <f t="shared" si="40"/>
        <v>195.3</v>
      </c>
      <c r="G159" s="7">
        <f t="shared" si="40"/>
        <v>0</v>
      </c>
      <c r="H159" s="35">
        <f t="shared" si="24"/>
        <v>195.3</v>
      </c>
      <c r="I159" s="7">
        <f t="shared" si="40"/>
        <v>0</v>
      </c>
      <c r="J159" s="35">
        <f t="shared" si="23"/>
        <v>195.3</v>
      </c>
      <c r="K159" s="7">
        <f t="shared" si="40"/>
        <v>0</v>
      </c>
      <c r="L159" s="35">
        <f t="shared" si="20"/>
        <v>195.3</v>
      </c>
      <c r="M159" s="7">
        <f t="shared" si="40"/>
        <v>0</v>
      </c>
      <c r="N159" s="35">
        <f t="shared" si="21"/>
        <v>195.3</v>
      </c>
      <c r="O159" s="7">
        <f t="shared" si="40"/>
        <v>0</v>
      </c>
      <c r="P159" s="35">
        <f t="shared" si="38"/>
        <v>195.3</v>
      </c>
      <c r="Q159" s="7">
        <f t="shared" si="40"/>
        <v>0</v>
      </c>
      <c r="R159" s="35">
        <f t="shared" si="39"/>
        <v>195.3</v>
      </c>
      <c r="S159" s="7">
        <f t="shared" si="40"/>
        <v>0</v>
      </c>
      <c r="T159" s="35">
        <f t="shared" si="36"/>
        <v>195.3</v>
      </c>
    </row>
    <row r="160" spans="1:20" ht="33">
      <c r="A160" s="61" t="str">
        <f ca="1">IF(ISERROR(MATCH(E160,Код_КВР,0)),"",INDIRECT(ADDRESS(MATCH(E160,Код_КВР,0)+1,2,,,"КВР")))</f>
        <v>Пособия, компенсации, меры социальной поддержки по публичным нормативным обязательствам</v>
      </c>
      <c r="B160" s="43" t="s">
        <v>295</v>
      </c>
      <c r="C160" s="8" t="s">
        <v>195</v>
      </c>
      <c r="D160" s="1" t="s">
        <v>214</v>
      </c>
      <c r="E160" s="104">
        <v>313</v>
      </c>
      <c r="F160" s="7">
        <f>прил.6!G671</f>
        <v>195.3</v>
      </c>
      <c r="G160" s="7">
        <f>прил.6!H671</f>
        <v>0</v>
      </c>
      <c r="H160" s="35">
        <f t="shared" si="24"/>
        <v>195.3</v>
      </c>
      <c r="I160" s="7">
        <f>прил.6!J671</f>
        <v>0</v>
      </c>
      <c r="J160" s="35">
        <f t="shared" si="23"/>
        <v>195.3</v>
      </c>
      <c r="K160" s="7">
        <f>прил.6!L671</f>
        <v>0</v>
      </c>
      <c r="L160" s="35">
        <f t="shared" ref="L160:L223" si="41">J160+K160</f>
        <v>195.3</v>
      </c>
      <c r="M160" s="7">
        <f>прил.6!N671</f>
        <v>0</v>
      </c>
      <c r="N160" s="35">
        <f t="shared" ref="N160:N223" si="42">L160+M160</f>
        <v>195.3</v>
      </c>
      <c r="O160" s="7">
        <f>прил.6!P671</f>
        <v>0</v>
      </c>
      <c r="P160" s="35">
        <f t="shared" si="38"/>
        <v>195.3</v>
      </c>
      <c r="Q160" s="7">
        <f>прил.6!R671</f>
        <v>0</v>
      </c>
      <c r="R160" s="35">
        <f t="shared" si="39"/>
        <v>195.3</v>
      </c>
      <c r="S160" s="7">
        <f>прил.6!T671</f>
        <v>0</v>
      </c>
      <c r="T160" s="35">
        <f t="shared" si="36"/>
        <v>195.3</v>
      </c>
    </row>
    <row r="161" spans="1:20" ht="33">
      <c r="A161" s="61" t="str">
        <f ca="1">IF(ISERROR(MATCH(B161,Код_КЦСР,0)),"",INDIRECT(ADDRESS(MATCH(B161,Код_КЦСР,0)+1,2,,,"КЦСР")))</f>
        <v xml:space="preserve">Осуществление денежных выплат работникам муниципальных образовательных учреждений     </v>
      </c>
      <c r="B161" s="43" t="s">
        <v>296</v>
      </c>
      <c r="C161" s="8"/>
      <c r="D161" s="1"/>
      <c r="E161" s="104"/>
      <c r="F161" s="7">
        <f>F162+F168+F174</f>
        <v>30209.5</v>
      </c>
      <c r="G161" s="7">
        <f>G162+G168+G174</f>
        <v>0</v>
      </c>
      <c r="H161" s="35">
        <f t="shared" si="24"/>
        <v>30209.5</v>
      </c>
      <c r="I161" s="7">
        <f>I162+I168+I174</f>
        <v>0</v>
      </c>
      <c r="J161" s="35">
        <f t="shared" si="23"/>
        <v>30209.5</v>
      </c>
      <c r="K161" s="7">
        <f>K162+K168+K174</f>
        <v>0</v>
      </c>
      <c r="L161" s="35">
        <f t="shared" si="41"/>
        <v>30209.5</v>
      </c>
      <c r="M161" s="7">
        <f>M162+M168+M174</f>
        <v>0</v>
      </c>
      <c r="N161" s="35">
        <f t="shared" si="42"/>
        <v>30209.5</v>
      </c>
      <c r="O161" s="7">
        <f>O162+O168+O174</f>
        <v>-10</v>
      </c>
      <c r="P161" s="35">
        <f t="shared" si="38"/>
        <v>30199.5</v>
      </c>
      <c r="Q161" s="7">
        <f>Q162+Q168+Q174</f>
        <v>2264</v>
      </c>
      <c r="R161" s="35">
        <f t="shared" si="39"/>
        <v>32463.5</v>
      </c>
      <c r="S161" s="7">
        <f>S162+S168+S174</f>
        <v>-153.1</v>
      </c>
      <c r="T161" s="35">
        <f t="shared" si="36"/>
        <v>32310.400000000001</v>
      </c>
    </row>
    <row r="162" spans="1:20" ht="90.75" customHeight="1">
      <c r="A162" s="61" t="str">
        <f ca="1">IF(ISERROR(MATCH(B162,Код_КЦСР,0)),"",INDIRECT(ADDRESS(MATCH(B162,Код_КЦСР,0)+1,2,,,"КЦСР")))</f>
        <v>Денежная компенсация на оплату расходов по найму (поднайму) жилых помещений лицам, работающим в должности «воспитатель» в муниципальных дошкольных образовательных учреждениях в соответствии с решением Череповецкой городской Думы от 29.05.2012 № 97</v>
      </c>
      <c r="B162" s="43" t="s">
        <v>298</v>
      </c>
      <c r="C162" s="8"/>
      <c r="D162" s="1"/>
      <c r="E162" s="104"/>
      <c r="F162" s="7">
        <f t="shared" ref="F162:S166" si="43">F163</f>
        <v>6156</v>
      </c>
      <c r="G162" s="7">
        <f t="shared" si="43"/>
        <v>0</v>
      </c>
      <c r="H162" s="35">
        <f t="shared" si="24"/>
        <v>6156</v>
      </c>
      <c r="I162" s="7">
        <f t="shared" si="43"/>
        <v>0</v>
      </c>
      <c r="J162" s="35">
        <f t="shared" ref="J162:J225" si="44">H162+I162</f>
        <v>6156</v>
      </c>
      <c r="K162" s="7">
        <f t="shared" si="43"/>
        <v>0</v>
      </c>
      <c r="L162" s="35">
        <f t="shared" si="41"/>
        <v>6156</v>
      </c>
      <c r="M162" s="7">
        <f t="shared" si="43"/>
        <v>0</v>
      </c>
      <c r="N162" s="35">
        <f t="shared" si="42"/>
        <v>6156</v>
      </c>
      <c r="O162" s="7">
        <f t="shared" si="43"/>
        <v>0</v>
      </c>
      <c r="P162" s="35">
        <f t="shared" si="38"/>
        <v>6156</v>
      </c>
      <c r="Q162" s="7">
        <f t="shared" si="43"/>
        <v>2264</v>
      </c>
      <c r="R162" s="35">
        <f t="shared" si="39"/>
        <v>8420</v>
      </c>
      <c r="S162" s="7">
        <f t="shared" si="43"/>
        <v>0</v>
      </c>
      <c r="T162" s="35">
        <f t="shared" si="36"/>
        <v>8420</v>
      </c>
    </row>
    <row r="163" spans="1:20" ht="19.5" customHeight="1">
      <c r="A163" s="61" t="str">
        <f ca="1">IF(ISERROR(MATCH(C163,Код_Раздел,0)),"",INDIRECT(ADDRESS(MATCH(C163,Код_Раздел,0)+1,2,,,"Раздел")))</f>
        <v>Образование</v>
      </c>
      <c r="B163" s="43" t="s">
        <v>298</v>
      </c>
      <c r="C163" s="8" t="s">
        <v>195</v>
      </c>
      <c r="D163" s="1"/>
      <c r="E163" s="104"/>
      <c r="F163" s="7">
        <f t="shared" si="43"/>
        <v>6156</v>
      </c>
      <c r="G163" s="7">
        <f t="shared" si="43"/>
        <v>0</v>
      </c>
      <c r="H163" s="35">
        <f t="shared" si="24"/>
        <v>6156</v>
      </c>
      <c r="I163" s="7">
        <f t="shared" si="43"/>
        <v>0</v>
      </c>
      <c r="J163" s="35">
        <f t="shared" si="44"/>
        <v>6156</v>
      </c>
      <c r="K163" s="7">
        <f t="shared" si="43"/>
        <v>0</v>
      </c>
      <c r="L163" s="35">
        <f t="shared" si="41"/>
        <v>6156</v>
      </c>
      <c r="M163" s="7">
        <f t="shared" si="43"/>
        <v>0</v>
      </c>
      <c r="N163" s="35">
        <f t="shared" si="42"/>
        <v>6156</v>
      </c>
      <c r="O163" s="7">
        <f t="shared" si="43"/>
        <v>0</v>
      </c>
      <c r="P163" s="35">
        <f t="shared" si="38"/>
        <v>6156</v>
      </c>
      <c r="Q163" s="7">
        <f t="shared" si="43"/>
        <v>2264</v>
      </c>
      <c r="R163" s="35">
        <f t="shared" si="39"/>
        <v>8420</v>
      </c>
      <c r="S163" s="7">
        <f t="shared" si="43"/>
        <v>0</v>
      </c>
      <c r="T163" s="35">
        <f t="shared" si="36"/>
        <v>8420</v>
      </c>
    </row>
    <row r="164" spans="1:20" ht="21" customHeight="1">
      <c r="A164" s="12" t="s">
        <v>258</v>
      </c>
      <c r="B164" s="43" t="s">
        <v>298</v>
      </c>
      <c r="C164" s="8" t="s">
        <v>195</v>
      </c>
      <c r="D164" s="1" t="s">
        <v>213</v>
      </c>
      <c r="E164" s="104"/>
      <c r="F164" s="7">
        <f t="shared" si="43"/>
        <v>6156</v>
      </c>
      <c r="G164" s="7">
        <f t="shared" si="43"/>
        <v>0</v>
      </c>
      <c r="H164" s="35">
        <f t="shared" si="24"/>
        <v>6156</v>
      </c>
      <c r="I164" s="7">
        <f t="shared" si="43"/>
        <v>0</v>
      </c>
      <c r="J164" s="35">
        <f t="shared" si="44"/>
        <v>6156</v>
      </c>
      <c r="K164" s="7">
        <f t="shared" si="43"/>
        <v>0</v>
      </c>
      <c r="L164" s="35">
        <f t="shared" si="41"/>
        <v>6156</v>
      </c>
      <c r="M164" s="7">
        <f t="shared" si="43"/>
        <v>0</v>
      </c>
      <c r="N164" s="35">
        <f t="shared" si="42"/>
        <v>6156</v>
      </c>
      <c r="O164" s="7">
        <f t="shared" si="43"/>
        <v>0</v>
      </c>
      <c r="P164" s="35">
        <f t="shared" si="38"/>
        <v>6156</v>
      </c>
      <c r="Q164" s="7">
        <f t="shared" si="43"/>
        <v>2264</v>
      </c>
      <c r="R164" s="35">
        <f t="shared" si="39"/>
        <v>8420</v>
      </c>
      <c r="S164" s="7">
        <f t="shared" si="43"/>
        <v>0</v>
      </c>
      <c r="T164" s="35">
        <f t="shared" si="36"/>
        <v>8420</v>
      </c>
    </row>
    <row r="165" spans="1:20" ht="20.25" customHeight="1">
      <c r="A165" s="61" t="str">
        <f ca="1">IF(ISERROR(MATCH(E165,Код_КВР,0)),"",INDIRECT(ADDRESS(MATCH(E165,Код_КВР,0)+1,2,,,"КВР")))</f>
        <v>Социальное обеспечение и иные выплаты населению</v>
      </c>
      <c r="B165" s="43" t="s">
        <v>298</v>
      </c>
      <c r="C165" s="8" t="s">
        <v>195</v>
      </c>
      <c r="D165" s="1" t="s">
        <v>213</v>
      </c>
      <c r="E165" s="104">
        <v>300</v>
      </c>
      <c r="F165" s="7">
        <f t="shared" si="43"/>
        <v>6156</v>
      </c>
      <c r="G165" s="7">
        <f t="shared" si="43"/>
        <v>0</v>
      </c>
      <c r="H165" s="35">
        <f t="shared" si="24"/>
        <v>6156</v>
      </c>
      <c r="I165" s="7">
        <f t="shared" si="43"/>
        <v>0</v>
      </c>
      <c r="J165" s="35">
        <f t="shared" si="44"/>
        <v>6156</v>
      </c>
      <c r="K165" s="7">
        <f t="shared" si="43"/>
        <v>0</v>
      </c>
      <c r="L165" s="35">
        <f t="shared" si="41"/>
        <v>6156</v>
      </c>
      <c r="M165" s="7">
        <f t="shared" si="43"/>
        <v>0</v>
      </c>
      <c r="N165" s="35">
        <f t="shared" si="42"/>
        <v>6156</v>
      </c>
      <c r="O165" s="7">
        <f t="shared" si="43"/>
        <v>0</v>
      </c>
      <c r="P165" s="35">
        <f t="shared" si="38"/>
        <v>6156</v>
      </c>
      <c r="Q165" s="7">
        <f t="shared" si="43"/>
        <v>2264</v>
      </c>
      <c r="R165" s="35">
        <f t="shared" si="39"/>
        <v>8420</v>
      </c>
      <c r="S165" s="7">
        <f t="shared" si="43"/>
        <v>0</v>
      </c>
      <c r="T165" s="35">
        <f t="shared" si="36"/>
        <v>8420</v>
      </c>
    </row>
    <row r="166" spans="1:20" ht="23.25" customHeight="1">
      <c r="A166" s="61" t="str">
        <f ca="1">IF(ISERROR(MATCH(E166,Код_КВР,0)),"",INDIRECT(ADDRESS(MATCH(E166,Код_КВР,0)+1,2,,,"КВР")))</f>
        <v>Публичные нормативные социальные выплаты гражданам</v>
      </c>
      <c r="B166" s="43" t="s">
        <v>298</v>
      </c>
      <c r="C166" s="8" t="s">
        <v>195</v>
      </c>
      <c r="D166" s="1" t="s">
        <v>213</v>
      </c>
      <c r="E166" s="104">
        <v>310</v>
      </c>
      <c r="F166" s="7">
        <f t="shared" si="43"/>
        <v>6156</v>
      </c>
      <c r="G166" s="7">
        <f t="shared" si="43"/>
        <v>0</v>
      </c>
      <c r="H166" s="35">
        <f t="shared" si="24"/>
        <v>6156</v>
      </c>
      <c r="I166" s="7">
        <f t="shared" si="43"/>
        <v>0</v>
      </c>
      <c r="J166" s="35">
        <f t="shared" si="44"/>
        <v>6156</v>
      </c>
      <c r="K166" s="7">
        <f t="shared" si="43"/>
        <v>0</v>
      </c>
      <c r="L166" s="35">
        <f t="shared" si="41"/>
        <v>6156</v>
      </c>
      <c r="M166" s="7">
        <f t="shared" si="43"/>
        <v>0</v>
      </c>
      <c r="N166" s="35">
        <f t="shared" si="42"/>
        <v>6156</v>
      </c>
      <c r="O166" s="7">
        <f t="shared" si="43"/>
        <v>0</v>
      </c>
      <c r="P166" s="35">
        <f t="shared" si="38"/>
        <v>6156</v>
      </c>
      <c r="Q166" s="7">
        <f t="shared" si="43"/>
        <v>2264</v>
      </c>
      <c r="R166" s="35">
        <f t="shared" si="39"/>
        <v>8420</v>
      </c>
      <c r="S166" s="7">
        <f t="shared" si="43"/>
        <v>0</v>
      </c>
      <c r="T166" s="35">
        <f t="shared" si="36"/>
        <v>8420</v>
      </c>
    </row>
    <row r="167" spans="1:20" ht="36.75" customHeight="1">
      <c r="A167" s="61" t="str">
        <f ca="1">IF(ISERROR(MATCH(E167,Код_КВР,0)),"",INDIRECT(ADDRESS(MATCH(E167,Код_КВР,0)+1,2,,,"КВР")))</f>
        <v>Пособия, компенсации, меры социальной поддержки по публичным нормативным обязательствам</v>
      </c>
      <c r="B167" s="43" t="s">
        <v>298</v>
      </c>
      <c r="C167" s="8" t="s">
        <v>195</v>
      </c>
      <c r="D167" s="1" t="s">
        <v>213</v>
      </c>
      <c r="E167" s="104">
        <v>313</v>
      </c>
      <c r="F167" s="7">
        <f>прил.6!G617</f>
        <v>6156</v>
      </c>
      <c r="G167" s="7">
        <f>прил.6!H617</f>
        <v>0</v>
      </c>
      <c r="H167" s="35">
        <f t="shared" si="24"/>
        <v>6156</v>
      </c>
      <c r="I167" s="7">
        <f>прил.6!J617</f>
        <v>0</v>
      </c>
      <c r="J167" s="35">
        <f t="shared" si="44"/>
        <v>6156</v>
      </c>
      <c r="K167" s="7">
        <f>прил.6!L617</f>
        <v>0</v>
      </c>
      <c r="L167" s="35">
        <f t="shared" si="41"/>
        <v>6156</v>
      </c>
      <c r="M167" s="7">
        <f>прил.6!N617</f>
        <v>0</v>
      </c>
      <c r="N167" s="35">
        <f t="shared" si="42"/>
        <v>6156</v>
      </c>
      <c r="O167" s="7">
        <f>прил.6!P617</f>
        <v>0</v>
      </c>
      <c r="P167" s="35">
        <f t="shared" si="38"/>
        <v>6156</v>
      </c>
      <c r="Q167" s="7">
        <f>прил.6!R617</f>
        <v>2264</v>
      </c>
      <c r="R167" s="35">
        <f t="shared" si="39"/>
        <v>8420</v>
      </c>
      <c r="S167" s="7">
        <f>прил.6!T617</f>
        <v>0</v>
      </c>
      <c r="T167" s="35">
        <f t="shared" si="36"/>
        <v>8420</v>
      </c>
    </row>
    <row r="168" spans="1:20" ht="70.7" customHeight="1">
      <c r="A168" s="61" t="str">
        <f ca="1">IF(ISERROR(MATCH(B168,Код_КЦСР,0)),"",INDIRECT(ADDRESS(MATCH(B168,Код_КЦСР,0)+1,2,,,"КЦСР")))</f>
        <v>Ежемесячное социальное пособие на оздоровление отдельным категориям работников муниципальных дошкольных образовательных учреждений в соответствии с решением Череповецкой городской Думы от 29.05.2012 № 94</v>
      </c>
      <c r="B168" s="43" t="s">
        <v>455</v>
      </c>
      <c r="C168" s="8"/>
      <c r="D168" s="1"/>
      <c r="E168" s="104"/>
      <c r="F168" s="7">
        <f t="shared" ref="F168:S172" si="45">F169</f>
        <v>11634.9</v>
      </c>
      <c r="G168" s="7">
        <f t="shared" si="45"/>
        <v>0</v>
      </c>
      <c r="H168" s="35">
        <f t="shared" si="24"/>
        <v>11634.9</v>
      </c>
      <c r="I168" s="7">
        <f t="shared" si="45"/>
        <v>0</v>
      </c>
      <c r="J168" s="35">
        <f t="shared" si="44"/>
        <v>11634.9</v>
      </c>
      <c r="K168" s="7">
        <f t="shared" si="45"/>
        <v>0</v>
      </c>
      <c r="L168" s="35">
        <f t="shared" si="41"/>
        <v>11634.9</v>
      </c>
      <c r="M168" s="7">
        <f t="shared" si="45"/>
        <v>0</v>
      </c>
      <c r="N168" s="35">
        <f t="shared" si="42"/>
        <v>11634.9</v>
      </c>
      <c r="O168" s="7">
        <f t="shared" si="45"/>
        <v>-10</v>
      </c>
      <c r="P168" s="35">
        <f t="shared" si="38"/>
        <v>11624.9</v>
      </c>
      <c r="Q168" s="7">
        <f t="shared" si="45"/>
        <v>0</v>
      </c>
      <c r="R168" s="35">
        <f t="shared" si="39"/>
        <v>11624.9</v>
      </c>
      <c r="S168" s="7">
        <f t="shared" si="45"/>
        <v>-288.7</v>
      </c>
      <c r="T168" s="35">
        <f t="shared" si="36"/>
        <v>11336.199999999999</v>
      </c>
    </row>
    <row r="169" spans="1:20">
      <c r="A169" s="61" t="str">
        <f ca="1">IF(ISERROR(MATCH(C169,Код_Раздел,0)),"",INDIRECT(ADDRESS(MATCH(C169,Код_Раздел,0)+1,2,,,"Раздел")))</f>
        <v>Социальная политика</v>
      </c>
      <c r="B169" s="43" t="s">
        <v>455</v>
      </c>
      <c r="C169" s="8" t="s">
        <v>188</v>
      </c>
      <c r="D169" s="1"/>
      <c r="E169" s="104"/>
      <c r="F169" s="7">
        <f t="shared" si="45"/>
        <v>11634.9</v>
      </c>
      <c r="G169" s="7">
        <f t="shared" si="45"/>
        <v>0</v>
      </c>
      <c r="H169" s="35">
        <f t="shared" si="24"/>
        <v>11634.9</v>
      </c>
      <c r="I169" s="7">
        <f t="shared" si="45"/>
        <v>0</v>
      </c>
      <c r="J169" s="35">
        <f t="shared" si="44"/>
        <v>11634.9</v>
      </c>
      <c r="K169" s="7">
        <f t="shared" si="45"/>
        <v>0</v>
      </c>
      <c r="L169" s="35">
        <f t="shared" si="41"/>
        <v>11634.9</v>
      </c>
      <c r="M169" s="7">
        <f t="shared" si="45"/>
        <v>0</v>
      </c>
      <c r="N169" s="35">
        <f t="shared" si="42"/>
        <v>11634.9</v>
      </c>
      <c r="O169" s="7">
        <f t="shared" si="45"/>
        <v>-10</v>
      </c>
      <c r="P169" s="35">
        <f t="shared" si="38"/>
        <v>11624.9</v>
      </c>
      <c r="Q169" s="7">
        <f t="shared" si="45"/>
        <v>0</v>
      </c>
      <c r="R169" s="35">
        <f t="shared" si="39"/>
        <v>11624.9</v>
      </c>
      <c r="S169" s="7">
        <f t="shared" si="45"/>
        <v>-288.7</v>
      </c>
      <c r="T169" s="35">
        <f t="shared" si="36"/>
        <v>11336.199999999999</v>
      </c>
    </row>
    <row r="170" spans="1:20" ht="18.75" customHeight="1">
      <c r="A170" s="12" t="s">
        <v>179</v>
      </c>
      <c r="B170" s="43" t="s">
        <v>455</v>
      </c>
      <c r="C170" s="8" t="s">
        <v>188</v>
      </c>
      <c r="D170" s="8" t="s">
        <v>215</v>
      </c>
      <c r="E170" s="104"/>
      <c r="F170" s="7">
        <f t="shared" si="45"/>
        <v>11634.9</v>
      </c>
      <c r="G170" s="7">
        <f t="shared" si="45"/>
        <v>0</v>
      </c>
      <c r="H170" s="35">
        <f t="shared" ref="H170:H236" si="46">F170+G170</f>
        <v>11634.9</v>
      </c>
      <c r="I170" s="7">
        <f t="shared" si="45"/>
        <v>0</v>
      </c>
      <c r="J170" s="35">
        <f t="shared" si="44"/>
        <v>11634.9</v>
      </c>
      <c r="K170" s="7">
        <f t="shared" si="45"/>
        <v>0</v>
      </c>
      <c r="L170" s="35">
        <f t="shared" si="41"/>
        <v>11634.9</v>
      </c>
      <c r="M170" s="7">
        <f t="shared" si="45"/>
        <v>0</v>
      </c>
      <c r="N170" s="35">
        <f t="shared" si="42"/>
        <v>11634.9</v>
      </c>
      <c r="O170" s="7">
        <f t="shared" si="45"/>
        <v>-10</v>
      </c>
      <c r="P170" s="35">
        <f t="shared" si="38"/>
        <v>11624.9</v>
      </c>
      <c r="Q170" s="7">
        <f t="shared" si="45"/>
        <v>0</v>
      </c>
      <c r="R170" s="35">
        <f t="shared" si="39"/>
        <v>11624.9</v>
      </c>
      <c r="S170" s="7">
        <f t="shared" si="45"/>
        <v>-288.7</v>
      </c>
      <c r="T170" s="35">
        <f t="shared" si="36"/>
        <v>11336.199999999999</v>
      </c>
    </row>
    <row r="171" spans="1:20" ht="18.75" customHeight="1">
      <c r="A171" s="61" t="str">
        <f ca="1">IF(ISERROR(MATCH(E171,Код_КВР,0)),"",INDIRECT(ADDRESS(MATCH(E171,Код_КВР,0)+1,2,,,"КВР")))</f>
        <v>Социальное обеспечение и иные выплаты населению</v>
      </c>
      <c r="B171" s="43" t="s">
        <v>455</v>
      </c>
      <c r="C171" s="8" t="s">
        <v>188</v>
      </c>
      <c r="D171" s="8" t="s">
        <v>215</v>
      </c>
      <c r="E171" s="104">
        <v>300</v>
      </c>
      <c r="F171" s="7">
        <f t="shared" si="45"/>
        <v>11634.9</v>
      </c>
      <c r="G171" s="7">
        <f t="shared" si="45"/>
        <v>0</v>
      </c>
      <c r="H171" s="35">
        <f t="shared" si="46"/>
        <v>11634.9</v>
      </c>
      <c r="I171" s="7">
        <f t="shared" si="45"/>
        <v>0</v>
      </c>
      <c r="J171" s="35">
        <f t="shared" si="44"/>
        <v>11634.9</v>
      </c>
      <c r="K171" s="7">
        <f t="shared" si="45"/>
        <v>0</v>
      </c>
      <c r="L171" s="35">
        <f t="shared" si="41"/>
        <v>11634.9</v>
      </c>
      <c r="M171" s="7">
        <f t="shared" si="45"/>
        <v>0</v>
      </c>
      <c r="N171" s="35">
        <f t="shared" si="42"/>
        <v>11634.9</v>
      </c>
      <c r="O171" s="7">
        <f t="shared" si="45"/>
        <v>-10</v>
      </c>
      <c r="P171" s="35">
        <f t="shared" si="38"/>
        <v>11624.9</v>
      </c>
      <c r="Q171" s="7">
        <f t="shared" si="45"/>
        <v>0</v>
      </c>
      <c r="R171" s="35">
        <f t="shared" si="39"/>
        <v>11624.9</v>
      </c>
      <c r="S171" s="7">
        <f t="shared" si="45"/>
        <v>-288.7</v>
      </c>
      <c r="T171" s="35">
        <f t="shared" si="36"/>
        <v>11336.199999999999</v>
      </c>
    </row>
    <row r="172" spans="1:20" ht="18.75" customHeight="1">
      <c r="A172" s="61" t="str">
        <f ca="1">IF(ISERROR(MATCH(E172,Код_КВР,0)),"",INDIRECT(ADDRESS(MATCH(E172,Код_КВР,0)+1,2,,,"КВР")))</f>
        <v>Публичные нормативные социальные выплаты гражданам</v>
      </c>
      <c r="B172" s="43" t="s">
        <v>455</v>
      </c>
      <c r="C172" s="8" t="s">
        <v>188</v>
      </c>
      <c r="D172" s="8" t="s">
        <v>215</v>
      </c>
      <c r="E172" s="104">
        <v>310</v>
      </c>
      <c r="F172" s="7">
        <f t="shared" si="45"/>
        <v>11634.9</v>
      </c>
      <c r="G172" s="7">
        <f t="shared" si="45"/>
        <v>0</v>
      </c>
      <c r="H172" s="35">
        <f t="shared" si="46"/>
        <v>11634.9</v>
      </c>
      <c r="I172" s="7">
        <f t="shared" si="45"/>
        <v>0</v>
      </c>
      <c r="J172" s="35">
        <f t="shared" si="44"/>
        <v>11634.9</v>
      </c>
      <c r="K172" s="7">
        <f t="shared" si="45"/>
        <v>0</v>
      </c>
      <c r="L172" s="35">
        <f t="shared" si="41"/>
        <v>11634.9</v>
      </c>
      <c r="M172" s="7">
        <f t="shared" si="45"/>
        <v>0</v>
      </c>
      <c r="N172" s="35">
        <f t="shared" si="42"/>
        <v>11634.9</v>
      </c>
      <c r="O172" s="7">
        <f t="shared" si="45"/>
        <v>-10</v>
      </c>
      <c r="P172" s="35">
        <f t="shared" si="38"/>
        <v>11624.9</v>
      </c>
      <c r="Q172" s="7">
        <f t="shared" si="45"/>
        <v>0</v>
      </c>
      <c r="R172" s="35">
        <f t="shared" si="39"/>
        <v>11624.9</v>
      </c>
      <c r="S172" s="7">
        <f t="shared" si="45"/>
        <v>-288.7</v>
      </c>
      <c r="T172" s="35">
        <f t="shared" si="36"/>
        <v>11336.199999999999</v>
      </c>
    </row>
    <row r="173" spans="1:20" ht="35.25" customHeight="1">
      <c r="A173" s="61" t="str">
        <f ca="1">IF(ISERROR(MATCH(E173,Код_КВР,0)),"",INDIRECT(ADDRESS(MATCH(E173,Код_КВР,0)+1,2,,,"КВР")))</f>
        <v>Пособия, компенсации, меры социальной поддержки по публичным нормативным обязательствам</v>
      </c>
      <c r="B173" s="43" t="s">
        <v>455</v>
      </c>
      <c r="C173" s="8" t="s">
        <v>188</v>
      </c>
      <c r="D173" s="8" t="s">
        <v>215</v>
      </c>
      <c r="E173" s="104">
        <v>313</v>
      </c>
      <c r="F173" s="7">
        <f>прил.6!G831</f>
        <v>11634.9</v>
      </c>
      <c r="G173" s="7">
        <f>прил.6!H831</f>
        <v>0</v>
      </c>
      <c r="H173" s="35">
        <f t="shared" si="46"/>
        <v>11634.9</v>
      </c>
      <c r="I173" s="7">
        <f>прил.6!J831</f>
        <v>0</v>
      </c>
      <c r="J173" s="35">
        <f t="shared" si="44"/>
        <v>11634.9</v>
      </c>
      <c r="K173" s="7">
        <f>прил.6!L831</f>
        <v>0</v>
      </c>
      <c r="L173" s="35">
        <f t="shared" si="41"/>
        <v>11634.9</v>
      </c>
      <c r="M173" s="7">
        <f>прил.6!N831</f>
        <v>0</v>
      </c>
      <c r="N173" s="35">
        <f t="shared" si="42"/>
        <v>11634.9</v>
      </c>
      <c r="O173" s="7">
        <f>прил.6!P831</f>
        <v>-10</v>
      </c>
      <c r="P173" s="35">
        <f t="shared" si="38"/>
        <v>11624.9</v>
      </c>
      <c r="Q173" s="7">
        <f>прил.6!R831</f>
        <v>0</v>
      </c>
      <c r="R173" s="35">
        <f t="shared" si="39"/>
        <v>11624.9</v>
      </c>
      <c r="S173" s="7">
        <f>прил.6!T831</f>
        <v>-288.7</v>
      </c>
      <c r="T173" s="35">
        <f t="shared" si="36"/>
        <v>11336.199999999999</v>
      </c>
    </row>
    <row r="174" spans="1:20" ht="84.75" customHeight="1">
      <c r="A174" s="61" t="str">
        <f ca="1">IF(ISERROR(MATCH(B174,Код_КЦСР,0)),"",INDIRECT(ADDRESS(MATCH(B174,Код_КЦСР,0)+1,2,,,"КЦСР")))</f>
        <v>Компенсация части родительской платы за содержание ребенка в детском саду (присмотр и уход за детьми) штатным работникам муниципальных дошкольных образовательных учреждений в соответствии с решением Череповецкой городской Думы от 30.10.2012 № 203</v>
      </c>
      <c r="B174" s="43" t="s">
        <v>456</v>
      </c>
      <c r="C174" s="8"/>
      <c r="D174" s="1"/>
      <c r="E174" s="104"/>
      <c r="F174" s="7">
        <f t="shared" ref="F174:S178" si="47">F175</f>
        <v>12418.6</v>
      </c>
      <c r="G174" s="7">
        <f t="shared" si="47"/>
        <v>0</v>
      </c>
      <c r="H174" s="35">
        <f t="shared" si="46"/>
        <v>12418.6</v>
      </c>
      <c r="I174" s="7">
        <f t="shared" si="47"/>
        <v>0</v>
      </c>
      <c r="J174" s="35">
        <f t="shared" si="44"/>
        <v>12418.6</v>
      </c>
      <c r="K174" s="7">
        <f t="shared" si="47"/>
        <v>0</v>
      </c>
      <c r="L174" s="35">
        <f t="shared" si="41"/>
        <v>12418.6</v>
      </c>
      <c r="M174" s="7">
        <f t="shared" si="47"/>
        <v>0</v>
      </c>
      <c r="N174" s="35">
        <f t="shared" si="42"/>
        <v>12418.6</v>
      </c>
      <c r="O174" s="7">
        <f t="shared" si="47"/>
        <v>0</v>
      </c>
      <c r="P174" s="35">
        <f t="shared" si="38"/>
        <v>12418.6</v>
      </c>
      <c r="Q174" s="7">
        <f t="shared" si="47"/>
        <v>0</v>
      </c>
      <c r="R174" s="35">
        <f t="shared" si="39"/>
        <v>12418.6</v>
      </c>
      <c r="S174" s="7">
        <f t="shared" si="47"/>
        <v>135.6</v>
      </c>
      <c r="T174" s="35">
        <f t="shared" si="36"/>
        <v>12554.2</v>
      </c>
    </row>
    <row r="175" spans="1:20">
      <c r="A175" s="61" t="str">
        <f ca="1">IF(ISERROR(MATCH(C175,Код_Раздел,0)),"",INDIRECT(ADDRESS(MATCH(C175,Код_Раздел,0)+1,2,,,"Раздел")))</f>
        <v>Социальная политика</v>
      </c>
      <c r="B175" s="43" t="s">
        <v>456</v>
      </c>
      <c r="C175" s="8" t="s">
        <v>188</v>
      </c>
      <c r="D175" s="1"/>
      <c r="E175" s="104"/>
      <c r="F175" s="7">
        <f t="shared" si="47"/>
        <v>12418.6</v>
      </c>
      <c r="G175" s="7">
        <f t="shared" si="47"/>
        <v>0</v>
      </c>
      <c r="H175" s="35">
        <f t="shared" si="46"/>
        <v>12418.6</v>
      </c>
      <c r="I175" s="7">
        <f t="shared" si="47"/>
        <v>0</v>
      </c>
      <c r="J175" s="35">
        <f t="shared" si="44"/>
        <v>12418.6</v>
      </c>
      <c r="K175" s="7">
        <f t="shared" si="47"/>
        <v>0</v>
      </c>
      <c r="L175" s="35">
        <f t="shared" si="41"/>
        <v>12418.6</v>
      </c>
      <c r="M175" s="7">
        <f t="shared" si="47"/>
        <v>0</v>
      </c>
      <c r="N175" s="35">
        <f t="shared" si="42"/>
        <v>12418.6</v>
      </c>
      <c r="O175" s="7">
        <f t="shared" si="47"/>
        <v>0</v>
      </c>
      <c r="P175" s="35">
        <f t="shared" si="38"/>
        <v>12418.6</v>
      </c>
      <c r="Q175" s="7">
        <f t="shared" si="47"/>
        <v>0</v>
      </c>
      <c r="R175" s="35">
        <f t="shared" si="39"/>
        <v>12418.6</v>
      </c>
      <c r="S175" s="7">
        <f t="shared" si="47"/>
        <v>135.6</v>
      </c>
      <c r="T175" s="35">
        <f t="shared" si="36"/>
        <v>12554.2</v>
      </c>
    </row>
    <row r="176" spans="1:20">
      <c r="A176" s="76" t="s">
        <v>204</v>
      </c>
      <c r="B176" s="43" t="s">
        <v>456</v>
      </c>
      <c r="C176" s="8" t="s">
        <v>188</v>
      </c>
      <c r="D176" s="8" t="s">
        <v>216</v>
      </c>
      <c r="E176" s="104"/>
      <c r="F176" s="7">
        <f t="shared" si="47"/>
        <v>12418.6</v>
      </c>
      <c r="G176" s="7">
        <f t="shared" si="47"/>
        <v>0</v>
      </c>
      <c r="H176" s="35">
        <f t="shared" si="46"/>
        <v>12418.6</v>
      </c>
      <c r="I176" s="7">
        <f t="shared" si="47"/>
        <v>0</v>
      </c>
      <c r="J176" s="35">
        <f t="shared" si="44"/>
        <v>12418.6</v>
      </c>
      <c r="K176" s="7">
        <f t="shared" si="47"/>
        <v>0</v>
      </c>
      <c r="L176" s="35">
        <f t="shared" si="41"/>
        <v>12418.6</v>
      </c>
      <c r="M176" s="7">
        <f t="shared" si="47"/>
        <v>0</v>
      </c>
      <c r="N176" s="35">
        <f t="shared" si="42"/>
        <v>12418.6</v>
      </c>
      <c r="O176" s="7">
        <f t="shared" si="47"/>
        <v>0</v>
      </c>
      <c r="P176" s="35">
        <f t="shared" si="38"/>
        <v>12418.6</v>
      </c>
      <c r="Q176" s="7">
        <f t="shared" si="47"/>
        <v>0</v>
      </c>
      <c r="R176" s="35">
        <f t="shared" si="39"/>
        <v>12418.6</v>
      </c>
      <c r="S176" s="7">
        <f t="shared" si="47"/>
        <v>135.6</v>
      </c>
      <c r="T176" s="35">
        <f t="shared" si="36"/>
        <v>12554.2</v>
      </c>
    </row>
    <row r="177" spans="1:20">
      <c r="A177" s="61" t="str">
        <f ca="1">IF(ISERROR(MATCH(E177,Код_КВР,0)),"",INDIRECT(ADDRESS(MATCH(E177,Код_КВР,0)+1,2,,,"КВР")))</f>
        <v>Социальное обеспечение и иные выплаты населению</v>
      </c>
      <c r="B177" s="43" t="s">
        <v>456</v>
      </c>
      <c r="C177" s="8" t="s">
        <v>188</v>
      </c>
      <c r="D177" s="8" t="s">
        <v>216</v>
      </c>
      <c r="E177" s="104">
        <v>300</v>
      </c>
      <c r="F177" s="7">
        <f t="shared" si="47"/>
        <v>12418.6</v>
      </c>
      <c r="G177" s="7">
        <f t="shared" si="47"/>
        <v>0</v>
      </c>
      <c r="H177" s="35">
        <f t="shared" si="46"/>
        <v>12418.6</v>
      </c>
      <c r="I177" s="7">
        <f t="shared" si="47"/>
        <v>0</v>
      </c>
      <c r="J177" s="35">
        <f t="shared" si="44"/>
        <v>12418.6</v>
      </c>
      <c r="K177" s="7">
        <f t="shared" si="47"/>
        <v>0</v>
      </c>
      <c r="L177" s="35">
        <f t="shared" si="41"/>
        <v>12418.6</v>
      </c>
      <c r="M177" s="7">
        <f t="shared" si="47"/>
        <v>0</v>
      </c>
      <c r="N177" s="35">
        <f t="shared" si="42"/>
        <v>12418.6</v>
      </c>
      <c r="O177" s="7">
        <f t="shared" si="47"/>
        <v>0</v>
      </c>
      <c r="P177" s="35">
        <f t="shared" si="38"/>
        <v>12418.6</v>
      </c>
      <c r="Q177" s="7">
        <f t="shared" si="47"/>
        <v>0</v>
      </c>
      <c r="R177" s="35">
        <f t="shared" si="39"/>
        <v>12418.6</v>
      </c>
      <c r="S177" s="7">
        <f t="shared" si="47"/>
        <v>135.6</v>
      </c>
      <c r="T177" s="35">
        <f t="shared" si="36"/>
        <v>12554.2</v>
      </c>
    </row>
    <row r="178" spans="1:20">
      <c r="A178" s="61" t="str">
        <f ca="1">IF(ISERROR(MATCH(E178,Код_КВР,0)),"",INDIRECT(ADDRESS(MATCH(E178,Код_КВР,0)+1,2,,,"КВР")))</f>
        <v>Публичные нормативные социальные выплаты гражданам</v>
      </c>
      <c r="B178" s="43" t="s">
        <v>456</v>
      </c>
      <c r="C178" s="8" t="s">
        <v>188</v>
      </c>
      <c r="D178" s="8" t="s">
        <v>216</v>
      </c>
      <c r="E178" s="104">
        <v>310</v>
      </c>
      <c r="F178" s="7">
        <f t="shared" si="47"/>
        <v>12418.6</v>
      </c>
      <c r="G178" s="7">
        <f t="shared" si="47"/>
        <v>0</v>
      </c>
      <c r="H178" s="35">
        <f t="shared" si="46"/>
        <v>12418.6</v>
      </c>
      <c r="I178" s="7">
        <f t="shared" si="47"/>
        <v>0</v>
      </c>
      <c r="J178" s="35">
        <f t="shared" si="44"/>
        <v>12418.6</v>
      </c>
      <c r="K178" s="7">
        <f t="shared" si="47"/>
        <v>0</v>
      </c>
      <c r="L178" s="35">
        <f t="shared" si="41"/>
        <v>12418.6</v>
      </c>
      <c r="M178" s="7">
        <f t="shared" si="47"/>
        <v>0</v>
      </c>
      <c r="N178" s="35">
        <f t="shared" si="42"/>
        <v>12418.6</v>
      </c>
      <c r="O178" s="7">
        <f t="shared" si="47"/>
        <v>0</v>
      </c>
      <c r="P178" s="35">
        <f t="shared" si="38"/>
        <v>12418.6</v>
      </c>
      <c r="Q178" s="7">
        <f t="shared" si="47"/>
        <v>0</v>
      </c>
      <c r="R178" s="35">
        <f t="shared" si="39"/>
        <v>12418.6</v>
      </c>
      <c r="S178" s="7">
        <f t="shared" si="47"/>
        <v>135.6</v>
      </c>
      <c r="T178" s="35">
        <f t="shared" si="36"/>
        <v>12554.2</v>
      </c>
    </row>
    <row r="179" spans="1:20" ht="33">
      <c r="A179" s="61" t="str">
        <f ca="1">IF(ISERROR(MATCH(E179,Код_КВР,0)),"",INDIRECT(ADDRESS(MATCH(E179,Код_КВР,0)+1,2,,,"КВР")))</f>
        <v>Пособия, компенсации, меры социальной поддержки по публичным нормативным обязательствам</v>
      </c>
      <c r="B179" s="43" t="s">
        <v>456</v>
      </c>
      <c r="C179" s="8" t="s">
        <v>188</v>
      </c>
      <c r="D179" s="8" t="s">
        <v>216</v>
      </c>
      <c r="E179" s="104">
        <v>313</v>
      </c>
      <c r="F179" s="7">
        <f>прил.6!G850</f>
        <v>12418.6</v>
      </c>
      <c r="G179" s="7">
        <f>прил.6!H850</f>
        <v>0</v>
      </c>
      <c r="H179" s="35">
        <f t="shared" si="46"/>
        <v>12418.6</v>
      </c>
      <c r="I179" s="7">
        <f>прил.6!J850</f>
        <v>0</v>
      </c>
      <c r="J179" s="35">
        <f t="shared" si="44"/>
        <v>12418.6</v>
      </c>
      <c r="K179" s="7">
        <f>прил.6!L850</f>
        <v>0</v>
      </c>
      <c r="L179" s="35">
        <f t="shared" si="41"/>
        <v>12418.6</v>
      </c>
      <c r="M179" s="7">
        <f>прил.6!N850</f>
        <v>0</v>
      </c>
      <c r="N179" s="35">
        <f t="shared" si="42"/>
        <v>12418.6</v>
      </c>
      <c r="O179" s="7">
        <f>прил.6!P850</f>
        <v>0</v>
      </c>
      <c r="P179" s="35">
        <f t="shared" si="38"/>
        <v>12418.6</v>
      </c>
      <c r="Q179" s="7">
        <f>прил.6!R850</f>
        <v>0</v>
      </c>
      <c r="R179" s="35">
        <f t="shared" si="39"/>
        <v>12418.6</v>
      </c>
      <c r="S179" s="7">
        <f>прил.6!T850</f>
        <v>135.6</v>
      </c>
      <c r="T179" s="35">
        <f t="shared" si="36"/>
        <v>12554.2</v>
      </c>
    </row>
    <row r="180" spans="1:20" ht="33">
      <c r="A180" s="61" t="str">
        <f ca="1">IF(ISERROR(MATCH(B180,Код_КЦСР,0)),"",INDIRECT(ADDRESS(MATCH(B180,Код_КЦСР,0)+1,2,,,"КЦСР")))</f>
        <v>Представление лучших педагогов сферы образования к поощрению  наградами всех уровней</v>
      </c>
      <c r="B180" s="43" t="s">
        <v>457</v>
      </c>
      <c r="C180" s="8"/>
      <c r="D180" s="1"/>
      <c r="E180" s="104"/>
      <c r="F180" s="7">
        <f t="shared" ref="F180:S185" si="48">F181</f>
        <v>32.6</v>
      </c>
      <c r="G180" s="7">
        <f t="shared" si="48"/>
        <v>0</v>
      </c>
      <c r="H180" s="35">
        <f t="shared" si="46"/>
        <v>32.6</v>
      </c>
      <c r="I180" s="7">
        <f t="shared" si="48"/>
        <v>0</v>
      </c>
      <c r="J180" s="35">
        <f t="shared" si="44"/>
        <v>32.6</v>
      </c>
      <c r="K180" s="7">
        <f t="shared" si="48"/>
        <v>0</v>
      </c>
      <c r="L180" s="35">
        <f t="shared" si="41"/>
        <v>32.6</v>
      </c>
      <c r="M180" s="7">
        <f t="shared" si="48"/>
        <v>0</v>
      </c>
      <c r="N180" s="35">
        <f t="shared" si="42"/>
        <v>32.6</v>
      </c>
      <c r="O180" s="7">
        <f t="shared" si="48"/>
        <v>0</v>
      </c>
      <c r="P180" s="35">
        <f t="shared" si="38"/>
        <v>32.6</v>
      </c>
      <c r="Q180" s="7">
        <f t="shared" si="48"/>
        <v>0</v>
      </c>
      <c r="R180" s="35">
        <f t="shared" si="39"/>
        <v>32.6</v>
      </c>
      <c r="S180" s="7">
        <f t="shared" si="48"/>
        <v>0</v>
      </c>
      <c r="T180" s="35">
        <f t="shared" si="36"/>
        <v>32.6</v>
      </c>
    </row>
    <row r="181" spans="1:20" ht="51.75" customHeight="1">
      <c r="A181" s="61" t="str">
        <f ca="1">IF(ISERROR(MATCH(B181,Код_КЦСР,0)),"",INDIRECT(ADDRESS(MATCH(B181,Код_КЦСР,0)+1,2,,,"КЦСР")))</f>
        <v>Премии победителям конкурса профессионального мастерства «Учитель года» в соответствии с решением Череповецкой городской Думы от 29.06.2010 № 128</v>
      </c>
      <c r="B181" s="43" t="s">
        <v>459</v>
      </c>
      <c r="C181" s="8"/>
      <c r="D181" s="1"/>
      <c r="E181" s="104"/>
      <c r="F181" s="7">
        <f t="shared" si="48"/>
        <v>32.6</v>
      </c>
      <c r="G181" s="7">
        <f t="shared" si="48"/>
        <v>0</v>
      </c>
      <c r="H181" s="35">
        <f t="shared" si="46"/>
        <v>32.6</v>
      </c>
      <c r="I181" s="7">
        <f t="shared" si="48"/>
        <v>0</v>
      </c>
      <c r="J181" s="35">
        <f t="shared" si="44"/>
        <v>32.6</v>
      </c>
      <c r="K181" s="7">
        <f t="shared" si="48"/>
        <v>0</v>
      </c>
      <c r="L181" s="35">
        <f t="shared" si="41"/>
        <v>32.6</v>
      </c>
      <c r="M181" s="7">
        <f t="shared" si="48"/>
        <v>0</v>
      </c>
      <c r="N181" s="35">
        <f t="shared" si="42"/>
        <v>32.6</v>
      </c>
      <c r="O181" s="7">
        <f t="shared" si="48"/>
        <v>0</v>
      </c>
      <c r="P181" s="35">
        <f t="shared" si="38"/>
        <v>32.6</v>
      </c>
      <c r="Q181" s="7">
        <f t="shared" si="48"/>
        <v>0</v>
      </c>
      <c r="R181" s="35">
        <f t="shared" si="39"/>
        <v>32.6</v>
      </c>
      <c r="S181" s="7">
        <f t="shared" si="48"/>
        <v>0</v>
      </c>
      <c r="T181" s="35">
        <f t="shared" si="36"/>
        <v>32.6</v>
      </c>
    </row>
    <row r="182" spans="1:20" ht="20.25" customHeight="1">
      <c r="A182" s="61" t="str">
        <f ca="1">IF(ISERROR(MATCH(C182,Код_Раздел,0)),"",INDIRECT(ADDRESS(MATCH(C182,Код_Раздел,0)+1,2,,,"Раздел")))</f>
        <v>Образование</v>
      </c>
      <c r="B182" s="43" t="s">
        <v>459</v>
      </c>
      <c r="C182" s="8" t="s">
        <v>195</v>
      </c>
      <c r="D182" s="1"/>
      <c r="E182" s="104"/>
      <c r="F182" s="7">
        <f t="shared" si="48"/>
        <v>32.6</v>
      </c>
      <c r="G182" s="7">
        <f t="shared" si="48"/>
        <v>0</v>
      </c>
      <c r="H182" s="35">
        <f t="shared" si="46"/>
        <v>32.6</v>
      </c>
      <c r="I182" s="7">
        <f t="shared" si="48"/>
        <v>0</v>
      </c>
      <c r="J182" s="35">
        <f t="shared" si="44"/>
        <v>32.6</v>
      </c>
      <c r="K182" s="7">
        <f t="shared" si="48"/>
        <v>0</v>
      </c>
      <c r="L182" s="35">
        <f t="shared" si="41"/>
        <v>32.6</v>
      </c>
      <c r="M182" s="7">
        <f t="shared" si="48"/>
        <v>0</v>
      </c>
      <c r="N182" s="35">
        <f t="shared" si="42"/>
        <v>32.6</v>
      </c>
      <c r="O182" s="7">
        <f t="shared" si="48"/>
        <v>0</v>
      </c>
      <c r="P182" s="35">
        <f t="shared" si="38"/>
        <v>32.6</v>
      </c>
      <c r="Q182" s="7">
        <f t="shared" si="48"/>
        <v>0</v>
      </c>
      <c r="R182" s="35">
        <f t="shared" si="39"/>
        <v>32.6</v>
      </c>
      <c r="S182" s="7">
        <f t="shared" si="48"/>
        <v>0</v>
      </c>
      <c r="T182" s="35">
        <f t="shared" si="36"/>
        <v>32.6</v>
      </c>
    </row>
    <row r="183" spans="1:20" ht="19.5" customHeight="1">
      <c r="A183" s="12" t="s">
        <v>250</v>
      </c>
      <c r="B183" s="43" t="s">
        <v>459</v>
      </c>
      <c r="C183" s="8" t="s">
        <v>195</v>
      </c>
      <c r="D183" s="1" t="s">
        <v>214</v>
      </c>
      <c r="E183" s="104"/>
      <c r="F183" s="7">
        <f t="shared" si="48"/>
        <v>32.6</v>
      </c>
      <c r="G183" s="7">
        <f t="shared" si="48"/>
        <v>0</v>
      </c>
      <c r="H183" s="35">
        <f t="shared" si="46"/>
        <v>32.6</v>
      </c>
      <c r="I183" s="7">
        <f t="shared" si="48"/>
        <v>0</v>
      </c>
      <c r="J183" s="35">
        <f t="shared" si="44"/>
        <v>32.6</v>
      </c>
      <c r="K183" s="7">
        <f t="shared" si="48"/>
        <v>0</v>
      </c>
      <c r="L183" s="35">
        <f t="shared" si="41"/>
        <v>32.6</v>
      </c>
      <c r="M183" s="7">
        <f t="shared" si="48"/>
        <v>0</v>
      </c>
      <c r="N183" s="35">
        <f t="shared" si="42"/>
        <v>32.6</v>
      </c>
      <c r="O183" s="7">
        <f t="shared" si="48"/>
        <v>0</v>
      </c>
      <c r="P183" s="35">
        <f t="shared" si="38"/>
        <v>32.6</v>
      </c>
      <c r="Q183" s="7">
        <f t="shared" si="48"/>
        <v>0</v>
      </c>
      <c r="R183" s="35">
        <f t="shared" si="39"/>
        <v>32.6</v>
      </c>
      <c r="S183" s="7">
        <f t="shared" si="48"/>
        <v>0</v>
      </c>
      <c r="T183" s="35">
        <f t="shared" si="36"/>
        <v>32.6</v>
      </c>
    </row>
    <row r="184" spans="1:20" ht="19.5" customHeight="1">
      <c r="A184" s="61" t="str">
        <f ca="1">IF(ISERROR(MATCH(E184,Код_КВР,0)),"",INDIRECT(ADDRESS(MATCH(E184,Код_КВР,0)+1,2,,,"КВР")))</f>
        <v>Социальное обеспечение и иные выплаты населению</v>
      </c>
      <c r="B184" s="43" t="s">
        <v>459</v>
      </c>
      <c r="C184" s="8" t="s">
        <v>195</v>
      </c>
      <c r="D184" s="1" t="s">
        <v>214</v>
      </c>
      <c r="E184" s="104">
        <v>300</v>
      </c>
      <c r="F184" s="7">
        <f t="shared" si="48"/>
        <v>32.6</v>
      </c>
      <c r="G184" s="7">
        <f t="shared" si="48"/>
        <v>0</v>
      </c>
      <c r="H184" s="35">
        <f t="shared" si="46"/>
        <v>32.6</v>
      </c>
      <c r="I184" s="7">
        <f t="shared" si="48"/>
        <v>0</v>
      </c>
      <c r="J184" s="35">
        <f t="shared" si="44"/>
        <v>32.6</v>
      </c>
      <c r="K184" s="7">
        <f t="shared" si="48"/>
        <v>0</v>
      </c>
      <c r="L184" s="35">
        <f t="shared" si="41"/>
        <v>32.6</v>
      </c>
      <c r="M184" s="7">
        <f t="shared" si="48"/>
        <v>0</v>
      </c>
      <c r="N184" s="35">
        <f t="shared" si="42"/>
        <v>32.6</v>
      </c>
      <c r="O184" s="7">
        <f t="shared" si="48"/>
        <v>0</v>
      </c>
      <c r="P184" s="35">
        <f t="shared" si="38"/>
        <v>32.6</v>
      </c>
      <c r="Q184" s="7">
        <f t="shared" si="48"/>
        <v>0</v>
      </c>
      <c r="R184" s="35">
        <f t="shared" si="39"/>
        <v>32.6</v>
      </c>
      <c r="S184" s="7">
        <f t="shared" si="48"/>
        <v>0</v>
      </c>
      <c r="T184" s="35">
        <f t="shared" si="36"/>
        <v>32.6</v>
      </c>
    </row>
    <row r="185" spans="1:20" ht="18.75" customHeight="1">
      <c r="A185" s="61" t="str">
        <f ca="1">IF(ISERROR(MATCH(E185,Код_КВР,0)),"",INDIRECT(ADDRESS(MATCH(E185,Код_КВР,0)+1,2,,,"КВР")))</f>
        <v>Публичные нормативные социальные выплаты гражданам</v>
      </c>
      <c r="B185" s="43" t="s">
        <v>459</v>
      </c>
      <c r="C185" s="8" t="s">
        <v>195</v>
      </c>
      <c r="D185" s="1" t="s">
        <v>214</v>
      </c>
      <c r="E185" s="104">
        <v>310</v>
      </c>
      <c r="F185" s="7">
        <f t="shared" si="48"/>
        <v>32.6</v>
      </c>
      <c r="G185" s="7">
        <f t="shared" si="48"/>
        <v>0</v>
      </c>
      <c r="H185" s="35">
        <f t="shared" si="46"/>
        <v>32.6</v>
      </c>
      <c r="I185" s="7">
        <f t="shared" si="48"/>
        <v>0</v>
      </c>
      <c r="J185" s="35">
        <f t="shared" si="44"/>
        <v>32.6</v>
      </c>
      <c r="K185" s="7">
        <f t="shared" si="48"/>
        <v>0</v>
      </c>
      <c r="L185" s="35">
        <f t="shared" si="41"/>
        <v>32.6</v>
      </c>
      <c r="M185" s="7">
        <f t="shared" si="48"/>
        <v>0</v>
      </c>
      <c r="N185" s="35">
        <f t="shared" si="42"/>
        <v>32.6</v>
      </c>
      <c r="O185" s="7">
        <f t="shared" si="48"/>
        <v>0</v>
      </c>
      <c r="P185" s="35">
        <f t="shared" si="38"/>
        <v>32.6</v>
      </c>
      <c r="Q185" s="7">
        <f t="shared" si="48"/>
        <v>0</v>
      </c>
      <c r="R185" s="35">
        <f t="shared" si="39"/>
        <v>32.6</v>
      </c>
      <c r="S185" s="7">
        <f t="shared" si="48"/>
        <v>0</v>
      </c>
      <c r="T185" s="35">
        <f t="shared" si="36"/>
        <v>32.6</v>
      </c>
    </row>
    <row r="186" spans="1:20" ht="36" customHeight="1">
      <c r="A186" s="61" t="str">
        <f ca="1">IF(ISERROR(MATCH(E186,Код_КВР,0)),"",INDIRECT(ADDRESS(MATCH(E186,Код_КВР,0)+1,2,,,"КВР")))</f>
        <v>Пособия, компенсации, меры социальной поддержки по публичным нормативным обязательствам</v>
      </c>
      <c r="B186" s="43" t="s">
        <v>459</v>
      </c>
      <c r="C186" s="8" t="s">
        <v>195</v>
      </c>
      <c r="D186" s="1" t="s">
        <v>214</v>
      </c>
      <c r="E186" s="104">
        <v>313</v>
      </c>
      <c r="F186" s="7">
        <f>прил.6!G676</f>
        <v>32.6</v>
      </c>
      <c r="G186" s="7">
        <f>прил.6!H676</f>
        <v>0</v>
      </c>
      <c r="H186" s="35">
        <f t="shared" si="46"/>
        <v>32.6</v>
      </c>
      <c r="I186" s="7">
        <f>прил.6!J676</f>
        <v>0</v>
      </c>
      <c r="J186" s="35">
        <f t="shared" si="44"/>
        <v>32.6</v>
      </c>
      <c r="K186" s="7">
        <f>прил.6!L676</f>
        <v>0</v>
      </c>
      <c r="L186" s="35">
        <f t="shared" si="41"/>
        <v>32.6</v>
      </c>
      <c r="M186" s="7">
        <f>прил.6!N676</f>
        <v>0</v>
      </c>
      <c r="N186" s="35">
        <f t="shared" si="42"/>
        <v>32.6</v>
      </c>
      <c r="O186" s="7">
        <f>прил.6!P676</f>
        <v>0</v>
      </c>
      <c r="P186" s="35">
        <f t="shared" si="38"/>
        <v>32.6</v>
      </c>
      <c r="Q186" s="7">
        <f>прил.6!R676</f>
        <v>0</v>
      </c>
      <c r="R186" s="35">
        <f t="shared" si="39"/>
        <v>32.6</v>
      </c>
      <c r="S186" s="7">
        <f>прил.6!T676</f>
        <v>0</v>
      </c>
      <c r="T186" s="35">
        <f t="shared" si="36"/>
        <v>32.6</v>
      </c>
    </row>
    <row r="187" spans="1:20" ht="18.75" customHeight="1">
      <c r="A187" s="61" t="str">
        <f ca="1">IF(ISERROR(MATCH(B187,Код_КЦСР,0)),"",INDIRECT(ADDRESS(MATCH(B187,Код_КЦСР,0)+1,2,,,"КЦСР")))</f>
        <v>Одаренные дети</v>
      </c>
      <c r="B187" s="43" t="s">
        <v>460</v>
      </c>
      <c r="C187" s="8"/>
      <c r="D187" s="1"/>
      <c r="E187" s="104"/>
      <c r="F187" s="7">
        <f t="shared" ref="F187:S189" si="49">F188</f>
        <v>1842.8</v>
      </c>
      <c r="G187" s="7">
        <f t="shared" si="49"/>
        <v>0</v>
      </c>
      <c r="H187" s="35">
        <f t="shared" si="46"/>
        <v>1842.8</v>
      </c>
      <c r="I187" s="7">
        <f t="shared" si="49"/>
        <v>0</v>
      </c>
      <c r="J187" s="35">
        <f t="shared" si="44"/>
        <v>1842.8</v>
      </c>
      <c r="K187" s="7">
        <f t="shared" si="49"/>
        <v>0</v>
      </c>
      <c r="L187" s="35">
        <f t="shared" si="41"/>
        <v>1842.8</v>
      </c>
      <c r="M187" s="7">
        <f t="shared" si="49"/>
        <v>0</v>
      </c>
      <c r="N187" s="35">
        <f t="shared" si="42"/>
        <v>1842.8</v>
      </c>
      <c r="O187" s="7">
        <f t="shared" si="49"/>
        <v>0</v>
      </c>
      <c r="P187" s="35">
        <f t="shared" si="38"/>
        <v>1842.8</v>
      </c>
      <c r="Q187" s="7">
        <f t="shared" si="49"/>
        <v>0</v>
      </c>
      <c r="R187" s="35">
        <f t="shared" si="39"/>
        <v>1842.8</v>
      </c>
      <c r="S187" s="7">
        <f t="shared" si="49"/>
        <v>0</v>
      </c>
      <c r="T187" s="35">
        <f t="shared" si="36"/>
        <v>1842.8</v>
      </c>
    </row>
    <row r="188" spans="1:20" ht="19.5" customHeight="1">
      <c r="A188" s="61" t="str">
        <f ca="1">IF(ISERROR(MATCH(C188,Код_Раздел,0)),"",INDIRECT(ADDRESS(MATCH(C188,Код_Раздел,0)+1,2,,,"Раздел")))</f>
        <v>Образование</v>
      </c>
      <c r="B188" s="43" t="s">
        <v>460</v>
      </c>
      <c r="C188" s="8" t="s">
        <v>195</v>
      </c>
      <c r="D188" s="1"/>
      <c r="E188" s="104"/>
      <c r="F188" s="7">
        <f t="shared" si="49"/>
        <v>1842.8</v>
      </c>
      <c r="G188" s="7">
        <f t="shared" si="49"/>
        <v>0</v>
      </c>
      <c r="H188" s="35">
        <f t="shared" si="46"/>
        <v>1842.8</v>
      </c>
      <c r="I188" s="7">
        <f t="shared" si="49"/>
        <v>0</v>
      </c>
      <c r="J188" s="35">
        <f t="shared" si="44"/>
        <v>1842.8</v>
      </c>
      <c r="K188" s="7">
        <f t="shared" si="49"/>
        <v>0</v>
      </c>
      <c r="L188" s="35">
        <f t="shared" si="41"/>
        <v>1842.8</v>
      </c>
      <c r="M188" s="7">
        <f t="shared" si="49"/>
        <v>0</v>
      </c>
      <c r="N188" s="35">
        <f t="shared" si="42"/>
        <v>1842.8</v>
      </c>
      <c r="O188" s="7">
        <f t="shared" si="49"/>
        <v>0</v>
      </c>
      <c r="P188" s="35">
        <f t="shared" si="38"/>
        <v>1842.8</v>
      </c>
      <c r="Q188" s="7">
        <f t="shared" si="49"/>
        <v>0</v>
      </c>
      <c r="R188" s="35">
        <f t="shared" si="39"/>
        <v>1842.8</v>
      </c>
      <c r="S188" s="7">
        <f t="shared" si="49"/>
        <v>0</v>
      </c>
      <c r="T188" s="35">
        <f t="shared" si="36"/>
        <v>1842.8</v>
      </c>
    </row>
    <row r="189" spans="1:20" ht="18.75" customHeight="1">
      <c r="A189" s="12" t="s">
        <v>251</v>
      </c>
      <c r="B189" s="43" t="s">
        <v>460</v>
      </c>
      <c r="C189" s="8" t="s">
        <v>195</v>
      </c>
      <c r="D189" s="1" t="s">
        <v>219</v>
      </c>
      <c r="E189" s="104"/>
      <c r="F189" s="7">
        <f t="shared" si="49"/>
        <v>1842.8</v>
      </c>
      <c r="G189" s="7">
        <f t="shared" si="49"/>
        <v>0</v>
      </c>
      <c r="H189" s="35">
        <f t="shared" si="46"/>
        <v>1842.8</v>
      </c>
      <c r="I189" s="7">
        <f t="shared" si="49"/>
        <v>0</v>
      </c>
      <c r="J189" s="35">
        <f t="shared" si="44"/>
        <v>1842.8</v>
      </c>
      <c r="K189" s="7">
        <f t="shared" si="49"/>
        <v>0</v>
      </c>
      <c r="L189" s="35">
        <f t="shared" si="41"/>
        <v>1842.8</v>
      </c>
      <c r="M189" s="7">
        <f t="shared" si="49"/>
        <v>0</v>
      </c>
      <c r="N189" s="35">
        <f t="shared" si="42"/>
        <v>1842.8</v>
      </c>
      <c r="O189" s="7">
        <f t="shared" si="49"/>
        <v>0</v>
      </c>
      <c r="P189" s="35">
        <f t="shared" si="38"/>
        <v>1842.8</v>
      </c>
      <c r="Q189" s="7">
        <f t="shared" si="49"/>
        <v>0</v>
      </c>
      <c r="R189" s="35">
        <f t="shared" si="39"/>
        <v>1842.8</v>
      </c>
      <c r="S189" s="7">
        <f t="shared" si="49"/>
        <v>0</v>
      </c>
      <c r="T189" s="35">
        <f t="shared" si="36"/>
        <v>1842.8</v>
      </c>
    </row>
    <row r="190" spans="1:20" ht="35.25" customHeight="1">
      <c r="A190" s="61" t="str">
        <f ca="1">IF(ISERROR(MATCH(E190,Код_КВР,0)),"",INDIRECT(ADDRESS(MATCH(E190,Код_КВР,0)+1,2,,,"КВР")))</f>
        <v>Предоставление субсидий бюджетным, автономным учреждениям и иным некоммерческим организациям</v>
      </c>
      <c r="B190" s="43" t="s">
        <v>460</v>
      </c>
      <c r="C190" s="8" t="s">
        <v>195</v>
      </c>
      <c r="D190" s="1" t="s">
        <v>219</v>
      </c>
      <c r="E190" s="104">
        <v>600</v>
      </c>
      <c r="F190" s="7">
        <f>F191+F193</f>
        <v>1842.8</v>
      </c>
      <c r="G190" s="7">
        <f>G191+G193</f>
        <v>0</v>
      </c>
      <c r="H190" s="35">
        <f t="shared" si="46"/>
        <v>1842.8</v>
      </c>
      <c r="I190" s="7">
        <f>I191+I193</f>
        <v>0</v>
      </c>
      <c r="J190" s="35">
        <f t="shared" si="44"/>
        <v>1842.8</v>
      </c>
      <c r="K190" s="7">
        <f>K191+K193</f>
        <v>0</v>
      </c>
      <c r="L190" s="35">
        <f t="shared" si="41"/>
        <v>1842.8</v>
      </c>
      <c r="M190" s="7">
        <f>M191+M193</f>
        <v>0</v>
      </c>
      <c r="N190" s="35">
        <f t="shared" si="42"/>
        <v>1842.8</v>
      </c>
      <c r="O190" s="7">
        <f>O191+O193</f>
        <v>0</v>
      </c>
      <c r="P190" s="35">
        <f t="shared" si="38"/>
        <v>1842.8</v>
      </c>
      <c r="Q190" s="7">
        <f>Q191+Q193</f>
        <v>0</v>
      </c>
      <c r="R190" s="35">
        <f t="shared" si="39"/>
        <v>1842.8</v>
      </c>
      <c r="S190" s="7">
        <f>S191+S193</f>
        <v>0</v>
      </c>
      <c r="T190" s="35">
        <f t="shared" si="36"/>
        <v>1842.8</v>
      </c>
    </row>
    <row r="191" spans="1:20" ht="24" customHeight="1">
      <c r="A191" s="61" t="str">
        <f ca="1">IF(ISERROR(MATCH(E191,Код_КВР,0)),"",INDIRECT(ADDRESS(MATCH(E191,Код_КВР,0)+1,2,,,"КВР")))</f>
        <v>Субсидии бюджетным учреждениям</v>
      </c>
      <c r="B191" s="43" t="s">
        <v>460</v>
      </c>
      <c r="C191" s="8" t="s">
        <v>195</v>
      </c>
      <c r="D191" s="1" t="s">
        <v>219</v>
      </c>
      <c r="E191" s="104">
        <v>610</v>
      </c>
      <c r="F191" s="7">
        <f>прил.6!G744</f>
        <v>1808.8</v>
      </c>
      <c r="G191" s="7">
        <f>прил.6!H744</f>
        <v>0</v>
      </c>
      <c r="H191" s="35">
        <f t="shared" si="46"/>
        <v>1808.8</v>
      </c>
      <c r="I191" s="7">
        <f>прил.6!J744</f>
        <v>0</v>
      </c>
      <c r="J191" s="35">
        <f t="shared" si="44"/>
        <v>1808.8</v>
      </c>
      <c r="K191" s="7">
        <f>прил.6!L744</f>
        <v>0</v>
      </c>
      <c r="L191" s="35">
        <f t="shared" si="41"/>
        <v>1808.8</v>
      </c>
      <c r="M191" s="7">
        <f>прил.6!N744</f>
        <v>0</v>
      </c>
      <c r="N191" s="35">
        <f t="shared" si="42"/>
        <v>1808.8</v>
      </c>
      <c r="O191" s="7">
        <f>прил.6!P744</f>
        <v>0</v>
      </c>
      <c r="P191" s="35">
        <f t="shared" si="38"/>
        <v>1808.8</v>
      </c>
      <c r="Q191" s="7">
        <f>прил.6!R744</f>
        <v>0</v>
      </c>
      <c r="R191" s="35">
        <f t="shared" si="39"/>
        <v>1808.8</v>
      </c>
      <c r="S191" s="7">
        <f>прил.6!T744</f>
        <v>0</v>
      </c>
      <c r="T191" s="35">
        <f t="shared" si="36"/>
        <v>1808.8</v>
      </c>
    </row>
    <row r="192" spans="1:20" ht="21" customHeight="1">
      <c r="A192" s="61" t="str">
        <f ca="1">IF(ISERROR(MATCH(E192,Код_КВР,0)),"",INDIRECT(ADDRESS(MATCH(E192,Код_КВР,0)+1,2,,,"КВР")))</f>
        <v>Субсидии бюджетным учреждениям на иные цели</v>
      </c>
      <c r="B192" s="43" t="s">
        <v>460</v>
      </c>
      <c r="C192" s="8" t="s">
        <v>195</v>
      </c>
      <c r="D192" s="1" t="s">
        <v>219</v>
      </c>
      <c r="E192" s="104">
        <v>612</v>
      </c>
      <c r="F192" s="7">
        <f>прил.6!G745</f>
        <v>1808.8</v>
      </c>
      <c r="G192" s="7">
        <f>прил.6!H745</f>
        <v>0</v>
      </c>
      <c r="H192" s="35">
        <f t="shared" si="46"/>
        <v>1808.8</v>
      </c>
      <c r="I192" s="7">
        <f>прил.6!J745</f>
        <v>0</v>
      </c>
      <c r="J192" s="35">
        <f t="shared" si="44"/>
        <v>1808.8</v>
      </c>
      <c r="K192" s="7">
        <f>прил.6!L745</f>
        <v>0</v>
      </c>
      <c r="L192" s="35">
        <f t="shared" si="41"/>
        <v>1808.8</v>
      </c>
      <c r="M192" s="7">
        <f>прил.6!N745</f>
        <v>0</v>
      </c>
      <c r="N192" s="35">
        <f t="shared" si="42"/>
        <v>1808.8</v>
      </c>
      <c r="O192" s="7">
        <f>прил.6!P745</f>
        <v>0</v>
      </c>
      <c r="P192" s="35">
        <f t="shared" si="38"/>
        <v>1808.8</v>
      </c>
      <c r="Q192" s="7">
        <f>прил.6!R745</f>
        <v>0</v>
      </c>
      <c r="R192" s="35">
        <f t="shared" si="39"/>
        <v>1808.8</v>
      </c>
      <c r="S192" s="7">
        <f>прил.6!T745</f>
        <v>0</v>
      </c>
      <c r="T192" s="35">
        <f t="shared" si="36"/>
        <v>1808.8</v>
      </c>
    </row>
    <row r="193" spans="1:20" ht="18.75" customHeight="1">
      <c r="A193" s="61" t="str">
        <f ca="1">IF(ISERROR(MATCH(E193,Код_КВР,0)),"",INDIRECT(ADDRESS(MATCH(E193,Код_КВР,0)+1,2,,,"КВР")))</f>
        <v>Субсидии автономным учреждениям</v>
      </c>
      <c r="B193" s="43" t="s">
        <v>460</v>
      </c>
      <c r="C193" s="8" t="s">
        <v>195</v>
      </c>
      <c r="D193" s="1" t="s">
        <v>219</v>
      </c>
      <c r="E193" s="104">
        <v>620</v>
      </c>
      <c r="F193" s="7">
        <f>F194</f>
        <v>34</v>
      </c>
      <c r="G193" s="7">
        <f>G194</f>
        <v>0</v>
      </c>
      <c r="H193" s="35">
        <f t="shared" si="46"/>
        <v>34</v>
      </c>
      <c r="I193" s="7">
        <f>I194</f>
        <v>0</v>
      </c>
      <c r="J193" s="35">
        <f t="shared" si="44"/>
        <v>34</v>
      </c>
      <c r="K193" s="7">
        <f>K194</f>
        <v>0</v>
      </c>
      <c r="L193" s="35">
        <f t="shared" si="41"/>
        <v>34</v>
      </c>
      <c r="M193" s="7">
        <f>M194</f>
        <v>0</v>
      </c>
      <c r="N193" s="35">
        <f t="shared" si="42"/>
        <v>34</v>
      </c>
      <c r="O193" s="7">
        <f>O194</f>
        <v>0</v>
      </c>
      <c r="P193" s="35">
        <f t="shared" si="38"/>
        <v>34</v>
      </c>
      <c r="Q193" s="7">
        <f>Q194</f>
        <v>0</v>
      </c>
      <c r="R193" s="35">
        <f t="shared" si="39"/>
        <v>34</v>
      </c>
      <c r="S193" s="7">
        <f>S194</f>
        <v>0</v>
      </c>
      <c r="T193" s="35">
        <f t="shared" si="36"/>
        <v>34</v>
      </c>
    </row>
    <row r="194" spans="1:20" ht="23.25" customHeight="1">
      <c r="A194" s="61" t="str">
        <f ca="1">IF(ISERROR(MATCH(E194,Код_КВР,0)),"",INDIRECT(ADDRESS(MATCH(E194,Код_КВР,0)+1,2,,,"КВР")))</f>
        <v>Субсидии автономным учреждениям на иные цели</v>
      </c>
      <c r="B194" s="43" t="s">
        <v>460</v>
      </c>
      <c r="C194" s="8" t="s">
        <v>195</v>
      </c>
      <c r="D194" s="1" t="s">
        <v>219</v>
      </c>
      <c r="E194" s="104">
        <v>622</v>
      </c>
      <c r="F194" s="7">
        <f>прил.6!G747</f>
        <v>34</v>
      </c>
      <c r="G194" s="7">
        <f>прил.6!H747</f>
        <v>0</v>
      </c>
      <c r="H194" s="35">
        <f t="shared" si="46"/>
        <v>34</v>
      </c>
      <c r="I194" s="7">
        <f>прил.6!J747</f>
        <v>0</v>
      </c>
      <c r="J194" s="35">
        <f t="shared" si="44"/>
        <v>34</v>
      </c>
      <c r="K194" s="7">
        <f>прил.6!L747</f>
        <v>0</v>
      </c>
      <c r="L194" s="35">
        <f t="shared" si="41"/>
        <v>34</v>
      </c>
      <c r="M194" s="7">
        <f>прил.6!N747</f>
        <v>0</v>
      </c>
      <c r="N194" s="35">
        <f t="shared" si="42"/>
        <v>34</v>
      </c>
      <c r="O194" s="7">
        <f>прил.6!P747</f>
        <v>0</v>
      </c>
      <c r="P194" s="35">
        <f t="shared" si="38"/>
        <v>34</v>
      </c>
      <c r="Q194" s="7">
        <f>прил.6!R747</f>
        <v>0</v>
      </c>
      <c r="R194" s="35">
        <f t="shared" si="39"/>
        <v>34</v>
      </c>
      <c r="S194" s="7">
        <f>прил.6!T747</f>
        <v>0</v>
      </c>
      <c r="T194" s="35">
        <f t="shared" si="36"/>
        <v>34</v>
      </c>
    </row>
    <row r="195" spans="1:20" ht="36.75" customHeight="1">
      <c r="A195" s="61" t="str">
        <f ca="1">IF(ISERROR(MATCH(B195,Код_КЦСР,0)),"",INDIRECT(ADDRESS(MATCH(B195,Код_КЦСР,0)+1,2,,,"КЦСР")))</f>
        <v>Укрепление материально-технической базы образовательных учреждений города и обеспечение их безопасности</v>
      </c>
      <c r="B195" s="43" t="s">
        <v>462</v>
      </c>
      <c r="C195" s="8"/>
      <c r="D195" s="1"/>
      <c r="E195" s="104"/>
      <c r="F195" s="7">
        <f>F196</f>
        <v>47574.400000000001</v>
      </c>
      <c r="G195" s="7">
        <f>G196</f>
        <v>0</v>
      </c>
      <c r="H195" s="35">
        <f t="shared" si="46"/>
        <v>47574.400000000001</v>
      </c>
      <c r="I195" s="7">
        <f>I196</f>
        <v>-10964.4</v>
      </c>
      <c r="J195" s="35">
        <f t="shared" si="44"/>
        <v>36610</v>
      </c>
      <c r="K195" s="7">
        <f>K196</f>
        <v>0</v>
      </c>
      <c r="L195" s="35">
        <f t="shared" si="41"/>
        <v>36610</v>
      </c>
      <c r="M195" s="7">
        <f>M196</f>
        <v>5000</v>
      </c>
      <c r="N195" s="35">
        <f t="shared" si="42"/>
        <v>41610</v>
      </c>
      <c r="O195" s="7">
        <f>O196</f>
        <v>0</v>
      </c>
      <c r="P195" s="35">
        <f t="shared" si="38"/>
        <v>41610</v>
      </c>
      <c r="Q195" s="7">
        <f>Q196</f>
        <v>0</v>
      </c>
      <c r="R195" s="35">
        <f t="shared" si="39"/>
        <v>41610</v>
      </c>
      <c r="S195" s="7">
        <f>S196</f>
        <v>0</v>
      </c>
      <c r="T195" s="35">
        <f t="shared" si="36"/>
        <v>41610</v>
      </c>
    </row>
    <row r="196" spans="1:20" ht="20.25" customHeight="1">
      <c r="A196" s="61" t="str">
        <f ca="1">IF(ISERROR(MATCH(C196,Код_Раздел,0)),"",INDIRECT(ADDRESS(MATCH(C196,Код_Раздел,0)+1,2,,,"Раздел")))</f>
        <v>Образование</v>
      </c>
      <c r="B196" s="43" t="s">
        <v>462</v>
      </c>
      <c r="C196" s="8" t="s">
        <v>195</v>
      </c>
      <c r="D196" s="1"/>
      <c r="E196" s="104"/>
      <c r="F196" s="7">
        <f>F197</f>
        <v>47574.400000000001</v>
      </c>
      <c r="G196" s="7">
        <f>G197</f>
        <v>0</v>
      </c>
      <c r="H196" s="35">
        <f t="shared" si="46"/>
        <v>47574.400000000001</v>
      </c>
      <c r="I196" s="7">
        <f>I197</f>
        <v>-10964.4</v>
      </c>
      <c r="J196" s="35">
        <f t="shared" si="44"/>
        <v>36610</v>
      </c>
      <c r="K196" s="7">
        <f>K197</f>
        <v>0</v>
      </c>
      <c r="L196" s="35">
        <f t="shared" si="41"/>
        <v>36610</v>
      </c>
      <c r="M196" s="7">
        <f>M197</f>
        <v>5000</v>
      </c>
      <c r="N196" s="35">
        <f t="shared" si="42"/>
        <v>41610</v>
      </c>
      <c r="O196" s="7">
        <f>O197</f>
        <v>0</v>
      </c>
      <c r="P196" s="35">
        <f t="shared" si="38"/>
        <v>41610</v>
      </c>
      <c r="Q196" s="7">
        <f>Q197</f>
        <v>0</v>
      </c>
      <c r="R196" s="35">
        <f t="shared" si="39"/>
        <v>41610</v>
      </c>
      <c r="S196" s="7">
        <f>S197</f>
        <v>0</v>
      </c>
      <c r="T196" s="35">
        <f t="shared" si="36"/>
        <v>41610</v>
      </c>
    </row>
    <row r="197" spans="1:20" ht="19.5" customHeight="1">
      <c r="A197" s="12" t="s">
        <v>251</v>
      </c>
      <c r="B197" s="43" t="s">
        <v>462</v>
      </c>
      <c r="C197" s="8" t="s">
        <v>195</v>
      </c>
      <c r="D197" s="1" t="s">
        <v>219</v>
      </c>
      <c r="E197" s="104"/>
      <c r="F197" s="7">
        <f>F198+F201</f>
        <v>47574.400000000001</v>
      </c>
      <c r="G197" s="7">
        <f>G198+G201</f>
        <v>0</v>
      </c>
      <c r="H197" s="35">
        <f t="shared" si="46"/>
        <v>47574.400000000001</v>
      </c>
      <c r="I197" s="7">
        <f>I198+I201</f>
        <v>-10964.4</v>
      </c>
      <c r="J197" s="35">
        <f t="shared" si="44"/>
        <v>36610</v>
      </c>
      <c r="K197" s="7">
        <f>K198+K201</f>
        <v>0</v>
      </c>
      <c r="L197" s="35">
        <f t="shared" si="41"/>
        <v>36610</v>
      </c>
      <c r="M197" s="7">
        <f>M198+M201</f>
        <v>5000</v>
      </c>
      <c r="N197" s="35">
        <f t="shared" si="42"/>
        <v>41610</v>
      </c>
      <c r="O197" s="7">
        <f>O198+O201</f>
        <v>0</v>
      </c>
      <c r="P197" s="35">
        <f t="shared" si="38"/>
        <v>41610</v>
      </c>
      <c r="Q197" s="7">
        <f>Q198+Q201</f>
        <v>0</v>
      </c>
      <c r="R197" s="35">
        <f t="shared" si="39"/>
        <v>41610</v>
      </c>
      <c r="S197" s="7">
        <f>S198+S201</f>
        <v>0</v>
      </c>
      <c r="T197" s="35">
        <f t="shared" si="36"/>
        <v>41610</v>
      </c>
    </row>
    <row r="198" spans="1:20" ht="20.25" customHeight="1">
      <c r="A198" s="61" t="str">
        <f t="shared" ref="A198:A205" ca="1" si="50">IF(ISERROR(MATCH(E198,Код_КВР,0)),"",INDIRECT(ADDRESS(MATCH(E198,Код_КВР,0)+1,2,,,"КВР")))</f>
        <v>Закупка товаров, работ и услуг для муниципальных нужд</v>
      </c>
      <c r="B198" s="43" t="s">
        <v>462</v>
      </c>
      <c r="C198" s="8" t="s">
        <v>195</v>
      </c>
      <c r="D198" s="1" t="s">
        <v>219</v>
      </c>
      <c r="E198" s="104">
        <v>200</v>
      </c>
      <c r="F198" s="7">
        <f>F199</f>
        <v>7200</v>
      </c>
      <c r="G198" s="7">
        <f>G199</f>
        <v>0</v>
      </c>
      <c r="H198" s="35">
        <f t="shared" si="46"/>
        <v>7200</v>
      </c>
      <c r="I198" s="7">
        <f>I199</f>
        <v>-4473.1000000000004</v>
      </c>
      <c r="J198" s="35">
        <f t="shared" si="44"/>
        <v>2726.8999999999996</v>
      </c>
      <c r="K198" s="7">
        <f>K199</f>
        <v>0</v>
      </c>
      <c r="L198" s="35">
        <f t="shared" si="41"/>
        <v>2726.8999999999996</v>
      </c>
      <c r="M198" s="7">
        <f>M199</f>
        <v>0</v>
      </c>
      <c r="N198" s="35">
        <f t="shared" si="42"/>
        <v>2726.8999999999996</v>
      </c>
      <c r="O198" s="7">
        <f>O199</f>
        <v>0</v>
      </c>
      <c r="P198" s="35">
        <f t="shared" si="38"/>
        <v>2726.8999999999996</v>
      </c>
      <c r="Q198" s="7">
        <f>Q199</f>
        <v>0</v>
      </c>
      <c r="R198" s="35">
        <f t="shared" si="39"/>
        <v>2726.8999999999996</v>
      </c>
      <c r="S198" s="7">
        <f>S199</f>
        <v>-2723.1</v>
      </c>
      <c r="T198" s="35">
        <f t="shared" si="36"/>
        <v>3.7999999999997272</v>
      </c>
    </row>
    <row r="199" spans="1:20" ht="36.75" customHeight="1">
      <c r="A199" s="61" t="str">
        <f t="shared" ca="1" si="50"/>
        <v>Иные закупки товаров, работ и услуг для обеспечения муниципальных нужд</v>
      </c>
      <c r="B199" s="43" t="s">
        <v>462</v>
      </c>
      <c r="C199" s="8" t="s">
        <v>195</v>
      </c>
      <c r="D199" s="1" t="s">
        <v>219</v>
      </c>
      <c r="E199" s="104">
        <v>240</v>
      </c>
      <c r="F199" s="7">
        <f>F200</f>
        <v>7200</v>
      </c>
      <c r="G199" s="7">
        <f>G200</f>
        <v>0</v>
      </c>
      <c r="H199" s="35">
        <f t="shared" si="46"/>
        <v>7200</v>
      </c>
      <c r="I199" s="7">
        <f>I200</f>
        <v>-4473.1000000000004</v>
      </c>
      <c r="J199" s="35">
        <f t="shared" si="44"/>
        <v>2726.8999999999996</v>
      </c>
      <c r="K199" s="7">
        <f>K200</f>
        <v>0</v>
      </c>
      <c r="L199" s="35">
        <f t="shared" si="41"/>
        <v>2726.8999999999996</v>
      </c>
      <c r="M199" s="7">
        <f>M200</f>
        <v>0</v>
      </c>
      <c r="N199" s="35">
        <f t="shared" si="42"/>
        <v>2726.8999999999996</v>
      </c>
      <c r="O199" s="7">
        <f>O200</f>
        <v>0</v>
      </c>
      <c r="P199" s="35">
        <f t="shared" si="38"/>
        <v>2726.8999999999996</v>
      </c>
      <c r="Q199" s="7">
        <f>Q200</f>
        <v>0</v>
      </c>
      <c r="R199" s="35">
        <f t="shared" si="39"/>
        <v>2726.8999999999996</v>
      </c>
      <c r="S199" s="7">
        <f>S200</f>
        <v>-2723.1</v>
      </c>
      <c r="T199" s="35">
        <f t="shared" si="36"/>
        <v>3.7999999999997272</v>
      </c>
    </row>
    <row r="200" spans="1:20" ht="36" customHeight="1">
      <c r="A200" s="61" t="str">
        <f t="shared" ca="1" si="50"/>
        <v xml:space="preserve">Прочая закупка товаров, работ и услуг для обеспечения муниципальных нужд         </v>
      </c>
      <c r="B200" s="43" t="s">
        <v>462</v>
      </c>
      <c r="C200" s="8" t="s">
        <v>195</v>
      </c>
      <c r="D200" s="1" t="s">
        <v>219</v>
      </c>
      <c r="E200" s="104">
        <v>244</v>
      </c>
      <c r="F200" s="7">
        <f>прил.6!G751</f>
        <v>7200</v>
      </c>
      <c r="G200" s="7">
        <f>прил.6!H751</f>
        <v>0</v>
      </c>
      <c r="H200" s="35">
        <f t="shared" si="46"/>
        <v>7200</v>
      </c>
      <c r="I200" s="7">
        <f>прил.6!J751</f>
        <v>-4473.1000000000004</v>
      </c>
      <c r="J200" s="35">
        <f t="shared" si="44"/>
        <v>2726.8999999999996</v>
      </c>
      <c r="K200" s="7">
        <f>прил.6!L751</f>
        <v>0</v>
      </c>
      <c r="L200" s="35">
        <f t="shared" si="41"/>
        <v>2726.8999999999996</v>
      </c>
      <c r="M200" s="7">
        <f>прил.6!N751</f>
        <v>0</v>
      </c>
      <c r="N200" s="35">
        <f t="shared" si="42"/>
        <v>2726.8999999999996</v>
      </c>
      <c r="O200" s="7">
        <f>прил.6!P751</f>
        <v>0</v>
      </c>
      <c r="P200" s="35">
        <f t="shared" si="38"/>
        <v>2726.8999999999996</v>
      </c>
      <c r="Q200" s="7">
        <f>прил.6!R751</f>
        <v>0</v>
      </c>
      <c r="R200" s="35">
        <f t="shared" si="39"/>
        <v>2726.8999999999996</v>
      </c>
      <c r="S200" s="7">
        <f>прил.6!T751</f>
        <v>-2723.1</v>
      </c>
      <c r="T200" s="35">
        <f t="shared" si="36"/>
        <v>3.7999999999997272</v>
      </c>
    </row>
    <row r="201" spans="1:20" ht="36.75" customHeight="1">
      <c r="A201" s="61" t="str">
        <f t="shared" ca="1" si="50"/>
        <v>Предоставление субсидий бюджетным, автономным учреждениям и иным некоммерческим организациям</v>
      </c>
      <c r="B201" s="43" t="s">
        <v>462</v>
      </c>
      <c r="C201" s="8" t="s">
        <v>195</v>
      </c>
      <c r="D201" s="1" t="s">
        <v>219</v>
      </c>
      <c r="E201" s="104">
        <v>600</v>
      </c>
      <c r="F201" s="7">
        <f>F202+F204</f>
        <v>40374.400000000001</v>
      </c>
      <c r="G201" s="7">
        <f>G202+G204</f>
        <v>0</v>
      </c>
      <c r="H201" s="35">
        <f t="shared" si="46"/>
        <v>40374.400000000001</v>
      </c>
      <c r="I201" s="7">
        <f>I202+I204</f>
        <v>-6491.2999999999993</v>
      </c>
      <c r="J201" s="35">
        <f t="shared" si="44"/>
        <v>33883.100000000006</v>
      </c>
      <c r="K201" s="7">
        <f>K202+K204</f>
        <v>0</v>
      </c>
      <c r="L201" s="35">
        <f t="shared" si="41"/>
        <v>33883.100000000006</v>
      </c>
      <c r="M201" s="7">
        <f>M202+M204</f>
        <v>5000</v>
      </c>
      <c r="N201" s="35">
        <f t="shared" si="42"/>
        <v>38883.100000000006</v>
      </c>
      <c r="O201" s="7">
        <f>O202+O204</f>
        <v>0</v>
      </c>
      <c r="P201" s="35">
        <f t="shared" si="38"/>
        <v>38883.100000000006</v>
      </c>
      <c r="Q201" s="7">
        <f>Q202+Q204</f>
        <v>0</v>
      </c>
      <c r="R201" s="35">
        <f t="shared" si="39"/>
        <v>38883.100000000006</v>
      </c>
      <c r="S201" s="7">
        <f>S202+S204</f>
        <v>2723.1</v>
      </c>
      <c r="T201" s="35">
        <f t="shared" si="36"/>
        <v>41606.200000000004</v>
      </c>
    </row>
    <row r="202" spans="1:20" ht="18.75" customHeight="1">
      <c r="A202" s="61" t="str">
        <f t="shared" ca="1" si="50"/>
        <v>Субсидии бюджетным учреждениям</v>
      </c>
      <c r="B202" s="43" t="s">
        <v>462</v>
      </c>
      <c r="C202" s="8" t="s">
        <v>195</v>
      </c>
      <c r="D202" s="1" t="s">
        <v>219</v>
      </c>
      <c r="E202" s="104">
        <v>610</v>
      </c>
      <c r="F202" s="7">
        <f>F203</f>
        <v>36781.300000000003</v>
      </c>
      <c r="G202" s="7">
        <f>G203</f>
        <v>0</v>
      </c>
      <c r="H202" s="35">
        <f t="shared" si="46"/>
        <v>36781.300000000003</v>
      </c>
      <c r="I202" s="7">
        <f>I203</f>
        <v>-6591.2999999999993</v>
      </c>
      <c r="J202" s="35">
        <f t="shared" si="44"/>
        <v>30190.000000000004</v>
      </c>
      <c r="K202" s="7">
        <f>K203</f>
        <v>0</v>
      </c>
      <c r="L202" s="35">
        <f t="shared" si="41"/>
        <v>30190.000000000004</v>
      </c>
      <c r="M202" s="7">
        <f>M203</f>
        <v>5000</v>
      </c>
      <c r="N202" s="35">
        <f t="shared" si="42"/>
        <v>35190</v>
      </c>
      <c r="O202" s="7">
        <f>O203</f>
        <v>0</v>
      </c>
      <c r="P202" s="35">
        <f t="shared" si="38"/>
        <v>35190</v>
      </c>
      <c r="Q202" s="7">
        <f>Q203</f>
        <v>2297.6</v>
      </c>
      <c r="R202" s="35">
        <f t="shared" si="39"/>
        <v>37487.599999999999</v>
      </c>
      <c r="S202" s="7">
        <f>S203</f>
        <v>2608.1</v>
      </c>
      <c r="T202" s="35">
        <f t="shared" si="36"/>
        <v>40095.699999999997</v>
      </c>
    </row>
    <row r="203" spans="1:20" ht="20.25" customHeight="1">
      <c r="A203" s="61" t="str">
        <f t="shared" ca="1" si="50"/>
        <v>Субсидии бюджетным учреждениям на иные цели</v>
      </c>
      <c r="B203" s="43" t="s">
        <v>462</v>
      </c>
      <c r="C203" s="8" t="s">
        <v>195</v>
      </c>
      <c r="D203" s="1" t="s">
        <v>219</v>
      </c>
      <c r="E203" s="104">
        <v>612</v>
      </c>
      <c r="F203" s="7">
        <f>прил.6!G754</f>
        <v>36781.300000000003</v>
      </c>
      <c r="G203" s="7">
        <f>прил.6!H754</f>
        <v>0</v>
      </c>
      <c r="H203" s="35">
        <f t="shared" si="46"/>
        <v>36781.300000000003</v>
      </c>
      <c r="I203" s="7">
        <f>прил.6!J754</f>
        <v>-6591.2999999999993</v>
      </c>
      <c r="J203" s="35">
        <f t="shared" si="44"/>
        <v>30190.000000000004</v>
      </c>
      <c r="K203" s="7">
        <f>прил.6!L754</f>
        <v>0</v>
      </c>
      <c r="L203" s="35">
        <f t="shared" si="41"/>
        <v>30190.000000000004</v>
      </c>
      <c r="M203" s="7">
        <f>прил.6!N754</f>
        <v>5000</v>
      </c>
      <c r="N203" s="35">
        <f t="shared" si="42"/>
        <v>35190</v>
      </c>
      <c r="O203" s="7">
        <f>прил.6!P754</f>
        <v>0</v>
      </c>
      <c r="P203" s="35">
        <f t="shared" si="38"/>
        <v>35190</v>
      </c>
      <c r="Q203" s="7">
        <f>прил.6!R754</f>
        <v>2297.6</v>
      </c>
      <c r="R203" s="35">
        <f t="shared" si="39"/>
        <v>37487.599999999999</v>
      </c>
      <c r="S203" s="7">
        <f>прил.6!T754</f>
        <v>2608.1</v>
      </c>
      <c r="T203" s="35">
        <f t="shared" si="36"/>
        <v>40095.699999999997</v>
      </c>
    </row>
    <row r="204" spans="1:20" ht="20.25" customHeight="1">
      <c r="A204" s="61" t="str">
        <f t="shared" ca="1" si="50"/>
        <v>Субсидии автономным учреждениям</v>
      </c>
      <c r="B204" s="43" t="s">
        <v>462</v>
      </c>
      <c r="C204" s="8" t="s">
        <v>195</v>
      </c>
      <c r="D204" s="1" t="s">
        <v>219</v>
      </c>
      <c r="E204" s="104">
        <v>620</v>
      </c>
      <c r="F204" s="7">
        <f>F205</f>
        <v>3593.1</v>
      </c>
      <c r="G204" s="7">
        <f>G205</f>
        <v>0</v>
      </c>
      <c r="H204" s="35">
        <f t="shared" si="46"/>
        <v>3593.1</v>
      </c>
      <c r="I204" s="7">
        <f>I205</f>
        <v>100</v>
      </c>
      <c r="J204" s="35">
        <f t="shared" si="44"/>
        <v>3693.1</v>
      </c>
      <c r="K204" s="7">
        <f>K205</f>
        <v>0</v>
      </c>
      <c r="L204" s="35">
        <f t="shared" si="41"/>
        <v>3693.1</v>
      </c>
      <c r="M204" s="7">
        <f>M205</f>
        <v>0</v>
      </c>
      <c r="N204" s="35">
        <f t="shared" si="42"/>
        <v>3693.1</v>
      </c>
      <c r="O204" s="7">
        <f>O205</f>
        <v>0</v>
      </c>
      <c r="P204" s="35">
        <f t="shared" si="38"/>
        <v>3693.1</v>
      </c>
      <c r="Q204" s="7">
        <f>Q205</f>
        <v>-2297.6</v>
      </c>
      <c r="R204" s="35">
        <f t="shared" si="39"/>
        <v>1395.5</v>
      </c>
      <c r="S204" s="7">
        <f>S205</f>
        <v>115</v>
      </c>
      <c r="T204" s="35">
        <f t="shared" si="36"/>
        <v>1510.5</v>
      </c>
    </row>
    <row r="205" spans="1:20" ht="21" customHeight="1">
      <c r="A205" s="61" t="str">
        <f t="shared" ca="1" si="50"/>
        <v>Субсидии автономным учреждениям на иные цели</v>
      </c>
      <c r="B205" s="43" t="s">
        <v>462</v>
      </c>
      <c r="C205" s="8" t="s">
        <v>195</v>
      </c>
      <c r="D205" s="1" t="s">
        <v>219</v>
      </c>
      <c r="E205" s="104">
        <v>622</v>
      </c>
      <c r="F205" s="7">
        <f>прил.6!G756</f>
        <v>3593.1</v>
      </c>
      <c r="G205" s="7">
        <f>прил.6!H756</f>
        <v>0</v>
      </c>
      <c r="H205" s="35">
        <f t="shared" si="46"/>
        <v>3593.1</v>
      </c>
      <c r="I205" s="7">
        <f>прил.6!J756</f>
        <v>100</v>
      </c>
      <c r="J205" s="35">
        <f t="shared" si="44"/>
        <v>3693.1</v>
      </c>
      <c r="K205" s="7">
        <f>прил.6!L756</f>
        <v>0</v>
      </c>
      <c r="L205" s="35">
        <f t="shared" si="41"/>
        <v>3693.1</v>
      </c>
      <c r="M205" s="7">
        <f>прил.6!N756</f>
        <v>0</v>
      </c>
      <c r="N205" s="35">
        <f t="shared" si="42"/>
        <v>3693.1</v>
      </c>
      <c r="O205" s="7">
        <f>прил.6!P756</f>
        <v>0</v>
      </c>
      <c r="P205" s="35">
        <f t="shared" si="38"/>
        <v>3693.1</v>
      </c>
      <c r="Q205" s="7">
        <f>прил.6!R756</f>
        <v>-2297.6</v>
      </c>
      <c r="R205" s="35">
        <f t="shared" si="39"/>
        <v>1395.5</v>
      </c>
      <c r="S205" s="7">
        <f>прил.6!T756</f>
        <v>115</v>
      </c>
      <c r="T205" s="35">
        <f t="shared" si="36"/>
        <v>1510.5</v>
      </c>
    </row>
    <row r="206" spans="1:20" ht="37.5" customHeight="1">
      <c r="A206" s="61" t="str">
        <f ca="1">IF(ISERROR(MATCH(B206,Код_КЦСР,0)),"",INDIRECT(ADDRESS(MATCH(B206,Код_КЦСР,0)+1,2,,,"КЦСР")))</f>
        <v>Социально-педагогическая поддержка детей-сирот и детей, оставшихся без попечения родителей</v>
      </c>
      <c r="B206" s="43" t="s">
        <v>412</v>
      </c>
      <c r="C206" s="8"/>
      <c r="D206" s="1"/>
      <c r="E206" s="104"/>
      <c r="F206" s="7">
        <f>F207+F226</f>
        <v>183929.7</v>
      </c>
      <c r="G206" s="7">
        <f>G207+G226</f>
        <v>0</v>
      </c>
      <c r="H206" s="35">
        <f t="shared" si="46"/>
        <v>183929.7</v>
      </c>
      <c r="I206" s="7">
        <f>I207+I226</f>
        <v>0</v>
      </c>
      <c r="J206" s="35">
        <f t="shared" si="44"/>
        <v>183929.7</v>
      </c>
      <c r="K206" s="7">
        <f>K207+K226</f>
        <v>0</v>
      </c>
      <c r="L206" s="35">
        <f t="shared" si="41"/>
        <v>183929.7</v>
      </c>
      <c r="M206" s="7">
        <f>M207+M226</f>
        <v>0</v>
      </c>
      <c r="N206" s="35">
        <f t="shared" si="42"/>
        <v>183929.7</v>
      </c>
      <c r="O206" s="7">
        <f>O207+O226</f>
        <v>0</v>
      </c>
      <c r="P206" s="35">
        <f t="shared" si="38"/>
        <v>183929.7</v>
      </c>
      <c r="Q206" s="7">
        <f>Q207+Q226</f>
        <v>-2855.5</v>
      </c>
      <c r="R206" s="35">
        <f t="shared" si="39"/>
        <v>181074.2</v>
      </c>
      <c r="S206" s="7">
        <f>S207+S226</f>
        <v>10837.1</v>
      </c>
      <c r="T206" s="35">
        <f t="shared" si="36"/>
        <v>191911.30000000002</v>
      </c>
    </row>
    <row r="207" spans="1:20" ht="86.25" customHeight="1">
      <c r="A207" s="61" t="str">
        <f ca="1">IF(ISERROR(MATCH(B207,Код_КЦСР,0)),"",INDIRECT(ADDRESS(MATCH(B207,Код_КЦСР,0)+1,2,,,"КЦСР")))</f>
        <v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v>
      </c>
      <c r="B207" s="43" t="s">
        <v>414</v>
      </c>
      <c r="C207" s="8"/>
      <c r="D207" s="1"/>
      <c r="E207" s="104"/>
      <c r="F207" s="7">
        <f>F208+F220</f>
        <v>127999.7</v>
      </c>
      <c r="G207" s="7">
        <f>G208+G220</f>
        <v>0</v>
      </c>
      <c r="H207" s="35">
        <f t="shared" si="46"/>
        <v>127999.7</v>
      </c>
      <c r="I207" s="7">
        <f>I208+I220</f>
        <v>0</v>
      </c>
      <c r="J207" s="35">
        <f t="shared" si="44"/>
        <v>127999.7</v>
      </c>
      <c r="K207" s="7">
        <f>K208+K220</f>
        <v>0</v>
      </c>
      <c r="L207" s="35">
        <f t="shared" si="41"/>
        <v>127999.7</v>
      </c>
      <c r="M207" s="7">
        <f>M208+M220</f>
        <v>0</v>
      </c>
      <c r="N207" s="35">
        <f t="shared" si="42"/>
        <v>127999.7</v>
      </c>
      <c r="O207" s="7">
        <f>O208+O220</f>
        <v>0</v>
      </c>
      <c r="P207" s="35">
        <f t="shared" si="38"/>
        <v>127999.7</v>
      </c>
      <c r="Q207" s="7">
        <f>Q208+Q220</f>
        <v>0</v>
      </c>
      <c r="R207" s="35">
        <f t="shared" si="39"/>
        <v>127999.7</v>
      </c>
      <c r="S207" s="7">
        <f>S208+S220</f>
        <v>7572.6</v>
      </c>
      <c r="T207" s="35">
        <f t="shared" si="36"/>
        <v>135572.29999999999</v>
      </c>
    </row>
    <row r="208" spans="1:20" ht="22.5" customHeight="1">
      <c r="A208" s="61" t="str">
        <f ca="1">IF(ISERROR(MATCH(C208,Код_Раздел,0)),"",INDIRECT(ADDRESS(MATCH(C208,Код_Раздел,0)+1,2,,,"Раздел")))</f>
        <v>Образование</v>
      </c>
      <c r="B208" s="43" t="s">
        <v>414</v>
      </c>
      <c r="C208" s="8" t="s">
        <v>195</v>
      </c>
      <c r="D208" s="1"/>
      <c r="E208" s="104"/>
      <c r="F208" s="7">
        <f>F209+F216</f>
        <v>123229.8</v>
      </c>
      <c r="G208" s="7">
        <f>G209+G216</f>
        <v>0</v>
      </c>
      <c r="H208" s="35">
        <f t="shared" si="46"/>
        <v>123229.8</v>
      </c>
      <c r="I208" s="7">
        <f>I209+I216</f>
        <v>0</v>
      </c>
      <c r="J208" s="35">
        <f t="shared" si="44"/>
        <v>123229.8</v>
      </c>
      <c r="K208" s="7">
        <f>K209+K216</f>
        <v>0</v>
      </c>
      <c r="L208" s="35">
        <f t="shared" si="41"/>
        <v>123229.8</v>
      </c>
      <c r="M208" s="7">
        <f>M209+M216</f>
        <v>0</v>
      </c>
      <c r="N208" s="35">
        <f t="shared" si="42"/>
        <v>123229.8</v>
      </c>
      <c r="O208" s="7">
        <f>O209+O216</f>
        <v>0</v>
      </c>
      <c r="P208" s="35">
        <f t="shared" si="38"/>
        <v>123229.8</v>
      </c>
      <c r="Q208" s="7">
        <f>Q209+Q216</f>
        <v>-491.2</v>
      </c>
      <c r="R208" s="35">
        <f t="shared" si="39"/>
        <v>122738.6</v>
      </c>
      <c r="S208" s="7">
        <f>S209+S216</f>
        <v>8192.6</v>
      </c>
      <c r="T208" s="35">
        <f t="shared" si="36"/>
        <v>130931.20000000001</v>
      </c>
    </row>
    <row r="209" spans="1:20" ht="22.5" customHeight="1">
      <c r="A209" s="12" t="s">
        <v>250</v>
      </c>
      <c r="B209" s="43" t="s">
        <v>414</v>
      </c>
      <c r="C209" s="8" t="s">
        <v>195</v>
      </c>
      <c r="D209" s="1" t="s">
        <v>214</v>
      </c>
      <c r="E209" s="104"/>
      <c r="F209" s="7">
        <f>F210+F213</f>
        <v>117177.8</v>
      </c>
      <c r="G209" s="7">
        <f>G210+G213</f>
        <v>0</v>
      </c>
      <c r="H209" s="35">
        <f t="shared" si="46"/>
        <v>117177.8</v>
      </c>
      <c r="I209" s="7">
        <f>I210+I213</f>
        <v>0</v>
      </c>
      <c r="J209" s="35">
        <f t="shared" si="44"/>
        <v>117177.8</v>
      </c>
      <c r="K209" s="7">
        <f>K210+K213</f>
        <v>0</v>
      </c>
      <c r="L209" s="35">
        <f t="shared" si="41"/>
        <v>117177.8</v>
      </c>
      <c r="M209" s="7">
        <f>M210+M213</f>
        <v>0</v>
      </c>
      <c r="N209" s="35">
        <f t="shared" si="42"/>
        <v>117177.8</v>
      </c>
      <c r="O209" s="7">
        <f>O210+O213</f>
        <v>0</v>
      </c>
      <c r="P209" s="35">
        <f t="shared" si="38"/>
        <v>117177.8</v>
      </c>
      <c r="Q209" s="7">
        <f>Q210+Q213</f>
        <v>-491.2</v>
      </c>
      <c r="R209" s="35">
        <f t="shared" si="39"/>
        <v>116686.6</v>
      </c>
      <c r="S209" s="7">
        <f>S210+S213</f>
        <v>8927.3000000000011</v>
      </c>
      <c r="T209" s="35">
        <f t="shared" si="36"/>
        <v>125613.90000000001</v>
      </c>
    </row>
    <row r="210" spans="1:20" ht="19.5" customHeight="1">
      <c r="A210" s="61" t="str">
        <f t="shared" ref="A210:A219" ca="1" si="51">IF(ISERROR(MATCH(E210,Код_КВР,0)),"",INDIRECT(ADDRESS(MATCH(E210,Код_КВР,0)+1,2,,,"КВР")))</f>
        <v>Социальное обеспечение и иные выплаты населению</v>
      </c>
      <c r="B210" s="43" t="s">
        <v>414</v>
      </c>
      <c r="C210" s="8" t="s">
        <v>195</v>
      </c>
      <c r="D210" s="1" t="s">
        <v>214</v>
      </c>
      <c r="E210" s="104">
        <v>300</v>
      </c>
      <c r="F210" s="7">
        <f>F211</f>
        <v>851.6</v>
      </c>
      <c r="G210" s="7">
        <f>G211</f>
        <v>0</v>
      </c>
      <c r="H210" s="35">
        <f t="shared" si="46"/>
        <v>851.6</v>
      </c>
      <c r="I210" s="7">
        <f>I211</f>
        <v>0</v>
      </c>
      <c r="J210" s="35">
        <f t="shared" si="44"/>
        <v>851.6</v>
      </c>
      <c r="K210" s="7">
        <f>K211</f>
        <v>0</v>
      </c>
      <c r="L210" s="35">
        <f t="shared" si="41"/>
        <v>851.6</v>
      </c>
      <c r="M210" s="7">
        <f>M211</f>
        <v>0</v>
      </c>
      <c r="N210" s="35">
        <f t="shared" si="42"/>
        <v>851.6</v>
      </c>
      <c r="O210" s="7">
        <f>O211</f>
        <v>0</v>
      </c>
      <c r="P210" s="35">
        <f t="shared" si="38"/>
        <v>851.6</v>
      </c>
      <c r="Q210" s="7">
        <f>Q211</f>
        <v>0</v>
      </c>
      <c r="R210" s="35">
        <f t="shared" si="39"/>
        <v>851.6</v>
      </c>
      <c r="S210" s="7">
        <f>S211</f>
        <v>-170.3</v>
      </c>
      <c r="T210" s="35">
        <f t="shared" si="36"/>
        <v>681.3</v>
      </c>
    </row>
    <row r="211" spans="1:20" ht="33.75" customHeight="1">
      <c r="A211" s="61" t="str">
        <f t="shared" ca="1" si="51"/>
        <v>Социальные выплаты гражданам, кроме публичных нормативных социальных выплат</v>
      </c>
      <c r="B211" s="43" t="s">
        <v>414</v>
      </c>
      <c r="C211" s="8" t="s">
        <v>195</v>
      </c>
      <c r="D211" s="1" t="s">
        <v>214</v>
      </c>
      <c r="E211" s="104">
        <v>320</v>
      </c>
      <c r="F211" s="7">
        <f>F212</f>
        <v>851.6</v>
      </c>
      <c r="G211" s="7">
        <f>G212</f>
        <v>0</v>
      </c>
      <c r="H211" s="35">
        <f t="shared" si="46"/>
        <v>851.6</v>
      </c>
      <c r="I211" s="7">
        <f>I212</f>
        <v>0</v>
      </c>
      <c r="J211" s="35">
        <f t="shared" si="44"/>
        <v>851.6</v>
      </c>
      <c r="K211" s="7">
        <f>K212</f>
        <v>0</v>
      </c>
      <c r="L211" s="35">
        <f t="shared" si="41"/>
        <v>851.6</v>
      </c>
      <c r="M211" s="7">
        <f>M212</f>
        <v>0</v>
      </c>
      <c r="N211" s="35">
        <f t="shared" si="42"/>
        <v>851.6</v>
      </c>
      <c r="O211" s="7">
        <f>O212</f>
        <v>0</v>
      </c>
      <c r="P211" s="35">
        <f t="shared" si="38"/>
        <v>851.6</v>
      </c>
      <c r="Q211" s="7">
        <f>Q212</f>
        <v>0</v>
      </c>
      <c r="R211" s="35">
        <f t="shared" si="39"/>
        <v>851.6</v>
      </c>
      <c r="S211" s="7">
        <f>S212</f>
        <v>-170.3</v>
      </c>
      <c r="T211" s="35">
        <f t="shared" ref="T211:T283" si="52">R211+S211</f>
        <v>681.3</v>
      </c>
    </row>
    <row r="212" spans="1:20" ht="37.5" customHeight="1">
      <c r="A212" s="61" t="str">
        <f t="shared" ca="1" si="51"/>
        <v>Пособия, компенсации и иные социальные выплаты гражданам, кроме публичных нормативных обязательств</v>
      </c>
      <c r="B212" s="43" t="s">
        <v>414</v>
      </c>
      <c r="C212" s="8" t="s">
        <v>195</v>
      </c>
      <c r="D212" s="1" t="s">
        <v>214</v>
      </c>
      <c r="E212" s="104">
        <v>321</v>
      </c>
      <c r="F212" s="7">
        <f>прил.6!G681</f>
        <v>851.6</v>
      </c>
      <c r="G212" s="7">
        <f>прил.6!H681</f>
        <v>0</v>
      </c>
      <c r="H212" s="35">
        <f t="shared" si="46"/>
        <v>851.6</v>
      </c>
      <c r="I212" s="7">
        <f>прил.6!J681</f>
        <v>0</v>
      </c>
      <c r="J212" s="35">
        <f t="shared" si="44"/>
        <v>851.6</v>
      </c>
      <c r="K212" s="7">
        <f>прил.6!L681</f>
        <v>0</v>
      </c>
      <c r="L212" s="35">
        <f t="shared" si="41"/>
        <v>851.6</v>
      </c>
      <c r="M212" s="7">
        <f>прил.6!N681</f>
        <v>0</v>
      </c>
      <c r="N212" s="35">
        <f t="shared" si="42"/>
        <v>851.6</v>
      </c>
      <c r="O212" s="7">
        <f>прил.6!P681</f>
        <v>0</v>
      </c>
      <c r="P212" s="35">
        <f t="shared" si="38"/>
        <v>851.6</v>
      </c>
      <c r="Q212" s="7">
        <f>прил.6!R681</f>
        <v>0</v>
      </c>
      <c r="R212" s="35">
        <f t="shared" si="39"/>
        <v>851.6</v>
      </c>
      <c r="S212" s="7">
        <f>прил.6!T681</f>
        <v>-170.3</v>
      </c>
      <c r="T212" s="35">
        <f t="shared" si="52"/>
        <v>681.3</v>
      </c>
    </row>
    <row r="213" spans="1:20" ht="35.25" customHeight="1">
      <c r="A213" s="61" t="str">
        <f t="shared" ca="1" si="51"/>
        <v>Предоставление субсидий бюджетным, автономным учреждениям и иным некоммерческим организациям</v>
      </c>
      <c r="B213" s="43" t="s">
        <v>414</v>
      </c>
      <c r="C213" s="8" t="s">
        <v>195</v>
      </c>
      <c r="D213" s="1" t="s">
        <v>214</v>
      </c>
      <c r="E213" s="104">
        <v>600</v>
      </c>
      <c r="F213" s="7">
        <f>F214</f>
        <v>116326.2</v>
      </c>
      <c r="G213" s="7">
        <f>G214</f>
        <v>0</v>
      </c>
      <c r="H213" s="35">
        <f t="shared" si="46"/>
        <v>116326.2</v>
      </c>
      <c r="I213" s="7">
        <f>I214</f>
        <v>0</v>
      </c>
      <c r="J213" s="35">
        <f t="shared" si="44"/>
        <v>116326.2</v>
      </c>
      <c r="K213" s="7">
        <f>K214</f>
        <v>0</v>
      </c>
      <c r="L213" s="35">
        <f t="shared" si="41"/>
        <v>116326.2</v>
      </c>
      <c r="M213" s="7">
        <f>M214</f>
        <v>0</v>
      </c>
      <c r="N213" s="35">
        <f t="shared" si="42"/>
        <v>116326.2</v>
      </c>
      <c r="O213" s="7">
        <f>O214</f>
        <v>0</v>
      </c>
      <c r="P213" s="35">
        <f t="shared" si="38"/>
        <v>116326.2</v>
      </c>
      <c r="Q213" s="7">
        <f>Q214</f>
        <v>-491.2</v>
      </c>
      <c r="R213" s="35">
        <f t="shared" si="39"/>
        <v>115835</v>
      </c>
      <c r="S213" s="7">
        <f>S214</f>
        <v>9097.6</v>
      </c>
      <c r="T213" s="35">
        <f t="shared" si="52"/>
        <v>124932.6</v>
      </c>
    </row>
    <row r="214" spans="1:20" ht="22.5" customHeight="1">
      <c r="A214" s="61" t="str">
        <f t="shared" ca="1" si="51"/>
        <v>Субсидии бюджетным учреждениям</v>
      </c>
      <c r="B214" s="43" t="s">
        <v>414</v>
      </c>
      <c r="C214" s="8" t="s">
        <v>195</v>
      </c>
      <c r="D214" s="1" t="s">
        <v>214</v>
      </c>
      <c r="E214" s="104">
        <v>610</v>
      </c>
      <c r="F214" s="7">
        <f>F215</f>
        <v>116326.2</v>
      </c>
      <c r="G214" s="7">
        <f>G215</f>
        <v>0</v>
      </c>
      <c r="H214" s="35">
        <f t="shared" si="46"/>
        <v>116326.2</v>
      </c>
      <c r="I214" s="7">
        <f>I215</f>
        <v>0</v>
      </c>
      <c r="J214" s="35">
        <f t="shared" si="44"/>
        <v>116326.2</v>
      </c>
      <c r="K214" s="7">
        <f>K215</f>
        <v>0</v>
      </c>
      <c r="L214" s="35">
        <f t="shared" si="41"/>
        <v>116326.2</v>
      </c>
      <c r="M214" s="7">
        <f>M215</f>
        <v>0</v>
      </c>
      <c r="N214" s="35">
        <f t="shared" si="42"/>
        <v>116326.2</v>
      </c>
      <c r="O214" s="7">
        <f>O215</f>
        <v>0</v>
      </c>
      <c r="P214" s="35">
        <f t="shared" si="38"/>
        <v>116326.2</v>
      </c>
      <c r="Q214" s="7">
        <f>Q215</f>
        <v>-491.2</v>
      </c>
      <c r="R214" s="35">
        <f t="shared" si="39"/>
        <v>115835</v>
      </c>
      <c r="S214" s="7">
        <f>S215</f>
        <v>9097.6</v>
      </c>
      <c r="T214" s="35">
        <f t="shared" si="52"/>
        <v>124932.6</v>
      </c>
    </row>
    <row r="215" spans="1:20" ht="51.75" customHeight="1">
      <c r="A215" s="61" t="str">
        <f t="shared" ca="1" si="51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15" s="43" t="s">
        <v>414</v>
      </c>
      <c r="C215" s="8" t="s">
        <v>195</v>
      </c>
      <c r="D215" s="1" t="s">
        <v>214</v>
      </c>
      <c r="E215" s="104">
        <v>611</v>
      </c>
      <c r="F215" s="7">
        <f>прил.6!G684</f>
        <v>116326.2</v>
      </c>
      <c r="G215" s="7">
        <f>прил.6!H684</f>
        <v>0</v>
      </c>
      <c r="H215" s="35">
        <f t="shared" si="46"/>
        <v>116326.2</v>
      </c>
      <c r="I215" s="7">
        <f>прил.6!J684</f>
        <v>0</v>
      </c>
      <c r="J215" s="35">
        <f t="shared" si="44"/>
        <v>116326.2</v>
      </c>
      <c r="K215" s="7">
        <f>прил.6!L684</f>
        <v>0</v>
      </c>
      <c r="L215" s="35">
        <f t="shared" si="41"/>
        <v>116326.2</v>
      </c>
      <c r="M215" s="7">
        <f>прил.6!N684</f>
        <v>0</v>
      </c>
      <c r="N215" s="35">
        <f t="shared" si="42"/>
        <v>116326.2</v>
      </c>
      <c r="O215" s="7">
        <f>прил.6!P684</f>
        <v>0</v>
      </c>
      <c r="P215" s="35">
        <f t="shared" si="38"/>
        <v>116326.2</v>
      </c>
      <c r="Q215" s="7">
        <f>прил.6!R684</f>
        <v>-491.2</v>
      </c>
      <c r="R215" s="35">
        <f t="shared" si="39"/>
        <v>115835</v>
      </c>
      <c r="S215" s="7">
        <f>прил.6!T684</f>
        <v>9097.6</v>
      </c>
      <c r="T215" s="35">
        <f t="shared" si="52"/>
        <v>124932.6</v>
      </c>
    </row>
    <row r="216" spans="1:20">
      <c r="A216" s="12" t="s">
        <v>199</v>
      </c>
      <c r="B216" s="43" t="s">
        <v>414</v>
      </c>
      <c r="C216" s="8" t="s">
        <v>195</v>
      </c>
      <c r="D216" s="1" t="s">
        <v>195</v>
      </c>
      <c r="E216" s="104"/>
      <c r="F216" s="7">
        <f t="shared" ref="F216:S218" si="53">F217</f>
        <v>6052</v>
      </c>
      <c r="G216" s="7">
        <f t="shared" si="53"/>
        <v>0</v>
      </c>
      <c r="H216" s="35">
        <f t="shared" si="46"/>
        <v>6052</v>
      </c>
      <c r="I216" s="7">
        <f t="shared" si="53"/>
        <v>0</v>
      </c>
      <c r="J216" s="35">
        <f t="shared" si="44"/>
        <v>6052</v>
      </c>
      <c r="K216" s="7">
        <f t="shared" si="53"/>
        <v>0</v>
      </c>
      <c r="L216" s="35">
        <f t="shared" si="41"/>
        <v>6052</v>
      </c>
      <c r="M216" s="7">
        <f t="shared" si="53"/>
        <v>0</v>
      </c>
      <c r="N216" s="35">
        <f t="shared" si="42"/>
        <v>6052</v>
      </c>
      <c r="O216" s="7">
        <f t="shared" si="53"/>
        <v>0</v>
      </c>
      <c r="P216" s="35">
        <f t="shared" si="38"/>
        <v>6052</v>
      </c>
      <c r="Q216" s="7">
        <f t="shared" si="53"/>
        <v>0</v>
      </c>
      <c r="R216" s="35">
        <f t="shared" si="39"/>
        <v>6052</v>
      </c>
      <c r="S216" s="7">
        <f t="shared" si="53"/>
        <v>-734.7</v>
      </c>
      <c r="T216" s="35">
        <f t="shared" si="52"/>
        <v>5317.3</v>
      </c>
    </row>
    <row r="217" spans="1:20">
      <c r="A217" s="61" t="str">
        <f t="shared" ca="1" si="51"/>
        <v>Социальное обеспечение и иные выплаты населению</v>
      </c>
      <c r="B217" s="43" t="s">
        <v>414</v>
      </c>
      <c r="C217" s="8" t="s">
        <v>195</v>
      </c>
      <c r="D217" s="1" t="s">
        <v>195</v>
      </c>
      <c r="E217" s="104">
        <v>300</v>
      </c>
      <c r="F217" s="7">
        <f t="shared" si="53"/>
        <v>6052</v>
      </c>
      <c r="G217" s="7">
        <f t="shared" si="53"/>
        <v>0</v>
      </c>
      <c r="H217" s="35">
        <f t="shared" si="46"/>
        <v>6052</v>
      </c>
      <c r="I217" s="7">
        <f t="shared" si="53"/>
        <v>0</v>
      </c>
      <c r="J217" s="35">
        <f t="shared" si="44"/>
        <v>6052</v>
      </c>
      <c r="K217" s="7">
        <f t="shared" si="53"/>
        <v>0</v>
      </c>
      <c r="L217" s="35">
        <f t="shared" si="41"/>
        <v>6052</v>
      </c>
      <c r="M217" s="7">
        <f t="shared" si="53"/>
        <v>0</v>
      </c>
      <c r="N217" s="35">
        <f t="shared" si="42"/>
        <v>6052</v>
      </c>
      <c r="O217" s="7">
        <f t="shared" si="53"/>
        <v>0</v>
      </c>
      <c r="P217" s="35">
        <f t="shared" si="38"/>
        <v>6052</v>
      </c>
      <c r="Q217" s="7">
        <f t="shared" si="53"/>
        <v>0</v>
      </c>
      <c r="R217" s="35">
        <f t="shared" si="39"/>
        <v>6052</v>
      </c>
      <c r="S217" s="7">
        <f t="shared" si="53"/>
        <v>-734.7</v>
      </c>
      <c r="T217" s="35">
        <f t="shared" si="52"/>
        <v>5317.3</v>
      </c>
    </row>
    <row r="218" spans="1:20" ht="33">
      <c r="A218" s="61" t="str">
        <f t="shared" ca="1" si="51"/>
        <v>Социальные выплаты гражданам, кроме публичных нормативных социальных выплат</v>
      </c>
      <c r="B218" s="43" t="s">
        <v>414</v>
      </c>
      <c r="C218" s="8" t="s">
        <v>195</v>
      </c>
      <c r="D218" s="1" t="s">
        <v>195</v>
      </c>
      <c r="E218" s="104">
        <v>320</v>
      </c>
      <c r="F218" s="7">
        <f t="shared" si="53"/>
        <v>6052</v>
      </c>
      <c r="G218" s="7">
        <f t="shared" si="53"/>
        <v>0</v>
      </c>
      <c r="H218" s="35">
        <f t="shared" si="46"/>
        <v>6052</v>
      </c>
      <c r="I218" s="7">
        <f t="shared" si="53"/>
        <v>0</v>
      </c>
      <c r="J218" s="35">
        <f t="shared" si="44"/>
        <v>6052</v>
      </c>
      <c r="K218" s="7">
        <f t="shared" si="53"/>
        <v>0</v>
      </c>
      <c r="L218" s="35">
        <f t="shared" si="41"/>
        <v>6052</v>
      </c>
      <c r="M218" s="7">
        <f t="shared" si="53"/>
        <v>0</v>
      </c>
      <c r="N218" s="35">
        <f t="shared" si="42"/>
        <v>6052</v>
      </c>
      <c r="O218" s="7">
        <f t="shared" si="53"/>
        <v>0</v>
      </c>
      <c r="P218" s="35">
        <f t="shared" si="38"/>
        <v>6052</v>
      </c>
      <c r="Q218" s="7">
        <f t="shared" si="53"/>
        <v>0</v>
      </c>
      <c r="R218" s="35">
        <f t="shared" si="39"/>
        <v>6052</v>
      </c>
      <c r="S218" s="7">
        <f t="shared" si="53"/>
        <v>-734.7</v>
      </c>
      <c r="T218" s="35">
        <f t="shared" si="52"/>
        <v>5317.3</v>
      </c>
    </row>
    <row r="219" spans="1:20" ht="33">
      <c r="A219" s="61" t="str">
        <f t="shared" ca="1" si="51"/>
        <v>Приобретение товаров, работ, услуг в пользу граждан в целях их социального обеспечения</v>
      </c>
      <c r="B219" s="43" t="s">
        <v>414</v>
      </c>
      <c r="C219" s="8" t="s">
        <v>195</v>
      </c>
      <c r="D219" s="1" t="s">
        <v>195</v>
      </c>
      <c r="E219" s="104">
        <v>323</v>
      </c>
      <c r="F219" s="7">
        <f>прил.6!G701</f>
        <v>6052</v>
      </c>
      <c r="G219" s="7">
        <f>прил.6!H701</f>
        <v>0</v>
      </c>
      <c r="H219" s="35">
        <f t="shared" si="46"/>
        <v>6052</v>
      </c>
      <c r="I219" s="7">
        <f>прил.6!J701</f>
        <v>0</v>
      </c>
      <c r="J219" s="35">
        <f t="shared" si="44"/>
        <v>6052</v>
      </c>
      <c r="K219" s="7">
        <f>прил.6!L701</f>
        <v>0</v>
      </c>
      <c r="L219" s="35">
        <f t="shared" si="41"/>
        <v>6052</v>
      </c>
      <c r="M219" s="7">
        <f>прил.6!N701</f>
        <v>0</v>
      </c>
      <c r="N219" s="35">
        <f t="shared" si="42"/>
        <v>6052</v>
      </c>
      <c r="O219" s="7">
        <f>прил.6!P701</f>
        <v>0</v>
      </c>
      <c r="P219" s="35">
        <f t="shared" ref="P219:P303" si="54">N219+O219</f>
        <v>6052</v>
      </c>
      <c r="Q219" s="7">
        <f>прил.6!R701</f>
        <v>0</v>
      </c>
      <c r="R219" s="35">
        <f t="shared" ref="R219:R303" si="55">P219+Q219</f>
        <v>6052</v>
      </c>
      <c r="S219" s="7">
        <f>прил.6!T701</f>
        <v>-734.7</v>
      </c>
      <c r="T219" s="35">
        <f t="shared" si="52"/>
        <v>5317.3</v>
      </c>
    </row>
    <row r="220" spans="1:20" ht="18.75" customHeight="1">
      <c r="A220" s="61" t="str">
        <f ca="1">IF(ISERROR(MATCH(C220,Код_Раздел,0)),"",INDIRECT(ADDRESS(MATCH(C220,Код_Раздел,0)+1,2,,,"Раздел")))</f>
        <v>Социальная политика</v>
      </c>
      <c r="B220" s="43" t="s">
        <v>414</v>
      </c>
      <c r="C220" s="8" t="s">
        <v>188</v>
      </c>
      <c r="D220" s="1"/>
      <c r="E220" s="104"/>
      <c r="F220" s="7">
        <f t="shared" ref="F220:S222" si="56">F221</f>
        <v>4769.8999999999996</v>
      </c>
      <c r="G220" s="7">
        <f t="shared" si="56"/>
        <v>0</v>
      </c>
      <c r="H220" s="35">
        <f t="shared" si="46"/>
        <v>4769.8999999999996</v>
      </c>
      <c r="I220" s="7">
        <f t="shared" si="56"/>
        <v>0</v>
      </c>
      <c r="J220" s="35">
        <f t="shared" si="44"/>
        <v>4769.8999999999996</v>
      </c>
      <c r="K220" s="7">
        <f t="shared" si="56"/>
        <v>0</v>
      </c>
      <c r="L220" s="35">
        <f t="shared" si="41"/>
        <v>4769.8999999999996</v>
      </c>
      <c r="M220" s="7">
        <f t="shared" si="56"/>
        <v>0</v>
      </c>
      <c r="N220" s="35">
        <f t="shared" si="42"/>
        <v>4769.8999999999996</v>
      </c>
      <c r="O220" s="7">
        <f t="shared" si="56"/>
        <v>0</v>
      </c>
      <c r="P220" s="35">
        <f t="shared" si="54"/>
        <v>4769.8999999999996</v>
      </c>
      <c r="Q220" s="7">
        <f t="shared" si="56"/>
        <v>491.2</v>
      </c>
      <c r="R220" s="35">
        <f t="shared" si="55"/>
        <v>5261.0999999999995</v>
      </c>
      <c r="S220" s="7">
        <f t="shared" si="56"/>
        <v>-620</v>
      </c>
      <c r="T220" s="35">
        <f t="shared" si="52"/>
        <v>4641.0999999999995</v>
      </c>
    </row>
    <row r="221" spans="1:20" ht="21" customHeight="1">
      <c r="A221" s="12" t="s">
        <v>179</v>
      </c>
      <c r="B221" s="43" t="s">
        <v>414</v>
      </c>
      <c r="C221" s="8" t="s">
        <v>188</v>
      </c>
      <c r="D221" s="1" t="s">
        <v>215</v>
      </c>
      <c r="E221" s="104"/>
      <c r="F221" s="7">
        <f t="shared" si="56"/>
        <v>4769.8999999999996</v>
      </c>
      <c r="G221" s="7">
        <f t="shared" si="56"/>
        <v>0</v>
      </c>
      <c r="H221" s="35">
        <f t="shared" si="46"/>
        <v>4769.8999999999996</v>
      </c>
      <c r="I221" s="7">
        <f t="shared" si="56"/>
        <v>0</v>
      </c>
      <c r="J221" s="35">
        <f t="shared" si="44"/>
        <v>4769.8999999999996</v>
      </c>
      <c r="K221" s="7">
        <f t="shared" si="56"/>
        <v>0</v>
      </c>
      <c r="L221" s="35">
        <f t="shared" si="41"/>
        <v>4769.8999999999996</v>
      </c>
      <c r="M221" s="7">
        <f t="shared" si="56"/>
        <v>0</v>
      </c>
      <c r="N221" s="35">
        <f t="shared" si="42"/>
        <v>4769.8999999999996</v>
      </c>
      <c r="O221" s="7">
        <f t="shared" si="56"/>
        <v>0</v>
      </c>
      <c r="P221" s="35">
        <f t="shared" si="54"/>
        <v>4769.8999999999996</v>
      </c>
      <c r="Q221" s="7">
        <f t="shared" si="56"/>
        <v>491.2</v>
      </c>
      <c r="R221" s="35">
        <f t="shared" si="55"/>
        <v>5261.0999999999995</v>
      </c>
      <c r="S221" s="7">
        <f t="shared" si="56"/>
        <v>-620</v>
      </c>
      <c r="T221" s="35">
        <f t="shared" si="52"/>
        <v>4641.0999999999995</v>
      </c>
    </row>
    <row r="222" spans="1:20" ht="19.5" customHeight="1">
      <c r="A222" s="61" t="str">
        <f ca="1">IF(ISERROR(MATCH(E222,Код_КВР,0)),"",INDIRECT(ADDRESS(MATCH(E222,Код_КВР,0)+1,2,,,"КВР")))</f>
        <v>Социальное обеспечение и иные выплаты населению</v>
      </c>
      <c r="B222" s="43" t="s">
        <v>414</v>
      </c>
      <c r="C222" s="8" t="s">
        <v>188</v>
      </c>
      <c r="D222" s="1" t="s">
        <v>215</v>
      </c>
      <c r="E222" s="104">
        <v>300</v>
      </c>
      <c r="F222" s="7">
        <f t="shared" si="56"/>
        <v>4769.8999999999996</v>
      </c>
      <c r="G222" s="7">
        <f t="shared" si="56"/>
        <v>0</v>
      </c>
      <c r="H222" s="35">
        <f t="shared" si="46"/>
        <v>4769.8999999999996</v>
      </c>
      <c r="I222" s="7">
        <f t="shared" si="56"/>
        <v>0</v>
      </c>
      <c r="J222" s="35">
        <f t="shared" si="44"/>
        <v>4769.8999999999996</v>
      </c>
      <c r="K222" s="7">
        <f t="shared" si="56"/>
        <v>0</v>
      </c>
      <c r="L222" s="35">
        <f t="shared" si="41"/>
        <v>4769.8999999999996</v>
      </c>
      <c r="M222" s="7">
        <f t="shared" si="56"/>
        <v>0</v>
      </c>
      <c r="N222" s="35">
        <f t="shared" si="42"/>
        <v>4769.8999999999996</v>
      </c>
      <c r="O222" s="7">
        <f t="shared" si="56"/>
        <v>0</v>
      </c>
      <c r="P222" s="35">
        <f t="shared" si="54"/>
        <v>4769.8999999999996</v>
      </c>
      <c r="Q222" s="7">
        <f t="shared" si="56"/>
        <v>491.2</v>
      </c>
      <c r="R222" s="35">
        <f t="shared" si="55"/>
        <v>5261.0999999999995</v>
      </c>
      <c r="S222" s="7">
        <f t="shared" si="56"/>
        <v>-620</v>
      </c>
      <c r="T222" s="35">
        <f t="shared" si="52"/>
        <v>4641.0999999999995</v>
      </c>
    </row>
    <row r="223" spans="1:20" ht="36" customHeight="1">
      <c r="A223" s="61" t="str">
        <f ca="1">IF(ISERROR(MATCH(E223,Код_КВР,0)),"",INDIRECT(ADDRESS(MATCH(E223,Код_КВР,0)+1,2,,,"КВР")))</f>
        <v>Социальные выплаты гражданам, кроме публичных нормативных социальных выплат</v>
      </c>
      <c r="B223" s="43" t="s">
        <v>414</v>
      </c>
      <c r="C223" s="8" t="s">
        <v>188</v>
      </c>
      <c r="D223" s="1" t="s">
        <v>215</v>
      </c>
      <c r="E223" s="104">
        <v>320</v>
      </c>
      <c r="F223" s="7">
        <f>SUM(F224:F225)</f>
        <v>4769.8999999999996</v>
      </c>
      <c r="G223" s="7">
        <f>SUM(G224:G225)</f>
        <v>0</v>
      </c>
      <c r="H223" s="35">
        <f t="shared" si="46"/>
        <v>4769.8999999999996</v>
      </c>
      <c r="I223" s="7">
        <f>SUM(I224:I225)</f>
        <v>0</v>
      </c>
      <c r="J223" s="35">
        <f t="shared" si="44"/>
        <v>4769.8999999999996</v>
      </c>
      <c r="K223" s="7">
        <f>SUM(K224:K225)</f>
        <v>0</v>
      </c>
      <c r="L223" s="35">
        <f t="shared" si="41"/>
        <v>4769.8999999999996</v>
      </c>
      <c r="M223" s="7">
        <f>SUM(M224:M225)</f>
        <v>0</v>
      </c>
      <c r="N223" s="35">
        <f t="shared" si="42"/>
        <v>4769.8999999999996</v>
      </c>
      <c r="O223" s="7">
        <f>SUM(O224:O225)</f>
        <v>0</v>
      </c>
      <c r="P223" s="35">
        <f t="shared" si="54"/>
        <v>4769.8999999999996</v>
      </c>
      <c r="Q223" s="7">
        <f>SUM(Q224:Q225)</f>
        <v>491.2</v>
      </c>
      <c r="R223" s="35">
        <f t="shared" si="55"/>
        <v>5261.0999999999995</v>
      </c>
      <c r="S223" s="7">
        <f>SUM(S224:S225)</f>
        <v>-620</v>
      </c>
      <c r="T223" s="35">
        <f t="shared" si="52"/>
        <v>4641.0999999999995</v>
      </c>
    </row>
    <row r="224" spans="1:20" ht="36.75" customHeight="1">
      <c r="A224" s="61" t="str">
        <f ca="1">IF(ISERROR(MATCH(E224,Код_КВР,0)),"",INDIRECT(ADDRESS(MATCH(E224,Код_КВР,0)+1,2,,,"КВР")))</f>
        <v>Пособия, компенсации и иные социальные выплаты гражданам, кроме публичных нормативных обязательств</v>
      </c>
      <c r="B224" s="43" t="s">
        <v>414</v>
      </c>
      <c r="C224" s="8" t="s">
        <v>188</v>
      </c>
      <c r="D224" s="1" t="s">
        <v>215</v>
      </c>
      <c r="E224" s="104">
        <v>321</v>
      </c>
      <c r="F224" s="7">
        <f>прил.6!G1335+прил.6!G836</f>
        <v>2489.9</v>
      </c>
      <c r="G224" s="7">
        <f>прил.6!H1335+прил.6!H836</f>
        <v>0</v>
      </c>
      <c r="H224" s="35">
        <f t="shared" si="46"/>
        <v>2489.9</v>
      </c>
      <c r="I224" s="7">
        <f>прил.6!J1335+прил.6!J836</f>
        <v>0</v>
      </c>
      <c r="J224" s="35">
        <f t="shared" si="44"/>
        <v>2489.9</v>
      </c>
      <c r="K224" s="7">
        <f>прил.6!L1335+прил.6!L836</f>
        <v>0</v>
      </c>
      <c r="L224" s="35">
        <f t="shared" ref="L224:L311" si="57">J224+K224</f>
        <v>2489.9</v>
      </c>
      <c r="M224" s="7">
        <f>прил.6!N1335+прил.6!N836</f>
        <v>0</v>
      </c>
      <c r="N224" s="35">
        <f t="shared" ref="N224:N311" si="58">L224+M224</f>
        <v>2489.9</v>
      </c>
      <c r="O224" s="7">
        <f>прил.6!P1335+прил.6!P836</f>
        <v>0</v>
      </c>
      <c r="P224" s="35">
        <f t="shared" si="54"/>
        <v>2489.9</v>
      </c>
      <c r="Q224" s="7">
        <f>прил.6!R1335+прил.6!R836</f>
        <v>491.2</v>
      </c>
      <c r="R224" s="35">
        <f t="shared" si="55"/>
        <v>2981.1</v>
      </c>
      <c r="S224" s="7">
        <f>прил.6!T1335+прил.6!T836</f>
        <v>-13.899999999999977</v>
      </c>
      <c r="T224" s="35">
        <f t="shared" si="52"/>
        <v>2967.2</v>
      </c>
    </row>
    <row r="225" spans="1:20" ht="36.75" customHeight="1">
      <c r="A225" s="61" t="str">
        <f ca="1">IF(ISERROR(MATCH(E225,Код_КВР,0)),"",INDIRECT(ADDRESS(MATCH(E225,Код_КВР,0)+1,2,,,"КВР")))</f>
        <v>Приобретение товаров, работ, услуг в пользу граждан в целях их социального обеспечения</v>
      </c>
      <c r="B225" s="43" t="s">
        <v>414</v>
      </c>
      <c r="C225" s="8" t="s">
        <v>188</v>
      </c>
      <c r="D225" s="1" t="s">
        <v>215</v>
      </c>
      <c r="E225" s="104">
        <v>323</v>
      </c>
      <c r="F225" s="7">
        <f>прил.6!G837</f>
        <v>2280</v>
      </c>
      <c r="G225" s="7">
        <f>прил.6!H837</f>
        <v>0</v>
      </c>
      <c r="H225" s="35">
        <f t="shared" si="46"/>
        <v>2280</v>
      </c>
      <c r="I225" s="7">
        <f>прил.6!J837</f>
        <v>0</v>
      </c>
      <c r="J225" s="35">
        <f t="shared" si="44"/>
        <v>2280</v>
      </c>
      <c r="K225" s="7">
        <f>прил.6!L837</f>
        <v>0</v>
      </c>
      <c r="L225" s="35">
        <f t="shared" si="57"/>
        <v>2280</v>
      </c>
      <c r="M225" s="7">
        <f>прил.6!N837</f>
        <v>0</v>
      </c>
      <c r="N225" s="35">
        <f t="shared" si="58"/>
        <v>2280</v>
      </c>
      <c r="O225" s="7">
        <f>прил.6!P837</f>
        <v>0</v>
      </c>
      <c r="P225" s="35">
        <f t="shared" si="54"/>
        <v>2280</v>
      </c>
      <c r="Q225" s="7">
        <f>прил.6!R837</f>
        <v>0</v>
      </c>
      <c r="R225" s="35">
        <f t="shared" si="55"/>
        <v>2280</v>
      </c>
      <c r="S225" s="7">
        <f>прил.6!T837+прил.6!T1336</f>
        <v>-606.1</v>
      </c>
      <c r="T225" s="35">
        <f t="shared" si="52"/>
        <v>1673.9</v>
      </c>
    </row>
    <row r="226" spans="1:20" ht="174" customHeight="1">
      <c r="A226" s="61" t="str">
        <f ca="1">IF(ISERROR(MATCH(B226,Код_КЦСР,0)),"",INDIRECT(ADDRESS(MATCH(B226,Код_КЦСР,0)+1,2,,,"КЦСР")))</f>
        <v>Социальная поддержка детей-сирот и детей, оставшихся без попечения родителей, находящихся под опекой (попечительством) в семьях (в том числе в приемных семьях), детей-сирот и детей, оставшихся без попечения родителей, находящихся под надзором в организованных по семейному принципу негосударственных организациях для детей-сирот и детей, оставшихся без попечения родителей, обеспечивающих их содержание и воспитание, лиц из числа детей указанных категорий, а также детей, в отношении которых установлена предварительная опека (попечительство) за счет субвенций из областного бюджета</v>
      </c>
      <c r="B226" s="43" t="s">
        <v>433</v>
      </c>
      <c r="C226" s="8"/>
      <c r="D226" s="1"/>
      <c r="E226" s="104"/>
      <c r="F226" s="7">
        <f t="shared" ref="F226:S233" si="59">F227</f>
        <v>55930</v>
      </c>
      <c r="G226" s="7">
        <f t="shared" si="59"/>
        <v>0</v>
      </c>
      <c r="H226" s="35">
        <f t="shared" si="46"/>
        <v>55930</v>
      </c>
      <c r="I226" s="7">
        <f t="shared" si="59"/>
        <v>0</v>
      </c>
      <c r="J226" s="35">
        <f t="shared" ref="J226:J313" si="60">H226+I226</f>
        <v>55930</v>
      </c>
      <c r="K226" s="7">
        <f t="shared" si="59"/>
        <v>0</v>
      </c>
      <c r="L226" s="35">
        <f t="shared" si="57"/>
        <v>55930</v>
      </c>
      <c r="M226" s="7">
        <f t="shared" si="59"/>
        <v>0</v>
      </c>
      <c r="N226" s="35">
        <f t="shared" si="58"/>
        <v>55930</v>
      </c>
      <c r="O226" s="7">
        <f t="shared" si="59"/>
        <v>0</v>
      </c>
      <c r="P226" s="35">
        <f t="shared" si="54"/>
        <v>55930</v>
      </c>
      <c r="Q226" s="7">
        <f t="shared" si="59"/>
        <v>-2855.5</v>
      </c>
      <c r="R226" s="35">
        <f t="shared" si="55"/>
        <v>53074.5</v>
      </c>
      <c r="S226" s="7">
        <f t="shared" si="59"/>
        <v>3264.5</v>
      </c>
      <c r="T226" s="35">
        <f t="shared" si="52"/>
        <v>56339</v>
      </c>
    </row>
    <row r="227" spans="1:20" ht="20.25" customHeight="1">
      <c r="A227" s="61" t="str">
        <f ca="1">IF(ISERROR(MATCH(C227,Код_Раздел,0)),"",INDIRECT(ADDRESS(MATCH(C227,Код_Раздел,0)+1,2,,,"Раздел")))</f>
        <v>Социальная политика</v>
      </c>
      <c r="B227" s="43" t="s">
        <v>433</v>
      </c>
      <c r="C227" s="8" t="s">
        <v>188</v>
      </c>
      <c r="D227" s="1"/>
      <c r="E227" s="104"/>
      <c r="F227" s="7">
        <f t="shared" si="59"/>
        <v>55930</v>
      </c>
      <c r="G227" s="7">
        <f t="shared" si="59"/>
        <v>0</v>
      </c>
      <c r="H227" s="35">
        <f t="shared" si="46"/>
        <v>55930</v>
      </c>
      <c r="I227" s="7">
        <f t="shared" si="59"/>
        <v>0</v>
      </c>
      <c r="J227" s="35">
        <f t="shared" si="60"/>
        <v>55930</v>
      </c>
      <c r="K227" s="7">
        <f t="shared" si="59"/>
        <v>0</v>
      </c>
      <c r="L227" s="35">
        <f t="shared" si="57"/>
        <v>55930</v>
      </c>
      <c r="M227" s="7">
        <f t="shared" si="59"/>
        <v>0</v>
      </c>
      <c r="N227" s="35">
        <f t="shared" si="58"/>
        <v>55930</v>
      </c>
      <c r="O227" s="7">
        <f t="shared" si="59"/>
        <v>0</v>
      </c>
      <c r="P227" s="35">
        <f t="shared" si="54"/>
        <v>55930</v>
      </c>
      <c r="Q227" s="7">
        <f t="shared" si="59"/>
        <v>-2855.5</v>
      </c>
      <c r="R227" s="35">
        <f t="shared" si="55"/>
        <v>53074.5</v>
      </c>
      <c r="S227" s="7">
        <f t="shared" si="59"/>
        <v>3264.5</v>
      </c>
      <c r="T227" s="35">
        <f t="shared" si="52"/>
        <v>56339</v>
      </c>
    </row>
    <row r="228" spans="1:20" ht="18.75" customHeight="1">
      <c r="A228" s="76" t="s">
        <v>204</v>
      </c>
      <c r="B228" s="43" t="s">
        <v>433</v>
      </c>
      <c r="C228" s="8" t="s">
        <v>188</v>
      </c>
      <c r="D228" s="1" t="s">
        <v>216</v>
      </c>
      <c r="E228" s="104"/>
      <c r="F228" s="7">
        <f>F232</f>
        <v>55930</v>
      </c>
      <c r="G228" s="7">
        <f>G232</f>
        <v>0</v>
      </c>
      <c r="H228" s="35">
        <f t="shared" si="46"/>
        <v>55930</v>
      </c>
      <c r="I228" s="7">
        <f>I232</f>
        <v>0</v>
      </c>
      <c r="J228" s="35">
        <f t="shared" si="60"/>
        <v>55930</v>
      </c>
      <c r="K228" s="7">
        <f>K232</f>
        <v>0</v>
      </c>
      <c r="L228" s="35">
        <f t="shared" si="57"/>
        <v>55930</v>
      </c>
      <c r="M228" s="7">
        <f>M232</f>
        <v>0</v>
      </c>
      <c r="N228" s="35">
        <f t="shared" si="58"/>
        <v>55930</v>
      </c>
      <c r="O228" s="7">
        <f>O232</f>
        <v>0</v>
      </c>
      <c r="P228" s="35">
        <f t="shared" si="54"/>
        <v>55930</v>
      </c>
      <c r="Q228" s="7">
        <f>Q232</f>
        <v>-2855.5</v>
      </c>
      <c r="R228" s="35">
        <f t="shared" si="55"/>
        <v>53074.5</v>
      </c>
      <c r="S228" s="7">
        <f>S229+S232</f>
        <v>3264.5</v>
      </c>
      <c r="T228" s="35">
        <f t="shared" si="52"/>
        <v>56339</v>
      </c>
    </row>
    <row r="229" spans="1:20" ht="18.75" customHeight="1">
      <c r="A229" s="61" t="str">
        <f t="shared" ref="A229:A234" ca="1" si="61">IF(ISERROR(MATCH(E229,Код_КВР,0)),"",INDIRECT(ADDRESS(MATCH(E229,Код_КВР,0)+1,2,,,"КВР")))</f>
        <v>Закупка товаров, работ и услуг для муниципальных нужд</v>
      </c>
      <c r="B229" s="43" t="s">
        <v>433</v>
      </c>
      <c r="C229" s="8" t="s">
        <v>188</v>
      </c>
      <c r="D229" s="1" t="s">
        <v>216</v>
      </c>
      <c r="E229" s="139">
        <v>200</v>
      </c>
      <c r="F229" s="7"/>
      <c r="G229" s="7"/>
      <c r="H229" s="35"/>
      <c r="I229" s="7"/>
      <c r="J229" s="35"/>
      <c r="K229" s="7"/>
      <c r="L229" s="35"/>
      <c r="M229" s="7"/>
      <c r="N229" s="35"/>
      <c r="O229" s="7"/>
      <c r="P229" s="35"/>
      <c r="Q229" s="7"/>
      <c r="R229" s="35"/>
      <c r="S229" s="7">
        <f t="shared" si="59"/>
        <v>22535.3</v>
      </c>
      <c r="T229" s="35">
        <f t="shared" si="52"/>
        <v>22535.3</v>
      </c>
    </row>
    <row r="230" spans="1:20" ht="33">
      <c r="A230" s="61" t="str">
        <f t="shared" ca="1" si="61"/>
        <v>Иные закупки товаров, работ и услуг для обеспечения муниципальных нужд</v>
      </c>
      <c r="B230" s="43" t="s">
        <v>433</v>
      </c>
      <c r="C230" s="8" t="s">
        <v>188</v>
      </c>
      <c r="D230" s="1" t="s">
        <v>216</v>
      </c>
      <c r="E230" s="139">
        <v>240</v>
      </c>
      <c r="F230" s="7"/>
      <c r="G230" s="7"/>
      <c r="H230" s="35"/>
      <c r="I230" s="7"/>
      <c r="J230" s="35"/>
      <c r="K230" s="7"/>
      <c r="L230" s="35"/>
      <c r="M230" s="7"/>
      <c r="N230" s="35"/>
      <c r="O230" s="7"/>
      <c r="P230" s="35"/>
      <c r="Q230" s="7"/>
      <c r="R230" s="35"/>
      <c r="S230" s="7">
        <f t="shared" si="59"/>
        <v>22535.3</v>
      </c>
      <c r="T230" s="35">
        <f t="shared" si="52"/>
        <v>22535.3</v>
      </c>
    </row>
    <row r="231" spans="1:20" ht="33">
      <c r="A231" s="61" t="str">
        <f t="shared" ca="1" si="61"/>
        <v xml:space="preserve">Прочая закупка товаров, работ и услуг для обеспечения муниципальных нужд         </v>
      </c>
      <c r="B231" s="43" t="s">
        <v>433</v>
      </c>
      <c r="C231" s="8" t="s">
        <v>188</v>
      </c>
      <c r="D231" s="1" t="s">
        <v>216</v>
      </c>
      <c r="E231" s="139">
        <v>244</v>
      </c>
      <c r="F231" s="7"/>
      <c r="G231" s="7"/>
      <c r="H231" s="35"/>
      <c r="I231" s="7"/>
      <c r="J231" s="35"/>
      <c r="K231" s="7"/>
      <c r="L231" s="35"/>
      <c r="M231" s="7"/>
      <c r="N231" s="35"/>
      <c r="O231" s="7"/>
      <c r="P231" s="35"/>
      <c r="Q231" s="7"/>
      <c r="R231" s="35"/>
      <c r="S231" s="7">
        <f>прил.6!T855</f>
        <v>22535.3</v>
      </c>
      <c r="T231" s="35">
        <f t="shared" si="52"/>
        <v>22535.3</v>
      </c>
    </row>
    <row r="232" spans="1:20" ht="21.95" customHeight="1">
      <c r="A232" s="61" t="str">
        <f t="shared" ca="1" si="61"/>
        <v>Социальное обеспечение и иные выплаты населению</v>
      </c>
      <c r="B232" s="43" t="s">
        <v>433</v>
      </c>
      <c r="C232" s="8" t="s">
        <v>188</v>
      </c>
      <c r="D232" s="1" t="s">
        <v>216</v>
      </c>
      <c r="E232" s="104">
        <v>300</v>
      </c>
      <c r="F232" s="7">
        <f t="shared" si="59"/>
        <v>55930</v>
      </c>
      <c r="G232" s="7">
        <f t="shared" si="59"/>
        <v>0</v>
      </c>
      <c r="H232" s="35">
        <f t="shared" si="46"/>
        <v>55930</v>
      </c>
      <c r="I232" s="7">
        <f t="shared" si="59"/>
        <v>0</v>
      </c>
      <c r="J232" s="35">
        <f t="shared" si="60"/>
        <v>55930</v>
      </c>
      <c r="K232" s="7">
        <f t="shared" si="59"/>
        <v>0</v>
      </c>
      <c r="L232" s="35">
        <f t="shared" si="57"/>
        <v>55930</v>
      </c>
      <c r="M232" s="7">
        <f t="shared" si="59"/>
        <v>0</v>
      </c>
      <c r="N232" s="35">
        <f t="shared" si="58"/>
        <v>55930</v>
      </c>
      <c r="O232" s="7">
        <f t="shared" si="59"/>
        <v>0</v>
      </c>
      <c r="P232" s="35">
        <f t="shared" si="54"/>
        <v>55930</v>
      </c>
      <c r="Q232" s="7">
        <f t="shared" si="59"/>
        <v>-2855.5</v>
      </c>
      <c r="R232" s="35">
        <f t="shared" si="55"/>
        <v>53074.5</v>
      </c>
      <c r="S232" s="7">
        <f t="shared" si="59"/>
        <v>-19270.8</v>
      </c>
      <c r="T232" s="35">
        <f t="shared" si="52"/>
        <v>33803.699999999997</v>
      </c>
    </row>
    <row r="233" spans="1:20" ht="35.25" customHeight="1">
      <c r="A233" s="61" t="str">
        <f t="shared" ca="1" si="61"/>
        <v>Социальные выплаты гражданам, кроме публичных нормативных социальных выплат</v>
      </c>
      <c r="B233" s="43" t="s">
        <v>433</v>
      </c>
      <c r="C233" s="8" t="s">
        <v>188</v>
      </c>
      <c r="D233" s="1" t="s">
        <v>216</v>
      </c>
      <c r="E233" s="104">
        <v>320</v>
      </c>
      <c r="F233" s="7">
        <f t="shared" si="59"/>
        <v>55930</v>
      </c>
      <c r="G233" s="7">
        <f t="shared" si="59"/>
        <v>0</v>
      </c>
      <c r="H233" s="35">
        <f t="shared" si="46"/>
        <v>55930</v>
      </c>
      <c r="I233" s="7">
        <f t="shared" si="59"/>
        <v>0</v>
      </c>
      <c r="J233" s="35">
        <f t="shared" si="60"/>
        <v>55930</v>
      </c>
      <c r="K233" s="7">
        <f t="shared" si="59"/>
        <v>0</v>
      </c>
      <c r="L233" s="35">
        <f t="shared" si="57"/>
        <v>55930</v>
      </c>
      <c r="M233" s="7">
        <f t="shared" si="59"/>
        <v>0</v>
      </c>
      <c r="N233" s="35">
        <f t="shared" si="58"/>
        <v>55930</v>
      </c>
      <c r="O233" s="7">
        <f t="shared" si="59"/>
        <v>0</v>
      </c>
      <c r="P233" s="35">
        <f t="shared" si="54"/>
        <v>55930</v>
      </c>
      <c r="Q233" s="7">
        <f t="shared" si="59"/>
        <v>-2855.5</v>
      </c>
      <c r="R233" s="35">
        <f t="shared" si="55"/>
        <v>53074.5</v>
      </c>
      <c r="S233" s="7">
        <f t="shared" si="59"/>
        <v>-19270.8</v>
      </c>
      <c r="T233" s="35">
        <f t="shared" si="52"/>
        <v>33803.699999999997</v>
      </c>
    </row>
    <row r="234" spans="1:20" ht="36" customHeight="1">
      <c r="A234" s="61" t="str">
        <f t="shared" ca="1" si="61"/>
        <v>Пособия, компенсации и иные социальные выплаты гражданам, кроме публичных нормативных обязательств</v>
      </c>
      <c r="B234" s="43" t="s">
        <v>433</v>
      </c>
      <c r="C234" s="8" t="s">
        <v>188</v>
      </c>
      <c r="D234" s="1" t="s">
        <v>216</v>
      </c>
      <c r="E234" s="104">
        <v>321</v>
      </c>
      <c r="F234" s="7">
        <f>прил.6!G858</f>
        <v>55930</v>
      </c>
      <c r="G234" s="7">
        <f>прил.6!H858</f>
        <v>0</v>
      </c>
      <c r="H234" s="35">
        <f t="shared" si="46"/>
        <v>55930</v>
      </c>
      <c r="I234" s="7">
        <f>прил.6!J858</f>
        <v>0</v>
      </c>
      <c r="J234" s="35">
        <f t="shared" si="60"/>
        <v>55930</v>
      </c>
      <c r="K234" s="7">
        <f>прил.6!L858</f>
        <v>0</v>
      </c>
      <c r="L234" s="35">
        <f t="shared" si="57"/>
        <v>55930</v>
      </c>
      <c r="M234" s="7">
        <f>прил.6!N858</f>
        <v>0</v>
      </c>
      <c r="N234" s="35">
        <f t="shared" si="58"/>
        <v>55930</v>
      </c>
      <c r="O234" s="7">
        <f>прил.6!P858</f>
        <v>0</v>
      </c>
      <c r="P234" s="35">
        <f t="shared" si="54"/>
        <v>55930</v>
      </c>
      <c r="Q234" s="7">
        <f>прил.6!R858</f>
        <v>-2855.5</v>
      </c>
      <c r="R234" s="35">
        <f t="shared" si="55"/>
        <v>53074.5</v>
      </c>
      <c r="S234" s="7">
        <f>прил.6!T858</f>
        <v>-19270.8</v>
      </c>
      <c r="T234" s="35">
        <f t="shared" si="52"/>
        <v>33803.699999999997</v>
      </c>
    </row>
    <row r="235" spans="1:20" ht="37.5" customHeight="1">
      <c r="A235" s="61" t="str">
        <f ca="1">IF(ISERROR(MATCH(B235,Код_КЦСР,0)),"",INDIRECT(ADDRESS(MATCH(B235,Код_КЦСР,0)+1,2,,,"КЦСР")))</f>
        <v>Муниципальная программа «Культура, традиции и народное творчество в городе Череповце» на 2013-2018 годы</v>
      </c>
      <c r="B235" s="43" t="s">
        <v>464</v>
      </c>
      <c r="C235" s="8"/>
      <c r="D235" s="1"/>
      <c r="E235" s="104"/>
      <c r="F235" s="7">
        <f>F236+F258+F301+F344+F380+F409+F428+F435+F454</f>
        <v>311891.39999999997</v>
      </c>
      <c r="G235" s="7">
        <f>G236+G258+G301+G344+G380+G409+G428+G435+G454</f>
        <v>0</v>
      </c>
      <c r="H235" s="35">
        <f t="shared" si="46"/>
        <v>311891.39999999997</v>
      </c>
      <c r="I235" s="7">
        <f>I236+I258+I301+I344+I380+I409+I428+I435+I454</f>
        <v>-512.79999999999995</v>
      </c>
      <c r="J235" s="35">
        <f t="shared" si="60"/>
        <v>311378.59999999998</v>
      </c>
      <c r="K235" s="7">
        <f>K236+K258+K301+K344+K380+K409+K428+K435+K454</f>
        <v>-237.10000000000002</v>
      </c>
      <c r="L235" s="35">
        <f t="shared" si="57"/>
        <v>311141.5</v>
      </c>
      <c r="M235" s="7">
        <f>M236+M258+M301+M344+M380+M409+M428+M435+M454</f>
        <v>0</v>
      </c>
      <c r="N235" s="35">
        <f t="shared" si="58"/>
        <v>311141.5</v>
      </c>
      <c r="O235" s="7">
        <f>O236+O258+O301+O344+O380+O409+O428+O435+O454</f>
        <v>140.19999999999999</v>
      </c>
      <c r="P235" s="35">
        <f t="shared" si="54"/>
        <v>311281.7</v>
      </c>
      <c r="Q235" s="7">
        <f>Q236+Q258+Q301+Q344+Q380+Q409+Q428+Q435+Q454</f>
        <v>24156.6</v>
      </c>
      <c r="R235" s="35">
        <f>P235+Q235</f>
        <v>335438.3</v>
      </c>
      <c r="S235" s="7">
        <f>S236+S258+S301+S344+S380+S409+S428+S435+S454</f>
        <v>74.999999999999773</v>
      </c>
      <c r="T235" s="35">
        <f t="shared" si="52"/>
        <v>335513.3</v>
      </c>
    </row>
    <row r="236" spans="1:20" ht="35.25" customHeight="1">
      <c r="A236" s="61" t="str">
        <f ca="1">IF(ISERROR(MATCH(B236,Код_КЦСР,0)),"",INDIRECT(ADDRESS(MATCH(B236,Код_КЦСР,0)+1,2,,,"КЦСР")))</f>
        <v>Сохранение, эффективное использование  и популяризация объектов культурного наследия</v>
      </c>
      <c r="B236" s="43" t="s">
        <v>466</v>
      </c>
      <c r="C236" s="8"/>
      <c r="D236" s="1"/>
      <c r="E236" s="104"/>
      <c r="F236" s="7">
        <f>F237+F246</f>
        <v>636.79999999999995</v>
      </c>
      <c r="G236" s="7">
        <f>G237+G246</f>
        <v>0</v>
      </c>
      <c r="H236" s="35">
        <f t="shared" si="46"/>
        <v>636.79999999999995</v>
      </c>
      <c r="I236" s="7">
        <f>I237+I246</f>
        <v>0</v>
      </c>
      <c r="J236" s="35">
        <f t="shared" si="60"/>
        <v>636.79999999999995</v>
      </c>
      <c r="K236" s="7">
        <f>K237+K246</f>
        <v>-0.3</v>
      </c>
      <c r="L236" s="35">
        <f t="shared" si="57"/>
        <v>636.5</v>
      </c>
      <c r="M236" s="7">
        <f>M237+M246</f>
        <v>0</v>
      </c>
      <c r="N236" s="35">
        <f t="shared" si="58"/>
        <v>636.5</v>
      </c>
      <c r="O236" s="7">
        <f>O237+O246</f>
        <v>0</v>
      </c>
      <c r="P236" s="35">
        <f t="shared" si="54"/>
        <v>636.5</v>
      </c>
      <c r="Q236" s="7">
        <f>Q237+Q246</f>
        <v>0</v>
      </c>
      <c r="R236" s="35">
        <f t="shared" si="55"/>
        <v>636.5</v>
      </c>
      <c r="S236" s="7">
        <f>S237+S246+S252</f>
        <v>194.3</v>
      </c>
      <c r="T236" s="35">
        <f t="shared" si="52"/>
        <v>830.8</v>
      </c>
    </row>
    <row r="237" spans="1:20" ht="22.5" customHeight="1">
      <c r="A237" s="61" t="str">
        <f ca="1">IF(ISERROR(MATCH(B237,Код_КЦСР,0)),"",INDIRECT(ADDRESS(MATCH(B237,Код_КЦСР,0)+1,2,,,"КЦСР")))</f>
        <v>Сохранение, ремонт и  реставрация объектов культурного наследия</v>
      </c>
      <c r="B237" s="43" t="s">
        <v>468</v>
      </c>
      <c r="C237" s="8"/>
      <c r="D237" s="1"/>
      <c r="E237" s="104"/>
      <c r="F237" s="7">
        <f t="shared" ref="F237:S244" si="62">F238</f>
        <v>536.79999999999995</v>
      </c>
      <c r="G237" s="7">
        <f t="shared" si="62"/>
        <v>0</v>
      </c>
      <c r="H237" s="35">
        <f t="shared" ref="H237:H321" si="63">F237+G237</f>
        <v>536.79999999999995</v>
      </c>
      <c r="I237" s="7">
        <f t="shared" si="62"/>
        <v>0</v>
      </c>
      <c r="J237" s="35">
        <f t="shared" si="60"/>
        <v>536.79999999999995</v>
      </c>
      <c r="K237" s="7">
        <f t="shared" si="62"/>
        <v>-0.3</v>
      </c>
      <c r="L237" s="35">
        <f t="shared" si="57"/>
        <v>536.5</v>
      </c>
      <c r="M237" s="7">
        <f t="shared" si="62"/>
        <v>0</v>
      </c>
      <c r="N237" s="35">
        <f t="shared" si="58"/>
        <v>536.5</v>
      </c>
      <c r="O237" s="7">
        <f t="shared" si="62"/>
        <v>0</v>
      </c>
      <c r="P237" s="35">
        <f t="shared" si="54"/>
        <v>536.5</v>
      </c>
      <c r="Q237" s="7">
        <f t="shared" si="62"/>
        <v>0</v>
      </c>
      <c r="R237" s="35">
        <f t="shared" si="55"/>
        <v>536.5</v>
      </c>
      <c r="S237" s="7">
        <f t="shared" si="62"/>
        <v>0</v>
      </c>
      <c r="T237" s="35">
        <f t="shared" si="52"/>
        <v>536.5</v>
      </c>
    </row>
    <row r="238" spans="1:20" ht="18.75" customHeight="1">
      <c r="A238" s="61" t="str">
        <f ca="1">IF(ISERROR(MATCH(C238,Код_Раздел,0)),"",INDIRECT(ADDRESS(MATCH(C238,Код_Раздел,0)+1,2,,,"Раздел")))</f>
        <v>Культура, кинематография</v>
      </c>
      <c r="B238" s="43" t="s">
        <v>468</v>
      </c>
      <c r="C238" s="8" t="s">
        <v>222</v>
      </c>
      <c r="D238" s="1"/>
      <c r="E238" s="104"/>
      <c r="F238" s="7">
        <f t="shared" si="62"/>
        <v>536.79999999999995</v>
      </c>
      <c r="G238" s="7">
        <f t="shared" si="62"/>
        <v>0</v>
      </c>
      <c r="H238" s="35">
        <f t="shared" si="63"/>
        <v>536.79999999999995</v>
      </c>
      <c r="I238" s="7">
        <f t="shared" si="62"/>
        <v>0</v>
      </c>
      <c r="J238" s="35">
        <f t="shared" si="60"/>
        <v>536.79999999999995</v>
      </c>
      <c r="K238" s="7">
        <f t="shared" si="62"/>
        <v>-0.3</v>
      </c>
      <c r="L238" s="35">
        <f t="shared" si="57"/>
        <v>536.5</v>
      </c>
      <c r="M238" s="7">
        <f t="shared" si="62"/>
        <v>0</v>
      </c>
      <c r="N238" s="35">
        <f t="shared" si="58"/>
        <v>536.5</v>
      </c>
      <c r="O238" s="7">
        <f t="shared" si="62"/>
        <v>0</v>
      </c>
      <c r="P238" s="35">
        <f t="shared" si="54"/>
        <v>536.5</v>
      </c>
      <c r="Q238" s="7">
        <f t="shared" si="62"/>
        <v>0</v>
      </c>
      <c r="R238" s="35">
        <f t="shared" si="55"/>
        <v>536.5</v>
      </c>
      <c r="S238" s="7">
        <f t="shared" si="62"/>
        <v>0</v>
      </c>
      <c r="T238" s="35">
        <f t="shared" si="52"/>
        <v>536.5</v>
      </c>
    </row>
    <row r="239" spans="1:20" ht="21" customHeight="1">
      <c r="A239" s="12" t="s">
        <v>184</v>
      </c>
      <c r="B239" s="43" t="s">
        <v>468</v>
      </c>
      <c r="C239" s="8" t="s">
        <v>222</v>
      </c>
      <c r="D239" s="1" t="s">
        <v>213</v>
      </c>
      <c r="E239" s="104"/>
      <c r="F239" s="7">
        <f>F243</f>
        <v>536.79999999999995</v>
      </c>
      <c r="G239" s="7">
        <f>G243</f>
        <v>0</v>
      </c>
      <c r="H239" s="35">
        <f t="shared" si="63"/>
        <v>536.79999999999995</v>
      </c>
      <c r="I239" s="7">
        <f>I243</f>
        <v>0</v>
      </c>
      <c r="J239" s="35">
        <f t="shared" si="60"/>
        <v>536.79999999999995</v>
      </c>
      <c r="K239" s="7">
        <f>K243+K240</f>
        <v>-0.3</v>
      </c>
      <c r="L239" s="35">
        <f t="shared" si="57"/>
        <v>536.5</v>
      </c>
      <c r="M239" s="7">
        <f>M243+M240</f>
        <v>0</v>
      </c>
      <c r="N239" s="35">
        <f t="shared" si="58"/>
        <v>536.5</v>
      </c>
      <c r="O239" s="7">
        <f>O243+O240</f>
        <v>0</v>
      </c>
      <c r="P239" s="35">
        <f t="shared" si="54"/>
        <v>536.5</v>
      </c>
      <c r="Q239" s="7">
        <f>Q243+Q240</f>
        <v>0</v>
      </c>
      <c r="R239" s="35">
        <f t="shared" si="55"/>
        <v>536.5</v>
      </c>
      <c r="S239" s="7">
        <f>S243+S240</f>
        <v>0</v>
      </c>
      <c r="T239" s="35">
        <f t="shared" si="52"/>
        <v>536.5</v>
      </c>
    </row>
    <row r="240" spans="1:20" ht="21" hidden="1" customHeight="1">
      <c r="A240" s="61" t="str">
        <f t="shared" ref="A240:A245" ca="1" si="64">IF(ISERROR(MATCH(E240,Код_КВР,0)),"",INDIRECT(ADDRESS(MATCH(E240,Код_КВР,0)+1,2,,,"КВР")))</f>
        <v>Закупка товаров, работ и услуг для муниципальных нужд</v>
      </c>
      <c r="B240" s="43" t="s">
        <v>468</v>
      </c>
      <c r="C240" s="8" t="s">
        <v>222</v>
      </c>
      <c r="D240" s="1" t="s">
        <v>213</v>
      </c>
      <c r="E240" s="104">
        <v>200</v>
      </c>
      <c r="F240" s="7"/>
      <c r="G240" s="7"/>
      <c r="H240" s="35"/>
      <c r="I240" s="7"/>
      <c r="J240" s="35"/>
      <c r="K240" s="7">
        <f>K241</f>
        <v>0</v>
      </c>
      <c r="L240" s="35">
        <f t="shared" si="57"/>
        <v>0</v>
      </c>
      <c r="M240" s="7">
        <f>M241</f>
        <v>0</v>
      </c>
      <c r="N240" s="35">
        <f t="shared" si="58"/>
        <v>0</v>
      </c>
      <c r="O240" s="7">
        <f>O241</f>
        <v>0</v>
      </c>
      <c r="P240" s="35">
        <f t="shared" si="54"/>
        <v>0</v>
      </c>
      <c r="Q240" s="7">
        <f>Q241</f>
        <v>0</v>
      </c>
      <c r="R240" s="35">
        <f t="shared" si="55"/>
        <v>0</v>
      </c>
      <c r="S240" s="7">
        <f>S241</f>
        <v>0</v>
      </c>
      <c r="T240" s="35">
        <f t="shared" si="52"/>
        <v>0</v>
      </c>
    </row>
    <row r="241" spans="1:20" ht="21" hidden="1" customHeight="1">
      <c r="A241" s="61" t="str">
        <f t="shared" ca="1" si="64"/>
        <v>Иные закупки товаров, работ и услуг для обеспечения муниципальных нужд</v>
      </c>
      <c r="B241" s="43" t="s">
        <v>468</v>
      </c>
      <c r="C241" s="8" t="s">
        <v>222</v>
      </c>
      <c r="D241" s="1" t="s">
        <v>213</v>
      </c>
      <c r="E241" s="104">
        <v>240</v>
      </c>
      <c r="F241" s="7"/>
      <c r="G241" s="7"/>
      <c r="H241" s="35"/>
      <c r="I241" s="7"/>
      <c r="J241" s="35"/>
      <c r="K241" s="7">
        <f>K242</f>
        <v>0</v>
      </c>
      <c r="L241" s="35">
        <f t="shared" si="57"/>
        <v>0</v>
      </c>
      <c r="M241" s="7">
        <f>M242</f>
        <v>0</v>
      </c>
      <c r="N241" s="35">
        <f t="shared" si="58"/>
        <v>0</v>
      </c>
      <c r="O241" s="7">
        <f>O242</f>
        <v>0</v>
      </c>
      <c r="P241" s="35">
        <f t="shared" si="54"/>
        <v>0</v>
      </c>
      <c r="Q241" s="7">
        <f>Q242</f>
        <v>0</v>
      </c>
      <c r="R241" s="35">
        <f t="shared" si="55"/>
        <v>0</v>
      </c>
      <c r="S241" s="7">
        <f>S242</f>
        <v>0</v>
      </c>
      <c r="T241" s="35">
        <f t="shared" si="52"/>
        <v>0</v>
      </c>
    </row>
    <row r="242" spans="1:20" ht="21" hidden="1" customHeight="1">
      <c r="A242" s="61" t="str">
        <f t="shared" ca="1" si="64"/>
        <v>Научно-исследовательские и опытно-конструкторские работы</v>
      </c>
      <c r="B242" s="43" t="s">
        <v>468</v>
      </c>
      <c r="C242" s="8" t="s">
        <v>222</v>
      </c>
      <c r="D242" s="1" t="s">
        <v>213</v>
      </c>
      <c r="E242" s="104">
        <v>241</v>
      </c>
      <c r="F242" s="7"/>
      <c r="G242" s="7"/>
      <c r="H242" s="35"/>
      <c r="I242" s="7"/>
      <c r="J242" s="35"/>
      <c r="K242" s="7">
        <f>прил.6!L973</f>
        <v>0</v>
      </c>
      <c r="L242" s="35">
        <f t="shared" si="57"/>
        <v>0</v>
      </c>
      <c r="M242" s="7">
        <f>прил.6!N973</f>
        <v>0</v>
      </c>
      <c r="N242" s="35">
        <f t="shared" si="58"/>
        <v>0</v>
      </c>
      <c r="O242" s="7">
        <f>прил.6!P973</f>
        <v>0</v>
      </c>
      <c r="P242" s="35">
        <f t="shared" si="54"/>
        <v>0</v>
      </c>
      <c r="Q242" s="7">
        <f>прил.6!R973</f>
        <v>0</v>
      </c>
      <c r="R242" s="35">
        <f t="shared" si="55"/>
        <v>0</v>
      </c>
      <c r="S242" s="7">
        <f>прил.6!T973</f>
        <v>0</v>
      </c>
      <c r="T242" s="35">
        <f t="shared" si="52"/>
        <v>0</v>
      </c>
    </row>
    <row r="243" spans="1:20" ht="33">
      <c r="A243" s="61" t="str">
        <f t="shared" ca="1" si="64"/>
        <v>Предоставление субсидий бюджетным, автономным учреждениям и иным некоммерческим организациям</v>
      </c>
      <c r="B243" s="43" t="s">
        <v>468</v>
      </c>
      <c r="C243" s="8" t="s">
        <v>222</v>
      </c>
      <c r="D243" s="1" t="s">
        <v>213</v>
      </c>
      <c r="E243" s="104">
        <v>600</v>
      </c>
      <c r="F243" s="7">
        <f t="shared" si="62"/>
        <v>536.79999999999995</v>
      </c>
      <c r="G243" s="7">
        <f t="shared" si="62"/>
        <v>0</v>
      </c>
      <c r="H243" s="35">
        <f t="shared" si="63"/>
        <v>536.79999999999995</v>
      </c>
      <c r="I243" s="7">
        <f t="shared" si="62"/>
        <v>0</v>
      </c>
      <c r="J243" s="35">
        <f t="shared" si="60"/>
        <v>536.79999999999995</v>
      </c>
      <c r="K243" s="7">
        <f t="shared" si="62"/>
        <v>-0.3</v>
      </c>
      <c r="L243" s="35">
        <f t="shared" si="57"/>
        <v>536.5</v>
      </c>
      <c r="M243" s="7">
        <f t="shared" si="62"/>
        <v>0</v>
      </c>
      <c r="N243" s="35">
        <f t="shared" si="58"/>
        <v>536.5</v>
      </c>
      <c r="O243" s="7">
        <f t="shared" si="62"/>
        <v>0</v>
      </c>
      <c r="P243" s="35">
        <f t="shared" si="54"/>
        <v>536.5</v>
      </c>
      <c r="Q243" s="7">
        <f t="shared" si="62"/>
        <v>0</v>
      </c>
      <c r="R243" s="35">
        <f t="shared" si="55"/>
        <v>536.5</v>
      </c>
      <c r="S243" s="7">
        <f t="shared" si="62"/>
        <v>0</v>
      </c>
      <c r="T243" s="35">
        <f t="shared" si="52"/>
        <v>536.5</v>
      </c>
    </row>
    <row r="244" spans="1:20">
      <c r="A244" s="61" t="str">
        <f t="shared" ca="1" si="64"/>
        <v>Субсидии бюджетным учреждениям</v>
      </c>
      <c r="B244" s="43" t="s">
        <v>468</v>
      </c>
      <c r="C244" s="8" t="s">
        <v>222</v>
      </c>
      <c r="D244" s="1" t="s">
        <v>213</v>
      </c>
      <c r="E244" s="104">
        <v>610</v>
      </c>
      <c r="F244" s="7">
        <f t="shared" si="62"/>
        <v>536.79999999999995</v>
      </c>
      <c r="G244" s="7">
        <f t="shared" si="62"/>
        <v>0</v>
      </c>
      <c r="H244" s="35">
        <f t="shared" si="63"/>
        <v>536.79999999999995</v>
      </c>
      <c r="I244" s="7">
        <f t="shared" si="62"/>
        <v>0</v>
      </c>
      <c r="J244" s="35">
        <f t="shared" si="60"/>
        <v>536.79999999999995</v>
      </c>
      <c r="K244" s="7">
        <f t="shared" si="62"/>
        <v>-0.3</v>
      </c>
      <c r="L244" s="35">
        <f t="shared" si="57"/>
        <v>536.5</v>
      </c>
      <c r="M244" s="7">
        <f t="shared" si="62"/>
        <v>0</v>
      </c>
      <c r="N244" s="35">
        <f t="shared" si="58"/>
        <v>536.5</v>
      </c>
      <c r="O244" s="7">
        <f t="shared" si="62"/>
        <v>0</v>
      </c>
      <c r="P244" s="35">
        <f t="shared" si="54"/>
        <v>536.5</v>
      </c>
      <c r="Q244" s="7">
        <f t="shared" si="62"/>
        <v>0</v>
      </c>
      <c r="R244" s="35">
        <f t="shared" si="55"/>
        <v>536.5</v>
      </c>
      <c r="S244" s="7">
        <f t="shared" si="62"/>
        <v>0</v>
      </c>
      <c r="T244" s="35">
        <f t="shared" si="52"/>
        <v>536.5</v>
      </c>
    </row>
    <row r="245" spans="1:20" ht="49.5">
      <c r="A245" s="61" t="str">
        <f t="shared" ca="1" si="64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45" s="43" t="s">
        <v>468</v>
      </c>
      <c r="C245" s="8" t="s">
        <v>222</v>
      </c>
      <c r="D245" s="1" t="s">
        <v>213</v>
      </c>
      <c r="E245" s="104">
        <v>611</v>
      </c>
      <c r="F245" s="7">
        <f>прил.6!G976</f>
        <v>536.79999999999995</v>
      </c>
      <c r="G245" s="7">
        <f>прил.6!H976</f>
        <v>0</v>
      </c>
      <c r="H245" s="35">
        <f t="shared" si="63"/>
        <v>536.79999999999995</v>
      </c>
      <c r="I245" s="7">
        <f>прил.6!J976</f>
        <v>0</v>
      </c>
      <c r="J245" s="35">
        <f t="shared" si="60"/>
        <v>536.79999999999995</v>
      </c>
      <c r="K245" s="7">
        <f>прил.6!L976</f>
        <v>-0.3</v>
      </c>
      <c r="L245" s="35">
        <f t="shared" si="57"/>
        <v>536.5</v>
      </c>
      <c r="M245" s="7">
        <f>прил.6!N976</f>
        <v>0</v>
      </c>
      <c r="N245" s="35">
        <f t="shared" si="58"/>
        <v>536.5</v>
      </c>
      <c r="O245" s="7">
        <f>прил.6!P976</f>
        <v>0</v>
      </c>
      <c r="P245" s="35">
        <f t="shared" si="54"/>
        <v>536.5</v>
      </c>
      <c r="Q245" s="7">
        <f>прил.6!R976</f>
        <v>0</v>
      </c>
      <c r="R245" s="35">
        <f t="shared" si="55"/>
        <v>536.5</v>
      </c>
      <c r="S245" s="7">
        <f>прил.6!T976</f>
        <v>0</v>
      </c>
      <c r="T245" s="35">
        <f t="shared" si="52"/>
        <v>536.5</v>
      </c>
    </row>
    <row r="246" spans="1:20" ht="66">
      <c r="A246" s="61" t="str">
        <f ca="1">IF(ISERROR(MATCH(B246,Код_КЦСР,0)),"",INDIRECT(ADDRESS(MATCH(B246,Код_КЦСР,0)+1,2,,,"КЦСР")))</f>
        <v>Ведомственная целевая программа «Отрасль «Культура города Череповца» (2012-2014 годы) (Организация мероприятий по ремонту, реставрации и эффективному использованию  объектов культурного наследия)</v>
      </c>
      <c r="B246" s="43" t="s">
        <v>470</v>
      </c>
      <c r="C246" s="8"/>
      <c r="D246" s="1"/>
      <c r="E246" s="104"/>
      <c r="F246" s="7">
        <f t="shared" ref="F246:S250" si="65">F247</f>
        <v>100</v>
      </c>
      <c r="G246" s="7">
        <f t="shared" si="65"/>
        <v>0</v>
      </c>
      <c r="H246" s="35">
        <f t="shared" si="63"/>
        <v>100</v>
      </c>
      <c r="I246" s="7">
        <f t="shared" si="65"/>
        <v>0</v>
      </c>
      <c r="J246" s="35">
        <f t="shared" si="60"/>
        <v>100</v>
      </c>
      <c r="K246" s="7">
        <f t="shared" si="65"/>
        <v>0</v>
      </c>
      <c r="L246" s="35">
        <f t="shared" si="57"/>
        <v>100</v>
      </c>
      <c r="M246" s="7">
        <f t="shared" si="65"/>
        <v>0</v>
      </c>
      <c r="N246" s="35">
        <f t="shared" si="58"/>
        <v>100</v>
      </c>
      <c r="O246" s="7">
        <f t="shared" si="65"/>
        <v>0</v>
      </c>
      <c r="P246" s="35">
        <f t="shared" si="54"/>
        <v>100</v>
      </c>
      <c r="Q246" s="7">
        <f t="shared" si="65"/>
        <v>0</v>
      </c>
      <c r="R246" s="35">
        <f t="shared" si="55"/>
        <v>100</v>
      </c>
      <c r="S246" s="7">
        <f t="shared" si="65"/>
        <v>0</v>
      </c>
      <c r="T246" s="35">
        <f t="shared" si="52"/>
        <v>100</v>
      </c>
    </row>
    <row r="247" spans="1:20">
      <c r="A247" s="61" t="str">
        <f ca="1">IF(ISERROR(MATCH(C247,Код_Раздел,0)),"",INDIRECT(ADDRESS(MATCH(C247,Код_Раздел,0)+1,2,,,"Раздел")))</f>
        <v>Культура, кинематография</v>
      </c>
      <c r="B247" s="43" t="s">
        <v>470</v>
      </c>
      <c r="C247" s="8" t="s">
        <v>222</v>
      </c>
      <c r="D247" s="1"/>
      <c r="E247" s="104"/>
      <c r="F247" s="7">
        <f t="shared" si="65"/>
        <v>100</v>
      </c>
      <c r="G247" s="7">
        <f t="shared" si="65"/>
        <v>0</v>
      </c>
      <c r="H247" s="35">
        <f t="shared" si="63"/>
        <v>100</v>
      </c>
      <c r="I247" s="7">
        <f t="shared" si="65"/>
        <v>0</v>
      </c>
      <c r="J247" s="35">
        <f t="shared" si="60"/>
        <v>100</v>
      </c>
      <c r="K247" s="7">
        <f t="shared" si="65"/>
        <v>0</v>
      </c>
      <c r="L247" s="35">
        <f t="shared" si="57"/>
        <v>100</v>
      </c>
      <c r="M247" s="7">
        <f t="shared" si="65"/>
        <v>0</v>
      </c>
      <c r="N247" s="35">
        <f t="shared" si="58"/>
        <v>100</v>
      </c>
      <c r="O247" s="7">
        <f t="shared" si="65"/>
        <v>0</v>
      </c>
      <c r="P247" s="35">
        <f t="shared" si="54"/>
        <v>100</v>
      </c>
      <c r="Q247" s="7">
        <f t="shared" si="65"/>
        <v>0</v>
      </c>
      <c r="R247" s="35">
        <f t="shared" si="55"/>
        <v>100</v>
      </c>
      <c r="S247" s="7">
        <f t="shared" si="65"/>
        <v>0</v>
      </c>
      <c r="T247" s="35">
        <f t="shared" si="52"/>
        <v>100</v>
      </c>
    </row>
    <row r="248" spans="1:20">
      <c r="A248" s="12" t="s">
        <v>163</v>
      </c>
      <c r="B248" s="43" t="s">
        <v>470</v>
      </c>
      <c r="C248" s="8" t="s">
        <v>222</v>
      </c>
      <c r="D248" s="1" t="s">
        <v>216</v>
      </c>
      <c r="E248" s="104"/>
      <c r="F248" s="7">
        <f t="shared" si="65"/>
        <v>100</v>
      </c>
      <c r="G248" s="7">
        <f t="shared" si="65"/>
        <v>0</v>
      </c>
      <c r="H248" s="35">
        <f t="shared" si="63"/>
        <v>100</v>
      </c>
      <c r="I248" s="7">
        <f t="shared" si="65"/>
        <v>0</v>
      </c>
      <c r="J248" s="35">
        <f t="shared" si="60"/>
        <v>100</v>
      </c>
      <c r="K248" s="7">
        <f t="shared" si="65"/>
        <v>0</v>
      </c>
      <c r="L248" s="35">
        <f t="shared" si="57"/>
        <v>100</v>
      </c>
      <c r="M248" s="7">
        <f t="shared" si="65"/>
        <v>0</v>
      </c>
      <c r="N248" s="35">
        <f t="shared" si="58"/>
        <v>100</v>
      </c>
      <c r="O248" s="7">
        <f t="shared" si="65"/>
        <v>0</v>
      </c>
      <c r="P248" s="35">
        <f t="shared" si="54"/>
        <v>100</v>
      </c>
      <c r="Q248" s="7">
        <f t="shared" si="65"/>
        <v>0</v>
      </c>
      <c r="R248" s="35">
        <f t="shared" si="55"/>
        <v>100</v>
      </c>
      <c r="S248" s="7">
        <f t="shared" si="65"/>
        <v>0</v>
      </c>
      <c r="T248" s="35">
        <f t="shared" si="52"/>
        <v>100</v>
      </c>
    </row>
    <row r="249" spans="1:20" ht="33">
      <c r="A249" s="61" t="str">
        <f ca="1">IF(ISERROR(MATCH(E249,Код_КВР,0)),"",INDIRECT(ADDRESS(MATCH(E249,Код_КВР,0)+1,2,,,"КВР")))</f>
        <v>Предоставление субсидий бюджетным, автономным учреждениям и иным некоммерческим организациям</v>
      </c>
      <c r="B249" s="43" t="s">
        <v>470</v>
      </c>
      <c r="C249" s="8" t="s">
        <v>222</v>
      </c>
      <c r="D249" s="1" t="s">
        <v>216</v>
      </c>
      <c r="E249" s="104">
        <v>600</v>
      </c>
      <c r="F249" s="7">
        <f t="shared" si="65"/>
        <v>100</v>
      </c>
      <c r="G249" s="7">
        <f t="shared" si="65"/>
        <v>0</v>
      </c>
      <c r="H249" s="35">
        <f t="shared" si="63"/>
        <v>100</v>
      </c>
      <c r="I249" s="7">
        <f t="shared" si="65"/>
        <v>0</v>
      </c>
      <c r="J249" s="35">
        <f t="shared" si="60"/>
        <v>100</v>
      </c>
      <c r="K249" s="7">
        <f t="shared" si="65"/>
        <v>0</v>
      </c>
      <c r="L249" s="35">
        <f t="shared" si="57"/>
        <v>100</v>
      </c>
      <c r="M249" s="7">
        <f t="shared" si="65"/>
        <v>0</v>
      </c>
      <c r="N249" s="35">
        <f t="shared" si="58"/>
        <v>100</v>
      </c>
      <c r="O249" s="7">
        <f t="shared" si="65"/>
        <v>0</v>
      </c>
      <c r="P249" s="35">
        <f t="shared" si="54"/>
        <v>100</v>
      </c>
      <c r="Q249" s="7">
        <f t="shared" si="65"/>
        <v>0</v>
      </c>
      <c r="R249" s="35">
        <f t="shared" si="55"/>
        <v>100</v>
      </c>
      <c r="S249" s="7">
        <f t="shared" si="65"/>
        <v>0</v>
      </c>
      <c r="T249" s="35">
        <f t="shared" si="52"/>
        <v>100</v>
      </c>
    </row>
    <row r="250" spans="1:20">
      <c r="A250" s="61" t="str">
        <f ca="1">IF(ISERROR(MATCH(E250,Код_КВР,0)),"",INDIRECT(ADDRESS(MATCH(E250,Код_КВР,0)+1,2,,,"КВР")))</f>
        <v>Субсидии бюджетным учреждениям</v>
      </c>
      <c r="B250" s="43" t="s">
        <v>470</v>
      </c>
      <c r="C250" s="8" t="s">
        <v>222</v>
      </c>
      <c r="D250" s="1" t="s">
        <v>216</v>
      </c>
      <c r="E250" s="104">
        <v>610</v>
      </c>
      <c r="F250" s="7">
        <f t="shared" si="65"/>
        <v>100</v>
      </c>
      <c r="G250" s="7">
        <f t="shared" si="65"/>
        <v>0</v>
      </c>
      <c r="H250" s="35">
        <f t="shared" si="63"/>
        <v>100</v>
      </c>
      <c r="I250" s="7">
        <f t="shared" si="65"/>
        <v>0</v>
      </c>
      <c r="J250" s="35">
        <f t="shared" si="60"/>
        <v>100</v>
      </c>
      <c r="K250" s="7">
        <f t="shared" si="65"/>
        <v>0</v>
      </c>
      <c r="L250" s="35">
        <f t="shared" si="57"/>
        <v>100</v>
      </c>
      <c r="M250" s="7">
        <f t="shared" si="65"/>
        <v>0</v>
      </c>
      <c r="N250" s="35">
        <f t="shared" si="58"/>
        <v>100</v>
      </c>
      <c r="O250" s="7">
        <f t="shared" si="65"/>
        <v>0</v>
      </c>
      <c r="P250" s="35">
        <f t="shared" si="54"/>
        <v>100</v>
      </c>
      <c r="Q250" s="7">
        <f t="shared" si="65"/>
        <v>0</v>
      </c>
      <c r="R250" s="35">
        <f t="shared" si="55"/>
        <v>100</v>
      </c>
      <c r="S250" s="7">
        <f t="shared" si="65"/>
        <v>0</v>
      </c>
      <c r="T250" s="35">
        <f t="shared" si="52"/>
        <v>100</v>
      </c>
    </row>
    <row r="251" spans="1:20">
      <c r="A251" s="61" t="str">
        <f ca="1">IF(ISERROR(MATCH(E251,Код_КВР,0)),"",INDIRECT(ADDRESS(MATCH(E251,Код_КВР,0)+1,2,,,"КВР")))</f>
        <v>Субсидии бюджетным учреждениям на иные цели</v>
      </c>
      <c r="B251" s="43" t="s">
        <v>470</v>
      </c>
      <c r="C251" s="8" t="s">
        <v>222</v>
      </c>
      <c r="D251" s="1" t="s">
        <v>216</v>
      </c>
      <c r="E251" s="104">
        <v>612</v>
      </c>
      <c r="F251" s="7">
        <f>прил.6!G1065</f>
        <v>100</v>
      </c>
      <c r="G251" s="7">
        <f>прил.6!H1065</f>
        <v>0</v>
      </c>
      <c r="H251" s="35">
        <f t="shared" si="63"/>
        <v>100</v>
      </c>
      <c r="I251" s="7">
        <f>прил.6!J1065</f>
        <v>0</v>
      </c>
      <c r="J251" s="35">
        <f t="shared" si="60"/>
        <v>100</v>
      </c>
      <c r="K251" s="7">
        <f>прил.6!L1065</f>
        <v>0</v>
      </c>
      <c r="L251" s="35">
        <f t="shared" si="57"/>
        <v>100</v>
      </c>
      <c r="M251" s="7">
        <f>прил.6!N1065</f>
        <v>0</v>
      </c>
      <c r="N251" s="35">
        <f t="shared" si="58"/>
        <v>100</v>
      </c>
      <c r="O251" s="7">
        <f>прил.6!P1065</f>
        <v>0</v>
      </c>
      <c r="P251" s="35">
        <f t="shared" si="54"/>
        <v>100</v>
      </c>
      <c r="Q251" s="7">
        <f>прил.6!R1065</f>
        <v>0</v>
      </c>
      <c r="R251" s="35">
        <f t="shared" si="55"/>
        <v>100</v>
      </c>
      <c r="S251" s="7">
        <f>прил.6!T1065</f>
        <v>0</v>
      </c>
      <c r="T251" s="35">
        <f t="shared" si="52"/>
        <v>100</v>
      </c>
    </row>
    <row r="252" spans="1:20" ht="49.5">
      <c r="A252" s="61" t="str">
        <f ca="1">IF(ISERROR(MATCH(B252,Код_КЦСР,0)),"",INDIRECT(ADDRESS(MATCH(B252,Код_КЦСР,0)+1,2,,,"КЦСР")))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252" s="43" t="s">
        <v>669</v>
      </c>
      <c r="C252" s="8"/>
      <c r="D252" s="1"/>
      <c r="E252" s="136"/>
      <c r="F252" s="7"/>
      <c r="G252" s="7"/>
      <c r="H252" s="35"/>
      <c r="I252" s="7"/>
      <c r="J252" s="35"/>
      <c r="K252" s="7"/>
      <c r="L252" s="35"/>
      <c r="M252" s="7"/>
      <c r="N252" s="35"/>
      <c r="O252" s="7"/>
      <c r="P252" s="35"/>
      <c r="Q252" s="7"/>
      <c r="R252" s="35"/>
      <c r="S252" s="7">
        <f>S253</f>
        <v>194.3</v>
      </c>
      <c r="T252" s="35">
        <f t="shared" si="52"/>
        <v>194.3</v>
      </c>
    </row>
    <row r="253" spans="1:20">
      <c r="A253" s="61" t="str">
        <f ca="1">IF(ISERROR(MATCH(C253,Код_Раздел,0)),"",INDIRECT(ADDRESS(MATCH(C253,Код_Раздел,0)+1,2,,,"Раздел")))</f>
        <v>Культура, кинематография</v>
      </c>
      <c r="B253" s="43" t="s">
        <v>669</v>
      </c>
      <c r="C253" s="8" t="s">
        <v>222</v>
      </c>
      <c r="D253" s="1"/>
      <c r="E253" s="136"/>
      <c r="F253" s="7"/>
      <c r="G253" s="7"/>
      <c r="H253" s="35"/>
      <c r="I253" s="7"/>
      <c r="J253" s="35"/>
      <c r="K253" s="7"/>
      <c r="L253" s="35"/>
      <c r="M253" s="7"/>
      <c r="N253" s="35"/>
      <c r="O253" s="7"/>
      <c r="P253" s="35"/>
      <c r="Q253" s="7"/>
      <c r="R253" s="35"/>
      <c r="S253" s="7">
        <f>S254</f>
        <v>194.3</v>
      </c>
      <c r="T253" s="35">
        <f t="shared" si="52"/>
        <v>194.3</v>
      </c>
    </row>
    <row r="254" spans="1:20">
      <c r="A254" s="12" t="s">
        <v>184</v>
      </c>
      <c r="B254" s="43" t="s">
        <v>669</v>
      </c>
      <c r="C254" s="8" t="s">
        <v>222</v>
      </c>
      <c r="D254" s="1" t="s">
        <v>213</v>
      </c>
      <c r="E254" s="136"/>
      <c r="F254" s="7"/>
      <c r="G254" s="7"/>
      <c r="H254" s="35"/>
      <c r="I254" s="7"/>
      <c r="J254" s="35"/>
      <c r="K254" s="7"/>
      <c r="L254" s="35"/>
      <c r="M254" s="7"/>
      <c r="N254" s="35"/>
      <c r="O254" s="7"/>
      <c r="P254" s="35"/>
      <c r="Q254" s="7"/>
      <c r="R254" s="35"/>
      <c r="S254" s="7">
        <f>прил.6!T977</f>
        <v>194.3</v>
      </c>
      <c r="T254" s="35">
        <f t="shared" si="52"/>
        <v>194.3</v>
      </c>
    </row>
    <row r="255" spans="1:20" ht="33">
      <c r="A255" s="61" t="str">
        <f ca="1">IF(ISERROR(MATCH(E255,Код_КВР,0)),"",INDIRECT(ADDRESS(MATCH(E255,Код_КВР,0)+1,2,,,"КВР")))</f>
        <v>Предоставление субсидий бюджетным, автономным учреждениям и иным некоммерческим организациям</v>
      </c>
      <c r="B255" s="43" t="s">
        <v>669</v>
      </c>
      <c r="C255" s="8" t="s">
        <v>222</v>
      </c>
      <c r="D255" s="1" t="s">
        <v>213</v>
      </c>
      <c r="E255" s="136">
        <v>600</v>
      </c>
      <c r="F255" s="7"/>
      <c r="G255" s="7"/>
      <c r="H255" s="35"/>
      <c r="I255" s="7"/>
      <c r="J255" s="35"/>
      <c r="K255" s="7"/>
      <c r="L255" s="35"/>
      <c r="M255" s="7"/>
      <c r="N255" s="35"/>
      <c r="O255" s="7"/>
      <c r="P255" s="35"/>
      <c r="Q255" s="7"/>
      <c r="R255" s="35"/>
      <c r="S255" s="7">
        <f>прил.6!T978</f>
        <v>194.3</v>
      </c>
      <c r="T255" s="35">
        <f t="shared" si="52"/>
        <v>194.3</v>
      </c>
    </row>
    <row r="256" spans="1:20">
      <c r="A256" s="61" t="str">
        <f ca="1">IF(ISERROR(MATCH(E256,Код_КВР,0)),"",INDIRECT(ADDRESS(MATCH(E256,Код_КВР,0)+1,2,,,"КВР")))</f>
        <v>Субсидии бюджетным учреждениям</v>
      </c>
      <c r="B256" s="43" t="s">
        <v>669</v>
      </c>
      <c r="C256" s="8" t="s">
        <v>222</v>
      </c>
      <c r="D256" s="1" t="s">
        <v>213</v>
      </c>
      <c r="E256" s="136">
        <v>610</v>
      </c>
      <c r="F256" s="7"/>
      <c r="G256" s="7"/>
      <c r="H256" s="35"/>
      <c r="I256" s="7"/>
      <c r="J256" s="35"/>
      <c r="K256" s="7"/>
      <c r="L256" s="35"/>
      <c r="M256" s="7"/>
      <c r="N256" s="35"/>
      <c r="O256" s="7"/>
      <c r="P256" s="35"/>
      <c r="Q256" s="7"/>
      <c r="R256" s="35"/>
      <c r="S256" s="7">
        <f>прил.6!T979</f>
        <v>194.3</v>
      </c>
      <c r="T256" s="35">
        <f t="shared" si="52"/>
        <v>194.3</v>
      </c>
    </row>
    <row r="257" spans="1:20" ht="49.5">
      <c r="A257" s="61" t="str">
        <f ca="1">IF(ISERROR(MATCH(E257,Код_КВР,0)),"",INDIRECT(ADDRESS(MATCH(E257,Код_КВР,0)+1,2,,,"КВР")))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57" s="43" t="s">
        <v>669</v>
      </c>
      <c r="C257" s="8" t="s">
        <v>222</v>
      </c>
      <c r="D257" s="1" t="s">
        <v>213</v>
      </c>
      <c r="E257" s="136">
        <v>611</v>
      </c>
      <c r="F257" s="7"/>
      <c r="G257" s="7"/>
      <c r="H257" s="35"/>
      <c r="I257" s="7"/>
      <c r="J257" s="35"/>
      <c r="K257" s="7"/>
      <c r="L257" s="35"/>
      <c r="M257" s="7"/>
      <c r="N257" s="35"/>
      <c r="O257" s="7"/>
      <c r="P257" s="35"/>
      <c r="Q257" s="7"/>
      <c r="R257" s="35"/>
      <c r="S257" s="7">
        <f>прил.6!T980</f>
        <v>194.3</v>
      </c>
      <c r="T257" s="35">
        <f t="shared" si="52"/>
        <v>194.3</v>
      </c>
    </row>
    <row r="258" spans="1:20">
      <c r="A258" s="61" t="str">
        <f ca="1">IF(ISERROR(MATCH(B258,Код_КЦСР,0)),"",INDIRECT(ADDRESS(MATCH(B258,Код_КЦСР,0)+1,2,,,"КЦСР")))</f>
        <v>Развитие музейного дела</v>
      </c>
      <c r="B258" s="43" t="s">
        <v>471</v>
      </c>
      <c r="C258" s="8"/>
      <c r="D258" s="1"/>
      <c r="E258" s="104"/>
      <c r="F258" s="7">
        <f>F259+F265+F271+F277+F283</f>
        <v>45009.200000000004</v>
      </c>
      <c r="G258" s="7">
        <f>G259+G265+G271+G277+G283</f>
        <v>0</v>
      </c>
      <c r="H258" s="35">
        <f t="shared" si="63"/>
        <v>45009.200000000004</v>
      </c>
      <c r="I258" s="7">
        <f>I259+I265+I271+I277+I283</f>
        <v>0</v>
      </c>
      <c r="J258" s="35">
        <f t="shared" si="60"/>
        <v>45009.200000000004</v>
      </c>
      <c r="K258" s="7">
        <f>K259+K265+K271+K277+K283</f>
        <v>-26.4</v>
      </c>
      <c r="L258" s="35">
        <f t="shared" si="57"/>
        <v>44982.8</v>
      </c>
      <c r="M258" s="7">
        <f>M259+M265+M271+M277+M283</f>
        <v>0</v>
      </c>
      <c r="N258" s="35">
        <f t="shared" si="58"/>
        <v>44982.8</v>
      </c>
      <c r="O258" s="7">
        <f>O259+O265+O271+O277+O283</f>
        <v>0</v>
      </c>
      <c r="P258" s="35">
        <f t="shared" si="54"/>
        <v>44982.8</v>
      </c>
      <c r="Q258" s="7">
        <f>Q259+Q265+Q271+Q277+Q283+Q295+Q289</f>
        <v>15723.099999999999</v>
      </c>
      <c r="R258" s="35">
        <f t="shared" si="55"/>
        <v>60705.9</v>
      </c>
      <c r="S258" s="7">
        <f>S259+S265+S271+S277+S283+S295+S289</f>
        <v>-680</v>
      </c>
      <c r="T258" s="35">
        <f t="shared" si="52"/>
        <v>60025.9</v>
      </c>
    </row>
    <row r="259" spans="1:20" ht="86.25" customHeight="1">
      <c r="A259" s="61" t="str">
        <f ca="1">IF(ISERROR(MATCH(B259,Код_КЦСР,0)),"",INDIRECT(ADDRESS(MATCH(B259,Код_КЦСР,0)+1,2,,,"КЦСР")))</f>
        <v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 и памятными датами, событиями  мировой и отечественной культуры)</v>
      </c>
      <c r="B259" s="43" t="s">
        <v>472</v>
      </c>
      <c r="C259" s="8"/>
      <c r="D259" s="1"/>
      <c r="E259" s="104"/>
      <c r="F259" s="7">
        <f t="shared" ref="F259:S263" si="66">F260</f>
        <v>270</v>
      </c>
      <c r="G259" s="7">
        <f t="shared" si="66"/>
        <v>0</v>
      </c>
      <c r="H259" s="35">
        <f t="shared" si="63"/>
        <v>270</v>
      </c>
      <c r="I259" s="7">
        <f t="shared" si="66"/>
        <v>0</v>
      </c>
      <c r="J259" s="35">
        <f t="shared" si="60"/>
        <v>270</v>
      </c>
      <c r="K259" s="7">
        <f t="shared" si="66"/>
        <v>0</v>
      </c>
      <c r="L259" s="35">
        <f t="shared" si="57"/>
        <v>270</v>
      </c>
      <c r="M259" s="7">
        <f t="shared" si="66"/>
        <v>0</v>
      </c>
      <c r="N259" s="35">
        <f t="shared" si="58"/>
        <v>270</v>
      </c>
      <c r="O259" s="7">
        <f t="shared" si="66"/>
        <v>0</v>
      </c>
      <c r="P259" s="35">
        <f t="shared" si="54"/>
        <v>270</v>
      </c>
      <c r="Q259" s="7">
        <f t="shared" si="66"/>
        <v>0</v>
      </c>
      <c r="R259" s="35">
        <f t="shared" si="55"/>
        <v>270</v>
      </c>
      <c r="S259" s="7">
        <f t="shared" si="66"/>
        <v>0</v>
      </c>
      <c r="T259" s="35">
        <f t="shared" si="52"/>
        <v>270</v>
      </c>
    </row>
    <row r="260" spans="1:20" ht="18.75" customHeight="1">
      <c r="A260" s="61" t="str">
        <f ca="1">IF(ISERROR(MATCH(C260,Код_Раздел,0)),"",INDIRECT(ADDRESS(MATCH(C260,Код_Раздел,0)+1,2,,,"Раздел")))</f>
        <v>Культура, кинематография</v>
      </c>
      <c r="B260" s="43" t="s">
        <v>472</v>
      </c>
      <c r="C260" s="8" t="s">
        <v>222</v>
      </c>
      <c r="D260" s="1"/>
      <c r="E260" s="104"/>
      <c r="F260" s="7">
        <f t="shared" si="66"/>
        <v>270</v>
      </c>
      <c r="G260" s="7">
        <f t="shared" si="66"/>
        <v>0</v>
      </c>
      <c r="H260" s="35">
        <f t="shared" si="63"/>
        <v>270</v>
      </c>
      <c r="I260" s="7">
        <f t="shared" si="66"/>
        <v>0</v>
      </c>
      <c r="J260" s="35">
        <f t="shared" si="60"/>
        <v>270</v>
      </c>
      <c r="K260" s="7">
        <f t="shared" si="66"/>
        <v>0</v>
      </c>
      <c r="L260" s="35">
        <f t="shared" si="57"/>
        <v>270</v>
      </c>
      <c r="M260" s="7">
        <f t="shared" si="66"/>
        <v>0</v>
      </c>
      <c r="N260" s="35">
        <f t="shared" si="58"/>
        <v>270</v>
      </c>
      <c r="O260" s="7">
        <f t="shared" si="66"/>
        <v>0</v>
      </c>
      <c r="P260" s="35">
        <f t="shared" si="54"/>
        <v>270</v>
      </c>
      <c r="Q260" s="7">
        <f t="shared" si="66"/>
        <v>0</v>
      </c>
      <c r="R260" s="35">
        <f t="shared" si="55"/>
        <v>270</v>
      </c>
      <c r="S260" s="7">
        <f t="shared" si="66"/>
        <v>0</v>
      </c>
      <c r="T260" s="35">
        <f t="shared" si="52"/>
        <v>270</v>
      </c>
    </row>
    <row r="261" spans="1:20" ht="22.5" customHeight="1">
      <c r="A261" s="12" t="s">
        <v>163</v>
      </c>
      <c r="B261" s="43" t="s">
        <v>472</v>
      </c>
      <c r="C261" s="8" t="s">
        <v>222</v>
      </c>
      <c r="D261" s="1" t="s">
        <v>216</v>
      </c>
      <c r="E261" s="104"/>
      <c r="F261" s="7">
        <f t="shared" si="66"/>
        <v>270</v>
      </c>
      <c r="G261" s="7">
        <f t="shared" si="66"/>
        <v>0</v>
      </c>
      <c r="H261" s="35">
        <f t="shared" si="63"/>
        <v>270</v>
      </c>
      <c r="I261" s="7">
        <f t="shared" si="66"/>
        <v>0</v>
      </c>
      <c r="J261" s="35">
        <f t="shared" si="60"/>
        <v>270</v>
      </c>
      <c r="K261" s="7">
        <f t="shared" si="66"/>
        <v>0</v>
      </c>
      <c r="L261" s="35">
        <f t="shared" si="57"/>
        <v>270</v>
      </c>
      <c r="M261" s="7">
        <f t="shared" si="66"/>
        <v>0</v>
      </c>
      <c r="N261" s="35">
        <f t="shared" si="58"/>
        <v>270</v>
      </c>
      <c r="O261" s="7">
        <f t="shared" si="66"/>
        <v>0</v>
      </c>
      <c r="P261" s="35">
        <f t="shared" si="54"/>
        <v>270</v>
      </c>
      <c r="Q261" s="7">
        <f t="shared" si="66"/>
        <v>0</v>
      </c>
      <c r="R261" s="35">
        <f t="shared" si="55"/>
        <v>270</v>
      </c>
      <c r="S261" s="7">
        <f t="shared" si="66"/>
        <v>0</v>
      </c>
      <c r="T261" s="35">
        <f t="shared" si="52"/>
        <v>270</v>
      </c>
    </row>
    <row r="262" spans="1:20" ht="35.25" customHeight="1">
      <c r="A262" s="61" t="str">
        <f ca="1">IF(ISERROR(MATCH(E262,Код_КВР,0)),"",INDIRECT(ADDRESS(MATCH(E262,Код_КВР,0)+1,2,,,"КВР")))</f>
        <v>Предоставление субсидий бюджетным, автономным учреждениям и иным некоммерческим организациям</v>
      </c>
      <c r="B262" s="43" t="s">
        <v>472</v>
      </c>
      <c r="C262" s="8" t="s">
        <v>222</v>
      </c>
      <c r="D262" s="1" t="s">
        <v>216</v>
      </c>
      <c r="E262" s="104">
        <v>600</v>
      </c>
      <c r="F262" s="7">
        <f t="shared" si="66"/>
        <v>270</v>
      </c>
      <c r="G262" s="7">
        <f t="shared" si="66"/>
        <v>0</v>
      </c>
      <c r="H262" s="35">
        <f t="shared" si="63"/>
        <v>270</v>
      </c>
      <c r="I262" s="7">
        <f t="shared" si="66"/>
        <v>0</v>
      </c>
      <c r="J262" s="35">
        <f t="shared" si="60"/>
        <v>270</v>
      </c>
      <c r="K262" s="7">
        <f t="shared" si="66"/>
        <v>0</v>
      </c>
      <c r="L262" s="35">
        <f t="shared" si="57"/>
        <v>270</v>
      </c>
      <c r="M262" s="7">
        <f t="shared" si="66"/>
        <v>0</v>
      </c>
      <c r="N262" s="35">
        <f t="shared" si="58"/>
        <v>270</v>
      </c>
      <c r="O262" s="7">
        <f t="shared" si="66"/>
        <v>0</v>
      </c>
      <c r="P262" s="35">
        <f t="shared" si="54"/>
        <v>270</v>
      </c>
      <c r="Q262" s="7">
        <f t="shared" si="66"/>
        <v>0</v>
      </c>
      <c r="R262" s="35">
        <f t="shared" si="55"/>
        <v>270</v>
      </c>
      <c r="S262" s="7">
        <f t="shared" si="66"/>
        <v>0</v>
      </c>
      <c r="T262" s="35">
        <f t="shared" si="52"/>
        <v>270</v>
      </c>
    </row>
    <row r="263" spans="1:20" ht="22.5" customHeight="1">
      <c r="A263" s="61" t="str">
        <f ca="1">IF(ISERROR(MATCH(E263,Код_КВР,0)),"",INDIRECT(ADDRESS(MATCH(E263,Код_КВР,0)+1,2,,,"КВР")))</f>
        <v>Субсидии бюджетным учреждениям</v>
      </c>
      <c r="B263" s="43" t="s">
        <v>472</v>
      </c>
      <c r="C263" s="8" t="s">
        <v>222</v>
      </c>
      <c r="D263" s="1" t="s">
        <v>216</v>
      </c>
      <c r="E263" s="104">
        <v>610</v>
      </c>
      <c r="F263" s="7">
        <f t="shared" si="66"/>
        <v>270</v>
      </c>
      <c r="G263" s="7">
        <f t="shared" si="66"/>
        <v>0</v>
      </c>
      <c r="H263" s="35">
        <f t="shared" si="63"/>
        <v>270</v>
      </c>
      <c r="I263" s="7">
        <f t="shared" si="66"/>
        <v>0</v>
      </c>
      <c r="J263" s="35">
        <f t="shared" si="60"/>
        <v>270</v>
      </c>
      <c r="K263" s="7">
        <f t="shared" si="66"/>
        <v>0</v>
      </c>
      <c r="L263" s="35">
        <f t="shared" si="57"/>
        <v>270</v>
      </c>
      <c r="M263" s="7">
        <f t="shared" si="66"/>
        <v>0</v>
      </c>
      <c r="N263" s="35">
        <f t="shared" si="58"/>
        <v>270</v>
      </c>
      <c r="O263" s="7">
        <f t="shared" si="66"/>
        <v>0</v>
      </c>
      <c r="P263" s="35">
        <f t="shared" si="54"/>
        <v>270</v>
      </c>
      <c r="Q263" s="7">
        <f t="shared" si="66"/>
        <v>0</v>
      </c>
      <c r="R263" s="35">
        <f t="shared" si="55"/>
        <v>270</v>
      </c>
      <c r="S263" s="7">
        <f t="shared" si="66"/>
        <v>0</v>
      </c>
      <c r="T263" s="35">
        <f t="shared" si="52"/>
        <v>270</v>
      </c>
    </row>
    <row r="264" spans="1:20" ht="20.25" customHeight="1">
      <c r="A264" s="61" t="str">
        <f ca="1">IF(ISERROR(MATCH(E264,Код_КВР,0)),"",INDIRECT(ADDRESS(MATCH(E264,Код_КВР,0)+1,2,,,"КВР")))</f>
        <v>Субсидии бюджетным учреждениям на иные цели</v>
      </c>
      <c r="B264" s="43" t="s">
        <v>472</v>
      </c>
      <c r="C264" s="8" t="s">
        <v>222</v>
      </c>
      <c r="D264" s="1" t="s">
        <v>216</v>
      </c>
      <c r="E264" s="104">
        <v>612</v>
      </c>
      <c r="F264" s="7">
        <f>прил.6!G1070</f>
        <v>270</v>
      </c>
      <c r="G264" s="7">
        <f>прил.6!H1070</f>
        <v>0</v>
      </c>
      <c r="H264" s="35">
        <f t="shared" si="63"/>
        <v>270</v>
      </c>
      <c r="I264" s="7">
        <f>прил.6!J1070</f>
        <v>0</v>
      </c>
      <c r="J264" s="35">
        <f t="shared" si="60"/>
        <v>270</v>
      </c>
      <c r="K264" s="7">
        <f>прил.6!L1070</f>
        <v>0</v>
      </c>
      <c r="L264" s="35">
        <f t="shared" si="57"/>
        <v>270</v>
      </c>
      <c r="M264" s="7">
        <f>прил.6!N1070</f>
        <v>0</v>
      </c>
      <c r="N264" s="35">
        <f t="shared" si="58"/>
        <v>270</v>
      </c>
      <c r="O264" s="7">
        <f>прил.6!P1070</f>
        <v>0</v>
      </c>
      <c r="P264" s="35">
        <f t="shared" si="54"/>
        <v>270</v>
      </c>
      <c r="Q264" s="7">
        <f>прил.6!R1070</f>
        <v>0</v>
      </c>
      <c r="R264" s="35">
        <f t="shared" si="55"/>
        <v>270</v>
      </c>
      <c r="S264" s="7">
        <f>прил.6!T1070</f>
        <v>0</v>
      </c>
      <c r="T264" s="35">
        <f t="shared" si="52"/>
        <v>270</v>
      </c>
    </row>
    <row r="265" spans="1:20" ht="55.5" customHeight="1">
      <c r="A265" s="61" t="str">
        <f ca="1">IF(ISERROR(MATCH(B265,Код_КЦСР,0)),"",INDIRECT(ADDRESS(MATCH(B265,Код_КЦСР,0)+1,2,,,"КЦСР")))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265" s="43" t="s">
        <v>474</v>
      </c>
      <c r="C265" s="8"/>
      <c r="D265" s="1"/>
      <c r="E265" s="104"/>
      <c r="F265" s="7">
        <f t="shared" ref="F265:S269" si="67">F266</f>
        <v>412</v>
      </c>
      <c r="G265" s="7">
        <f t="shared" si="67"/>
        <v>0</v>
      </c>
      <c r="H265" s="35">
        <f t="shared" si="63"/>
        <v>412</v>
      </c>
      <c r="I265" s="7">
        <f t="shared" si="67"/>
        <v>0</v>
      </c>
      <c r="J265" s="35">
        <f t="shared" si="60"/>
        <v>412</v>
      </c>
      <c r="K265" s="7">
        <f t="shared" si="67"/>
        <v>0</v>
      </c>
      <c r="L265" s="35">
        <f t="shared" si="57"/>
        <v>412</v>
      </c>
      <c r="M265" s="7">
        <f t="shared" si="67"/>
        <v>0</v>
      </c>
      <c r="N265" s="35">
        <f t="shared" si="58"/>
        <v>412</v>
      </c>
      <c r="O265" s="7">
        <f t="shared" si="67"/>
        <v>0</v>
      </c>
      <c r="P265" s="35">
        <f t="shared" si="54"/>
        <v>412</v>
      </c>
      <c r="Q265" s="7">
        <f t="shared" si="67"/>
        <v>0</v>
      </c>
      <c r="R265" s="35">
        <f t="shared" si="55"/>
        <v>412</v>
      </c>
      <c r="S265" s="7">
        <f t="shared" si="67"/>
        <v>0</v>
      </c>
      <c r="T265" s="35">
        <f t="shared" si="52"/>
        <v>412</v>
      </c>
    </row>
    <row r="266" spans="1:20" ht="19.5" customHeight="1">
      <c r="A266" s="61" t="str">
        <f ca="1">IF(ISERROR(MATCH(C266,Код_Раздел,0)),"",INDIRECT(ADDRESS(MATCH(C266,Код_Раздел,0)+1,2,,,"Раздел")))</f>
        <v>Культура, кинематография</v>
      </c>
      <c r="B266" s="43" t="s">
        <v>474</v>
      </c>
      <c r="C266" s="8" t="s">
        <v>222</v>
      </c>
      <c r="D266" s="1"/>
      <c r="E266" s="104"/>
      <c r="F266" s="7">
        <f t="shared" si="67"/>
        <v>412</v>
      </c>
      <c r="G266" s="7">
        <f t="shared" si="67"/>
        <v>0</v>
      </c>
      <c r="H266" s="35">
        <f t="shared" si="63"/>
        <v>412</v>
      </c>
      <c r="I266" s="7">
        <f t="shared" si="67"/>
        <v>0</v>
      </c>
      <c r="J266" s="35">
        <f t="shared" si="60"/>
        <v>412</v>
      </c>
      <c r="K266" s="7">
        <f t="shared" si="67"/>
        <v>0</v>
      </c>
      <c r="L266" s="35">
        <f t="shared" si="57"/>
        <v>412</v>
      </c>
      <c r="M266" s="7">
        <f t="shared" si="67"/>
        <v>0</v>
      </c>
      <c r="N266" s="35">
        <f t="shared" si="58"/>
        <v>412</v>
      </c>
      <c r="O266" s="7">
        <f t="shared" si="67"/>
        <v>0</v>
      </c>
      <c r="P266" s="35">
        <f t="shared" si="54"/>
        <v>412</v>
      </c>
      <c r="Q266" s="7">
        <f t="shared" si="67"/>
        <v>0</v>
      </c>
      <c r="R266" s="35">
        <f t="shared" si="55"/>
        <v>412</v>
      </c>
      <c r="S266" s="7">
        <f t="shared" si="67"/>
        <v>0</v>
      </c>
      <c r="T266" s="35">
        <f t="shared" si="52"/>
        <v>412</v>
      </c>
    </row>
    <row r="267" spans="1:20" ht="21" customHeight="1">
      <c r="A267" s="12" t="s">
        <v>163</v>
      </c>
      <c r="B267" s="43" t="s">
        <v>474</v>
      </c>
      <c r="C267" s="8" t="s">
        <v>222</v>
      </c>
      <c r="D267" s="1" t="s">
        <v>216</v>
      </c>
      <c r="E267" s="104"/>
      <c r="F267" s="7">
        <f t="shared" si="67"/>
        <v>412</v>
      </c>
      <c r="G267" s="7">
        <f t="shared" si="67"/>
        <v>0</v>
      </c>
      <c r="H267" s="35">
        <f t="shared" si="63"/>
        <v>412</v>
      </c>
      <c r="I267" s="7">
        <f t="shared" si="67"/>
        <v>0</v>
      </c>
      <c r="J267" s="35">
        <f t="shared" si="60"/>
        <v>412</v>
      </c>
      <c r="K267" s="7">
        <f t="shared" si="67"/>
        <v>0</v>
      </c>
      <c r="L267" s="35">
        <f t="shared" si="57"/>
        <v>412</v>
      </c>
      <c r="M267" s="7">
        <f t="shared" si="67"/>
        <v>0</v>
      </c>
      <c r="N267" s="35">
        <f t="shared" si="58"/>
        <v>412</v>
      </c>
      <c r="O267" s="7">
        <f t="shared" si="67"/>
        <v>0</v>
      </c>
      <c r="P267" s="35">
        <f t="shared" si="54"/>
        <v>412</v>
      </c>
      <c r="Q267" s="7">
        <f t="shared" si="67"/>
        <v>0</v>
      </c>
      <c r="R267" s="35">
        <f t="shared" si="55"/>
        <v>412</v>
      </c>
      <c r="S267" s="7">
        <f t="shared" si="67"/>
        <v>0</v>
      </c>
      <c r="T267" s="35">
        <f t="shared" si="52"/>
        <v>412</v>
      </c>
    </row>
    <row r="268" spans="1:20" ht="35.25" customHeight="1">
      <c r="A268" s="61" t="str">
        <f ca="1">IF(ISERROR(MATCH(E268,Код_КВР,0)),"",INDIRECT(ADDRESS(MATCH(E268,Код_КВР,0)+1,2,,,"КВР")))</f>
        <v>Предоставление субсидий бюджетным, автономным учреждениям и иным некоммерческим организациям</v>
      </c>
      <c r="B268" s="43" t="s">
        <v>474</v>
      </c>
      <c r="C268" s="8" t="s">
        <v>222</v>
      </c>
      <c r="D268" s="1" t="s">
        <v>216</v>
      </c>
      <c r="E268" s="104">
        <v>600</v>
      </c>
      <c r="F268" s="7">
        <f t="shared" si="67"/>
        <v>412</v>
      </c>
      <c r="G268" s="7">
        <f t="shared" si="67"/>
        <v>0</v>
      </c>
      <c r="H268" s="35">
        <f t="shared" si="63"/>
        <v>412</v>
      </c>
      <c r="I268" s="7">
        <f t="shared" si="67"/>
        <v>0</v>
      </c>
      <c r="J268" s="35">
        <f t="shared" si="60"/>
        <v>412</v>
      </c>
      <c r="K268" s="7">
        <f t="shared" si="67"/>
        <v>0</v>
      </c>
      <c r="L268" s="35">
        <f t="shared" si="57"/>
        <v>412</v>
      </c>
      <c r="M268" s="7">
        <f t="shared" si="67"/>
        <v>0</v>
      </c>
      <c r="N268" s="35">
        <f t="shared" si="58"/>
        <v>412</v>
      </c>
      <c r="O268" s="7">
        <f t="shared" si="67"/>
        <v>0</v>
      </c>
      <c r="P268" s="35">
        <f t="shared" si="54"/>
        <v>412</v>
      </c>
      <c r="Q268" s="7">
        <f t="shared" si="67"/>
        <v>0</v>
      </c>
      <c r="R268" s="35">
        <f t="shared" si="55"/>
        <v>412</v>
      </c>
      <c r="S268" s="7">
        <f t="shared" si="67"/>
        <v>0</v>
      </c>
      <c r="T268" s="35">
        <f t="shared" si="52"/>
        <v>412</v>
      </c>
    </row>
    <row r="269" spans="1:20" ht="19.5" customHeight="1">
      <c r="A269" s="61" t="str">
        <f ca="1">IF(ISERROR(MATCH(E269,Код_КВР,0)),"",INDIRECT(ADDRESS(MATCH(E269,Код_КВР,0)+1,2,,,"КВР")))</f>
        <v>Субсидии бюджетным учреждениям</v>
      </c>
      <c r="B269" s="43" t="s">
        <v>474</v>
      </c>
      <c r="C269" s="8" t="s">
        <v>222</v>
      </c>
      <c r="D269" s="1" t="s">
        <v>216</v>
      </c>
      <c r="E269" s="104">
        <v>610</v>
      </c>
      <c r="F269" s="7">
        <f t="shared" si="67"/>
        <v>412</v>
      </c>
      <c r="G269" s="7">
        <f t="shared" si="67"/>
        <v>0</v>
      </c>
      <c r="H269" s="35">
        <f t="shared" si="63"/>
        <v>412</v>
      </c>
      <c r="I269" s="7">
        <f t="shared" si="67"/>
        <v>0</v>
      </c>
      <c r="J269" s="35">
        <f t="shared" si="60"/>
        <v>412</v>
      </c>
      <c r="K269" s="7">
        <f t="shared" si="67"/>
        <v>0</v>
      </c>
      <c r="L269" s="35">
        <f t="shared" si="57"/>
        <v>412</v>
      </c>
      <c r="M269" s="7">
        <f t="shared" si="67"/>
        <v>0</v>
      </c>
      <c r="N269" s="35">
        <f t="shared" si="58"/>
        <v>412</v>
      </c>
      <c r="O269" s="7">
        <f t="shared" si="67"/>
        <v>0</v>
      </c>
      <c r="P269" s="35">
        <f t="shared" si="54"/>
        <v>412</v>
      </c>
      <c r="Q269" s="7">
        <f t="shared" si="67"/>
        <v>0</v>
      </c>
      <c r="R269" s="35">
        <f t="shared" si="55"/>
        <v>412</v>
      </c>
      <c r="S269" s="7">
        <f t="shared" si="67"/>
        <v>0</v>
      </c>
      <c r="T269" s="35">
        <f t="shared" si="52"/>
        <v>412</v>
      </c>
    </row>
    <row r="270" spans="1:20" ht="22.5" customHeight="1">
      <c r="A270" s="61" t="str">
        <f ca="1">IF(ISERROR(MATCH(E270,Код_КВР,0)),"",INDIRECT(ADDRESS(MATCH(E270,Код_КВР,0)+1,2,,,"КВР")))</f>
        <v>Субсидии бюджетным учреждениям на иные цели</v>
      </c>
      <c r="B270" s="43" t="s">
        <v>474</v>
      </c>
      <c r="C270" s="8" t="s">
        <v>222</v>
      </c>
      <c r="D270" s="1" t="s">
        <v>216</v>
      </c>
      <c r="E270" s="104">
        <v>612</v>
      </c>
      <c r="F270" s="7">
        <f>прил.6!G1074</f>
        <v>412</v>
      </c>
      <c r="G270" s="7">
        <f>прил.6!H1074</f>
        <v>0</v>
      </c>
      <c r="H270" s="35">
        <f t="shared" si="63"/>
        <v>412</v>
      </c>
      <c r="I270" s="7">
        <f>прил.6!J1074</f>
        <v>0</v>
      </c>
      <c r="J270" s="35">
        <f t="shared" si="60"/>
        <v>412</v>
      </c>
      <c r="K270" s="7">
        <f>прил.6!L1074</f>
        <v>0</v>
      </c>
      <c r="L270" s="35">
        <f t="shared" si="57"/>
        <v>412</v>
      </c>
      <c r="M270" s="7">
        <f>прил.6!N1074</f>
        <v>0</v>
      </c>
      <c r="N270" s="35">
        <f t="shared" si="58"/>
        <v>412</v>
      </c>
      <c r="O270" s="7">
        <f>прил.6!P1074</f>
        <v>0</v>
      </c>
      <c r="P270" s="35">
        <f t="shared" si="54"/>
        <v>412</v>
      </c>
      <c r="Q270" s="7">
        <f>прил.6!R1074</f>
        <v>0</v>
      </c>
      <c r="R270" s="35">
        <f t="shared" si="55"/>
        <v>412</v>
      </c>
      <c r="S270" s="7">
        <f>прил.6!T1074</f>
        <v>0</v>
      </c>
      <c r="T270" s="35">
        <f t="shared" si="52"/>
        <v>412</v>
      </c>
    </row>
    <row r="271" spans="1:20" ht="17.25" customHeight="1">
      <c r="A271" s="61" t="str">
        <f ca="1">IF(ISERROR(MATCH(B271,Код_КЦСР,0)),"",INDIRECT(ADDRESS(MATCH(B271,Код_КЦСР,0)+1,2,,,"КЦСР")))</f>
        <v xml:space="preserve">Оказание муниципальных услуг </v>
      </c>
      <c r="B271" s="43" t="s">
        <v>476</v>
      </c>
      <c r="C271" s="8"/>
      <c r="D271" s="1"/>
      <c r="E271" s="104"/>
      <c r="F271" s="7">
        <f t="shared" ref="F271:S275" si="68">F272</f>
        <v>25054</v>
      </c>
      <c r="G271" s="7">
        <f t="shared" si="68"/>
        <v>0</v>
      </c>
      <c r="H271" s="35">
        <f t="shared" si="63"/>
        <v>25054</v>
      </c>
      <c r="I271" s="7">
        <f t="shared" si="68"/>
        <v>0</v>
      </c>
      <c r="J271" s="35">
        <f t="shared" si="60"/>
        <v>25054</v>
      </c>
      <c r="K271" s="7">
        <f t="shared" si="68"/>
        <v>-21.2</v>
      </c>
      <c r="L271" s="35">
        <f t="shared" si="57"/>
        <v>25032.799999999999</v>
      </c>
      <c r="M271" s="7">
        <f t="shared" si="68"/>
        <v>0</v>
      </c>
      <c r="N271" s="35">
        <f t="shared" si="58"/>
        <v>25032.799999999999</v>
      </c>
      <c r="O271" s="7">
        <f t="shared" si="68"/>
        <v>0</v>
      </c>
      <c r="P271" s="35">
        <f t="shared" si="54"/>
        <v>25032.799999999999</v>
      </c>
      <c r="Q271" s="7">
        <f t="shared" si="68"/>
        <v>0</v>
      </c>
      <c r="R271" s="35">
        <f t="shared" si="55"/>
        <v>25032.799999999999</v>
      </c>
      <c r="S271" s="7">
        <f t="shared" si="68"/>
        <v>0</v>
      </c>
      <c r="T271" s="35">
        <f t="shared" si="52"/>
        <v>25032.799999999999</v>
      </c>
    </row>
    <row r="272" spans="1:20">
      <c r="A272" s="61" t="str">
        <f ca="1">IF(ISERROR(MATCH(C272,Код_Раздел,0)),"",INDIRECT(ADDRESS(MATCH(C272,Код_Раздел,0)+1,2,,,"Раздел")))</f>
        <v>Культура, кинематография</v>
      </c>
      <c r="B272" s="43" t="s">
        <v>476</v>
      </c>
      <c r="C272" s="8" t="s">
        <v>222</v>
      </c>
      <c r="D272" s="1"/>
      <c r="E272" s="104"/>
      <c r="F272" s="7">
        <f t="shared" si="68"/>
        <v>25054</v>
      </c>
      <c r="G272" s="7">
        <f t="shared" si="68"/>
        <v>0</v>
      </c>
      <c r="H272" s="35">
        <f t="shared" si="63"/>
        <v>25054</v>
      </c>
      <c r="I272" s="7">
        <f t="shared" si="68"/>
        <v>0</v>
      </c>
      <c r="J272" s="35">
        <f t="shared" si="60"/>
        <v>25054</v>
      </c>
      <c r="K272" s="7">
        <f t="shared" si="68"/>
        <v>-21.2</v>
      </c>
      <c r="L272" s="35">
        <f t="shared" si="57"/>
        <v>25032.799999999999</v>
      </c>
      <c r="M272" s="7">
        <f t="shared" si="68"/>
        <v>0</v>
      </c>
      <c r="N272" s="35">
        <f t="shared" si="58"/>
        <v>25032.799999999999</v>
      </c>
      <c r="O272" s="7">
        <f t="shared" si="68"/>
        <v>0</v>
      </c>
      <c r="P272" s="35">
        <f t="shared" si="54"/>
        <v>25032.799999999999</v>
      </c>
      <c r="Q272" s="7">
        <f t="shared" si="68"/>
        <v>0</v>
      </c>
      <c r="R272" s="35">
        <f t="shared" si="55"/>
        <v>25032.799999999999</v>
      </c>
      <c r="S272" s="7">
        <f t="shared" si="68"/>
        <v>0</v>
      </c>
      <c r="T272" s="35">
        <f t="shared" si="52"/>
        <v>25032.799999999999</v>
      </c>
    </row>
    <row r="273" spans="1:20" ht="18.75" customHeight="1">
      <c r="A273" s="12" t="s">
        <v>184</v>
      </c>
      <c r="B273" s="43" t="s">
        <v>476</v>
      </c>
      <c r="C273" s="8" t="s">
        <v>222</v>
      </c>
      <c r="D273" s="1" t="s">
        <v>213</v>
      </c>
      <c r="E273" s="104"/>
      <c r="F273" s="7">
        <f t="shared" si="68"/>
        <v>25054</v>
      </c>
      <c r="G273" s="7">
        <f t="shared" si="68"/>
        <v>0</v>
      </c>
      <c r="H273" s="35">
        <f t="shared" si="63"/>
        <v>25054</v>
      </c>
      <c r="I273" s="7">
        <f t="shared" si="68"/>
        <v>0</v>
      </c>
      <c r="J273" s="35">
        <f t="shared" si="60"/>
        <v>25054</v>
      </c>
      <c r="K273" s="7">
        <f t="shared" si="68"/>
        <v>-21.2</v>
      </c>
      <c r="L273" s="35">
        <f t="shared" si="57"/>
        <v>25032.799999999999</v>
      </c>
      <c r="M273" s="7">
        <f t="shared" si="68"/>
        <v>0</v>
      </c>
      <c r="N273" s="35">
        <f t="shared" si="58"/>
        <v>25032.799999999999</v>
      </c>
      <c r="O273" s="7">
        <f t="shared" si="68"/>
        <v>0</v>
      </c>
      <c r="P273" s="35">
        <f t="shared" si="54"/>
        <v>25032.799999999999</v>
      </c>
      <c r="Q273" s="7">
        <f t="shared" si="68"/>
        <v>0</v>
      </c>
      <c r="R273" s="35">
        <f t="shared" si="55"/>
        <v>25032.799999999999</v>
      </c>
      <c r="S273" s="7">
        <f t="shared" si="68"/>
        <v>0</v>
      </c>
      <c r="T273" s="35">
        <f t="shared" si="52"/>
        <v>25032.799999999999</v>
      </c>
    </row>
    <row r="274" spans="1:20" ht="37.5" customHeight="1">
      <c r="A274" s="61" t="str">
        <f ca="1">IF(ISERROR(MATCH(E274,Код_КВР,0)),"",INDIRECT(ADDRESS(MATCH(E274,Код_КВР,0)+1,2,,,"КВР")))</f>
        <v>Предоставление субсидий бюджетным, автономным учреждениям и иным некоммерческим организациям</v>
      </c>
      <c r="B274" s="43" t="s">
        <v>476</v>
      </c>
      <c r="C274" s="8" t="s">
        <v>222</v>
      </c>
      <c r="D274" s="1" t="s">
        <v>213</v>
      </c>
      <c r="E274" s="104">
        <v>600</v>
      </c>
      <c r="F274" s="7">
        <f t="shared" si="68"/>
        <v>25054</v>
      </c>
      <c r="G274" s="7">
        <f t="shared" si="68"/>
        <v>0</v>
      </c>
      <c r="H274" s="35">
        <f t="shared" si="63"/>
        <v>25054</v>
      </c>
      <c r="I274" s="7">
        <f t="shared" si="68"/>
        <v>0</v>
      </c>
      <c r="J274" s="35">
        <f t="shared" si="60"/>
        <v>25054</v>
      </c>
      <c r="K274" s="7">
        <f t="shared" si="68"/>
        <v>-21.2</v>
      </c>
      <c r="L274" s="35">
        <f t="shared" si="57"/>
        <v>25032.799999999999</v>
      </c>
      <c r="M274" s="7">
        <f t="shared" si="68"/>
        <v>0</v>
      </c>
      <c r="N274" s="35">
        <f t="shared" si="58"/>
        <v>25032.799999999999</v>
      </c>
      <c r="O274" s="7">
        <f t="shared" si="68"/>
        <v>0</v>
      </c>
      <c r="P274" s="35">
        <f t="shared" si="54"/>
        <v>25032.799999999999</v>
      </c>
      <c r="Q274" s="7">
        <f t="shared" si="68"/>
        <v>0</v>
      </c>
      <c r="R274" s="35">
        <f t="shared" si="55"/>
        <v>25032.799999999999</v>
      </c>
      <c r="S274" s="7">
        <f t="shared" si="68"/>
        <v>0</v>
      </c>
      <c r="T274" s="35">
        <f t="shared" si="52"/>
        <v>25032.799999999999</v>
      </c>
    </row>
    <row r="275" spans="1:20" ht="18.75" customHeight="1">
      <c r="A275" s="61" t="str">
        <f ca="1">IF(ISERROR(MATCH(E275,Код_КВР,0)),"",INDIRECT(ADDRESS(MATCH(E275,Код_КВР,0)+1,2,,,"КВР")))</f>
        <v>Субсидии бюджетным учреждениям</v>
      </c>
      <c r="B275" s="43" t="s">
        <v>476</v>
      </c>
      <c r="C275" s="8" t="s">
        <v>222</v>
      </c>
      <c r="D275" s="1" t="s">
        <v>213</v>
      </c>
      <c r="E275" s="104">
        <v>610</v>
      </c>
      <c r="F275" s="7">
        <f t="shared" si="68"/>
        <v>25054</v>
      </c>
      <c r="G275" s="7">
        <f t="shared" si="68"/>
        <v>0</v>
      </c>
      <c r="H275" s="35">
        <f t="shared" si="63"/>
        <v>25054</v>
      </c>
      <c r="I275" s="7">
        <f t="shared" si="68"/>
        <v>0</v>
      </c>
      <c r="J275" s="35">
        <f t="shared" si="60"/>
        <v>25054</v>
      </c>
      <c r="K275" s="7">
        <f t="shared" si="68"/>
        <v>-21.2</v>
      </c>
      <c r="L275" s="35">
        <f t="shared" si="57"/>
        <v>25032.799999999999</v>
      </c>
      <c r="M275" s="7">
        <f t="shared" si="68"/>
        <v>0</v>
      </c>
      <c r="N275" s="35">
        <f t="shared" si="58"/>
        <v>25032.799999999999</v>
      </c>
      <c r="O275" s="7">
        <f t="shared" si="68"/>
        <v>0</v>
      </c>
      <c r="P275" s="35">
        <f t="shared" si="54"/>
        <v>25032.799999999999</v>
      </c>
      <c r="Q275" s="7">
        <f t="shared" si="68"/>
        <v>0</v>
      </c>
      <c r="R275" s="35">
        <f t="shared" si="55"/>
        <v>25032.799999999999</v>
      </c>
      <c r="S275" s="7">
        <f t="shared" si="68"/>
        <v>0</v>
      </c>
      <c r="T275" s="35">
        <f t="shared" si="52"/>
        <v>25032.799999999999</v>
      </c>
    </row>
    <row r="276" spans="1:20" ht="53.25" customHeight="1">
      <c r="A276" s="61" t="str">
        <f ca="1">IF(ISERROR(MATCH(E276,Код_КВР,0)),"",INDIRECT(ADDRESS(MATCH(E276,Код_КВР,0)+1,2,,,"КВР")))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76" s="43" t="s">
        <v>476</v>
      </c>
      <c r="C276" s="8" t="s">
        <v>222</v>
      </c>
      <c r="D276" s="1" t="s">
        <v>213</v>
      </c>
      <c r="E276" s="104">
        <v>611</v>
      </c>
      <c r="F276" s="7">
        <f>прил.6!G985</f>
        <v>25054</v>
      </c>
      <c r="G276" s="7">
        <f>прил.6!H985</f>
        <v>0</v>
      </c>
      <c r="H276" s="35">
        <f t="shared" si="63"/>
        <v>25054</v>
      </c>
      <c r="I276" s="7">
        <f>прил.6!J985</f>
        <v>0</v>
      </c>
      <c r="J276" s="35">
        <f t="shared" si="60"/>
        <v>25054</v>
      </c>
      <c r="K276" s="7">
        <f>прил.6!L985</f>
        <v>-21.2</v>
      </c>
      <c r="L276" s="35">
        <f t="shared" si="57"/>
        <v>25032.799999999999</v>
      </c>
      <c r="M276" s="7">
        <f>прил.6!N985</f>
        <v>0</v>
      </c>
      <c r="N276" s="35">
        <f t="shared" si="58"/>
        <v>25032.799999999999</v>
      </c>
      <c r="O276" s="7">
        <f>прил.6!P985</f>
        <v>0</v>
      </c>
      <c r="P276" s="35">
        <f t="shared" si="54"/>
        <v>25032.799999999999</v>
      </c>
      <c r="Q276" s="7">
        <f>прил.6!R985</f>
        <v>0</v>
      </c>
      <c r="R276" s="35">
        <f t="shared" si="55"/>
        <v>25032.799999999999</v>
      </c>
      <c r="S276" s="7">
        <f>прил.6!T985</f>
        <v>0</v>
      </c>
      <c r="T276" s="35">
        <f t="shared" si="52"/>
        <v>25032.799999999999</v>
      </c>
    </row>
    <row r="277" spans="1:20" ht="38.25" customHeight="1">
      <c r="A277" s="61" t="str">
        <f ca="1">IF(ISERROR(MATCH(B277,Код_КЦСР,0)),"",INDIRECT(ADDRESS(MATCH(B277,Код_КЦСР,0)+1,2,,,"КЦСР")))</f>
        <v xml:space="preserve">Хранение, изучение и обеспечение сохранности музейных предметов </v>
      </c>
      <c r="B277" s="43" t="s">
        <v>478</v>
      </c>
      <c r="C277" s="8"/>
      <c r="D277" s="1"/>
      <c r="E277" s="104"/>
      <c r="F277" s="7">
        <f t="shared" ref="F277:S281" si="69">F278</f>
        <v>15501.3</v>
      </c>
      <c r="G277" s="7">
        <f t="shared" si="69"/>
        <v>0</v>
      </c>
      <c r="H277" s="35">
        <f t="shared" si="63"/>
        <v>15501.3</v>
      </c>
      <c r="I277" s="7">
        <f t="shared" si="69"/>
        <v>0</v>
      </c>
      <c r="J277" s="35">
        <f t="shared" si="60"/>
        <v>15501.3</v>
      </c>
      <c r="K277" s="7">
        <f t="shared" si="69"/>
        <v>-1.2</v>
      </c>
      <c r="L277" s="35">
        <f t="shared" si="57"/>
        <v>15500.099999999999</v>
      </c>
      <c r="M277" s="7">
        <f t="shared" si="69"/>
        <v>0</v>
      </c>
      <c r="N277" s="35">
        <f t="shared" si="58"/>
        <v>15500.099999999999</v>
      </c>
      <c r="O277" s="7">
        <f t="shared" si="69"/>
        <v>0</v>
      </c>
      <c r="P277" s="35">
        <f t="shared" si="54"/>
        <v>15500.099999999999</v>
      </c>
      <c r="Q277" s="7">
        <f t="shared" si="69"/>
        <v>0</v>
      </c>
      <c r="R277" s="35">
        <f t="shared" si="55"/>
        <v>15500.099999999999</v>
      </c>
      <c r="S277" s="7">
        <f t="shared" si="69"/>
        <v>0</v>
      </c>
      <c r="T277" s="35">
        <f t="shared" si="52"/>
        <v>15500.099999999999</v>
      </c>
    </row>
    <row r="278" spans="1:20" ht="28.5" customHeight="1">
      <c r="A278" s="61" t="str">
        <f ca="1">IF(ISERROR(MATCH(C278,Код_Раздел,0)),"",INDIRECT(ADDRESS(MATCH(C278,Код_Раздел,0)+1,2,,,"Раздел")))</f>
        <v>Культура, кинематография</v>
      </c>
      <c r="B278" s="43" t="s">
        <v>478</v>
      </c>
      <c r="C278" s="8" t="s">
        <v>222</v>
      </c>
      <c r="D278" s="1"/>
      <c r="E278" s="104"/>
      <c r="F278" s="7">
        <f t="shared" si="69"/>
        <v>15501.3</v>
      </c>
      <c r="G278" s="7">
        <f t="shared" si="69"/>
        <v>0</v>
      </c>
      <c r="H278" s="35">
        <f t="shared" si="63"/>
        <v>15501.3</v>
      </c>
      <c r="I278" s="7">
        <f t="shared" si="69"/>
        <v>0</v>
      </c>
      <c r="J278" s="35">
        <f t="shared" si="60"/>
        <v>15501.3</v>
      </c>
      <c r="K278" s="7">
        <f t="shared" si="69"/>
        <v>-1.2</v>
      </c>
      <c r="L278" s="35">
        <f t="shared" si="57"/>
        <v>15500.099999999999</v>
      </c>
      <c r="M278" s="7">
        <f t="shared" si="69"/>
        <v>0</v>
      </c>
      <c r="N278" s="35">
        <f t="shared" si="58"/>
        <v>15500.099999999999</v>
      </c>
      <c r="O278" s="7">
        <f t="shared" si="69"/>
        <v>0</v>
      </c>
      <c r="P278" s="35">
        <f t="shared" si="54"/>
        <v>15500.099999999999</v>
      </c>
      <c r="Q278" s="7">
        <f t="shared" si="69"/>
        <v>0</v>
      </c>
      <c r="R278" s="35">
        <f t="shared" si="55"/>
        <v>15500.099999999999</v>
      </c>
      <c r="S278" s="7">
        <f t="shared" si="69"/>
        <v>0</v>
      </c>
      <c r="T278" s="35">
        <f t="shared" si="52"/>
        <v>15500.099999999999</v>
      </c>
    </row>
    <row r="279" spans="1:20" ht="20.25" customHeight="1">
      <c r="A279" s="12" t="s">
        <v>184</v>
      </c>
      <c r="B279" s="43" t="s">
        <v>478</v>
      </c>
      <c r="C279" s="8" t="s">
        <v>222</v>
      </c>
      <c r="D279" s="1" t="s">
        <v>213</v>
      </c>
      <c r="E279" s="104"/>
      <c r="F279" s="7">
        <f t="shared" si="69"/>
        <v>15501.3</v>
      </c>
      <c r="G279" s="7">
        <f t="shared" si="69"/>
        <v>0</v>
      </c>
      <c r="H279" s="35">
        <f t="shared" si="63"/>
        <v>15501.3</v>
      </c>
      <c r="I279" s="7">
        <f t="shared" si="69"/>
        <v>0</v>
      </c>
      <c r="J279" s="35">
        <f t="shared" si="60"/>
        <v>15501.3</v>
      </c>
      <c r="K279" s="7">
        <f t="shared" si="69"/>
        <v>-1.2</v>
      </c>
      <c r="L279" s="35">
        <f t="shared" si="57"/>
        <v>15500.099999999999</v>
      </c>
      <c r="M279" s="7">
        <f t="shared" si="69"/>
        <v>0</v>
      </c>
      <c r="N279" s="35">
        <f t="shared" si="58"/>
        <v>15500.099999999999</v>
      </c>
      <c r="O279" s="7">
        <f t="shared" si="69"/>
        <v>0</v>
      </c>
      <c r="P279" s="35">
        <f t="shared" si="54"/>
        <v>15500.099999999999</v>
      </c>
      <c r="Q279" s="7">
        <f t="shared" si="69"/>
        <v>0</v>
      </c>
      <c r="R279" s="35">
        <f t="shared" si="55"/>
        <v>15500.099999999999</v>
      </c>
      <c r="S279" s="7">
        <f t="shared" si="69"/>
        <v>0</v>
      </c>
      <c r="T279" s="35">
        <f t="shared" si="52"/>
        <v>15500.099999999999</v>
      </c>
    </row>
    <row r="280" spans="1:20" ht="36" customHeight="1">
      <c r="A280" s="61" t="str">
        <f ca="1">IF(ISERROR(MATCH(E280,Код_КВР,0)),"",INDIRECT(ADDRESS(MATCH(E280,Код_КВР,0)+1,2,,,"КВР")))</f>
        <v>Предоставление субсидий бюджетным, автономным учреждениям и иным некоммерческим организациям</v>
      </c>
      <c r="B280" s="43" t="s">
        <v>478</v>
      </c>
      <c r="C280" s="8" t="s">
        <v>222</v>
      </c>
      <c r="D280" s="1" t="s">
        <v>213</v>
      </c>
      <c r="E280" s="104">
        <v>600</v>
      </c>
      <c r="F280" s="7">
        <f t="shared" si="69"/>
        <v>15501.3</v>
      </c>
      <c r="G280" s="7">
        <f t="shared" si="69"/>
        <v>0</v>
      </c>
      <c r="H280" s="35">
        <f t="shared" si="63"/>
        <v>15501.3</v>
      </c>
      <c r="I280" s="7">
        <f t="shared" si="69"/>
        <v>0</v>
      </c>
      <c r="J280" s="35">
        <f t="shared" si="60"/>
        <v>15501.3</v>
      </c>
      <c r="K280" s="7">
        <f t="shared" si="69"/>
        <v>-1.2</v>
      </c>
      <c r="L280" s="35">
        <f t="shared" si="57"/>
        <v>15500.099999999999</v>
      </c>
      <c r="M280" s="7">
        <f t="shared" si="69"/>
        <v>0</v>
      </c>
      <c r="N280" s="35">
        <f t="shared" si="58"/>
        <v>15500.099999999999</v>
      </c>
      <c r="O280" s="7">
        <f t="shared" si="69"/>
        <v>0</v>
      </c>
      <c r="P280" s="35">
        <f t="shared" si="54"/>
        <v>15500.099999999999</v>
      </c>
      <c r="Q280" s="7">
        <f t="shared" si="69"/>
        <v>0</v>
      </c>
      <c r="R280" s="35">
        <f t="shared" si="55"/>
        <v>15500.099999999999</v>
      </c>
      <c r="S280" s="7">
        <f t="shared" si="69"/>
        <v>0</v>
      </c>
      <c r="T280" s="35">
        <f t="shared" si="52"/>
        <v>15500.099999999999</v>
      </c>
    </row>
    <row r="281" spans="1:20" ht="18.75" customHeight="1">
      <c r="A281" s="61" t="str">
        <f ca="1">IF(ISERROR(MATCH(E281,Код_КВР,0)),"",INDIRECT(ADDRESS(MATCH(E281,Код_КВР,0)+1,2,,,"КВР")))</f>
        <v>Субсидии бюджетным учреждениям</v>
      </c>
      <c r="B281" s="43" t="s">
        <v>478</v>
      </c>
      <c r="C281" s="8" t="s">
        <v>222</v>
      </c>
      <c r="D281" s="1" t="s">
        <v>213</v>
      </c>
      <c r="E281" s="104">
        <v>610</v>
      </c>
      <c r="F281" s="7">
        <f t="shared" si="69"/>
        <v>15501.3</v>
      </c>
      <c r="G281" s="7">
        <f t="shared" si="69"/>
        <v>0</v>
      </c>
      <c r="H281" s="35">
        <f t="shared" si="63"/>
        <v>15501.3</v>
      </c>
      <c r="I281" s="7">
        <f t="shared" si="69"/>
        <v>0</v>
      </c>
      <c r="J281" s="35">
        <f t="shared" si="60"/>
        <v>15501.3</v>
      </c>
      <c r="K281" s="7">
        <f t="shared" si="69"/>
        <v>-1.2</v>
      </c>
      <c r="L281" s="35">
        <f t="shared" si="57"/>
        <v>15500.099999999999</v>
      </c>
      <c r="M281" s="7">
        <f t="shared" si="69"/>
        <v>0</v>
      </c>
      <c r="N281" s="35">
        <f t="shared" si="58"/>
        <v>15500.099999999999</v>
      </c>
      <c r="O281" s="7">
        <f t="shared" si="69"/>
        <v>0</v>
      </c>
      <c r="P281" s="35">
        <f t="shared" si="54"/>
        <v>15500.099999999999</v>
      </c>
      <c r="Q281" s="7">
        <f t="shared" si="69"/>
        <v>0</v>
      </c>
      <c r="R281" s="35">
        <f t="shared" si="55"/>
        <v>15500.099999999999</v>
      </c>
      <c r="S281" s="7">
        <f t="shared" si="69"/>
        <v>0</v>
      </c>
      <c r="T281" s="35">
        <f t="shared" si="52"/>
        <v>15500.099999999999</v>
      </c>
    </row>
    <row r="282" spans="1:20" ht="53.25" customHeight="1">
      <c r="A282" s="61" t="str">
        <f ca="1">IF(ISERROR(MATCH(E282,Код_КВР,0)),"",INDIRECT(ADDRESS(MATCH(E282,Код_КВР,0)+1,2,,,"КВР")))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82" s="43" t="s">
        <v>478</v>
      </c>
      <c r="C282" s="8" t="s">
        <v>222</v>
      </c>
      <c r="D282" s="1" t="s">
        <v>213</v>
      </c>
      <c r="E282" s="104">
        <v>611</v>
      </c>
      <c r="F282" s="7">
        <f>прил.6!G989</f>
        <v>15501.3</v>
      </c>
      <c r="G282" s="7">
        <f>прил.6!H989</f>
        <v>0</v>
      </c>
      <c r="H282" s="35">
        <f t="shared" si="63"/>
        <v>15501.3</v>
      </c>
      <c r="I282" s="7">
        <f>прил.6!J989</f>
        <v>0</v>
      </c>
      <c r="J282" s="35">
        <f t="shared" si="60"/>
        <v>15501.3</v>
      </c>
      <c r="K282" s="7">
        <f>прил.6!L989</f>
        <v>-1.2</v>
      </c>
      <c r="L282" s="35">
        <f t="shared" si="57"/>
        <v>15500.099999999999</v>
      </c>
      <c r="M282" s="7">
        <f>прил.6!N989</f>
        <v>0</v>
      </c>
      <c r="N282" s="35">
        <f t="shared" si="58"/>
        <v>15500.099999999999</v>
      </c>
      <c r="O282" s="7">
        <f>прил.6!P989</f>
        <v>0</v>
      </c>
      <c r="P282" s="35">
        <f t="shared" si="54"/>
        <v>15500.099999999999</v>
      </c>
      <c r="Q282" s="7">
        <f>прил.6!R989</f>
        <v>0</v>
      </c>
      <c r="R282" s="35">
        <f t="shared" si="55"/>
        <v>15500.099999999999</v>
      </c>
      <c r="S282" s="7">
        <f>прил.6!T989</f>
        <v>0</v>
      </c>
      <c r="T282" s="35">
        <f t="shared" si="52"/>
        <v>15500.099999999999</v>
      </c>
    </row>
    <row r="283" spans="1:20" ht="20.25" customHeight="1">
      <c r="A283" s="61" t="str">
        <f ca="1">IF(ISERROR(MATCH(B283,Код_КЦСР,0)),"",INDIRECT(ADDRESS(MATCH(B283,Код_КЦСР,0)+1,2,,,"КЦСР")))</f>
        <v>Формирование и учет музейного фонда</v>
      </c>
      <c r="B283" s="43" t="s">
        <v>480</v>
      </c>
      <c r="C283" s="8"/>
      <c r="D283" s="1"/>
      <c r="E283" s="104"/>
      <c r="F283" s="7">
        <f t="shared" ref="F283:S287" si="70">F284</f>
        <v>3771.9</v>
      </c>
      <c r="G283" s="7">
        <f t="shared" si="70"/>
        <v>0</v>
      </c>
      <c r="H283" s="35">
        <f t="shared" si="63"/>
        <v>3771.9</v>
      </c>
      <c r="I283" s="7">
        <f t="shared" si="70"/>
        <v>0</v>
      </c>
      <c r="J283" s="35">
        <f t="shared" si="60"/>
        <v>3771.9</v>
      </c>
      <c r="K283" s="7">
        <f t="shared" si="70"/>
        <v>-4</v>
      </c>
      <c r="L283" s="35">
        <f t="shared" si="57"/>
        <v>3767.9</v>
      </c>
      <c r="M283" s="7">
        <f t="shared" si="70"/>
        <v>0</v>
      </c>
      <c r="N283" s="35">
        <f t="shared" si="58"/>
        <v>3767.9</v>
      </c>
      <c r="O283" s="7">
        <f t="shared" si="70"/>
        <v>0</v>
      </c>
      <c r="P283" s="35">
        <f t="shared" si="54"/>
        <v>3767.9</v>
      </c>
      <c r="Q283" s="7">
        <f t="shared" si="70"/>
        <v>0</v>
      </c>
      <c r="R283" s="35">
        <f t="shared" si="55"/>
        <v>3767.9</v>
      </c>
      <c r="S283" s="7">
        <f t="shared" si="70"/>
        <v>0</v>
      </c>
      <c r="T283" s="35">
        <f t="shared" si="52"/>
        <v>3767.9</v>
      </c>
    </row>
    <row r="284" spans="1:20" ht="19.5" customHeight="1">
      <c r="A284" s="61" t="str">
        <f ca="1">IF(ISERROR(MATCH(C284,Код_Раздел,0)),"",INDIRECT(ADDRESS(MATCH(C284,Код_Раздел,0)+1,2,,,"Раздел")))</f>
        <v>Культура, кинематография</v>
      </c>
      <c r="B284" s="43" t="s">
        <v>480</v>
      </c>
      <c r="C284" s="8" t="s">
        <v>222</v>
      </c>
      <c r="D284" s="1"/>
      <c r="E284" s="104"/>
      <c r="F284" s="7">
        <f t="shared" si="70"/>
        <v>3771.9</v>
      </c>
      <c r="G284" s="7">
        <f t="shared" si="70"/>
        <v>0</v>
      </c>
      <c r="H284" s="35">
        <f t="shared" si="63"/>
        <v>3771.9</v>
      </c>
      <c r="I284" s="7">
        <f t="shared" si="70"/>
        <v>0</v>
      </c>
      <c r="J284" s="35">
        <f t="shared" si="60"/>
        <v>3771.9</v>
      </c>
      <c r="K284" s="7">
        <f t="shared" si="70"/>
        <v>-4</v>
      </c>
      <c r="L284" s="35">
        <f t="shared" si="57"/>
        <v>3767.9</v>
      </c>
      <c r="M284" s="7">
        <f t="shared" si="70"/>
        <v>0</v>
      </c>
      <c r="N284" s="35">
        <f t="shared" si="58"/>
        <v>3767.9</v>
      </c>
      <c r="O284" s="7">
        <f t="shared" si="70"/>
        <v>0</v>
      </c>
      <c r="P284" s="35">
        <f t="shared" si="54"/>
        <v>3767.9</v>
      </c>
      <c r="Q284" s="7">
        <f t="shared" si="70"/>
        <v>0</v>
      </c>
      <c r="R284" s="35">
        <f t="shared" si="55"/>
        <v>3767.9</v>
      </c>
      <c r="S284" s="7">
        <f t="shared" si="70"/>
        <v>0</v>
      </c>
      <c r="T284" s="35">
        <f t="shared" ref="T284:T347" si="71">R284+S284</f>
        <v>3767.9</v>
      </c>
    </row>
    <row r="285" spans="1:20" ht="23.25" customHeight="1">
      <c r="A285" s="12" t="s">
        <v>184</v>
      </c>
      <c r="B285" s="43" t="s">
        <v>480</v>
      </c>
      <c r="C285" s="8" t="s">
        <v>222</v>
      </c>
      <c r="D285" s="1" t="s">
        <v>213</v>
      </c>
      <c r="E285" s="104"/>
      <c r="F285" s="7">
        <f t="shared" si="70"/>
        <v>3771.9</v>
      </c>
      <c r="G285" s="7">
        <f t="shared" si="70"/>
        <v>0</v>
      </c>
      <c r="H285" s="35">
        <f t="shared" si="63"/>
        <v>3771.9</v>
      </c>
      <c r="I285" s="7">
        <f t="shared" si="70"/>
        <v>0</v>
      </c>
      <c r="J285" s="35">
        <f t="shared" si="60"/>
        <v>3771.9</v>
      </c>
      <c r="K285" s="7">
        <f t="shared" si="70"/>
        <v>-4</v>
      </c>
      <c r="L285" s="35">
        <f t="shared" si="57"/>
        <v>3767.9</v>
      </c>
      <c r="M285" s="7">
        <f t="shared" si="70"/>
        <v>0</v>
      </c>
      <c r="N285" s="35">
        <f t="shared" si="58"/>
        <v>3767.9</v>
      </c>
      <c r="O285" s="7">
        <f t="shared" si="70"/>
        <v>0</v>
      </c>
      <c r="P285" s="35">
        <f t="shared" si="54"/>
        <v>3767.9</v>
      </c>
      <c r="Q285" s="7">
        <f t="shared" si="70"/>
        <v>0</v>
      </c>
      <c r="R285" s="35">
        <f t="shared" si="55"/>
        <v>3767.9</v>
      </c>
      <c r="S285" s="7">
        <f t="shared" si="70"/>
        <v>0</v>
      </c>
      <c r="T285" s="35">
        <f t="shared" si="71"/>
        <v>3767.9</v>
      </c>
    </row>
    <row r="286" spans="1:20" ht="35.25" customHeight="1">
      <c r="A286" s="61" t="str">
        <f ca="1">IF(ISERROR(MATCH(E286,Код_КВР,0)),"",INDIRECT(ADDRESS(MATCH(E286,Код_КВР,0)+1,2,,,"КВР")))</f>
        <v>Предоставление субсидий бюджетным, автономным учреждениям и иным некоммерческим организациям</v>
      </c>
      <c r="B286" s="43" t="s">
        <v>480</v>
      </c>
      <c r="C286" s="8" t="s">
        <v>222</v>
      </c>
      <c r="D286" s="1" t="s">
        <v>213</v>
      </c>
      <c r="E286" s="104">
        <v>600</v>
      </c>
      <c r="F286" s="7">
        <f t="shared" si="70"/>
        <v>3771.9</v>
      </c>
      <c r="G286" s="7">
        <f t="shared" si="70"/>
        <v>0</v>
      </c>
      <c r="H286" s="35">
        <f t="shared" si="63"/>
        <v>3771.9</v>
      </c>
      <c r="I286" s="7">
        <f t="shared" si="70"/>
        <v>0</v>
      </c>
      <c r="J286" s="35">
        <f t="shared" si="60"/>
        <v>3771.9</v>
      </c>
      <c r="K286" s="7">
        <f t="shared" si="70"/>
        <v>-4</v>
      </c>
      <c r="L286" s="35">
        <f t="shared" si="57"/>
        <v>3767.9</v>
      </c>
      <c r="M286" s="7">
        <f t="shared" si="70"/>
        <v>0</v>
      </c>
      <c r="N286" s="35">
        <f t="shared" si="58"/>
        <v>3767.9</v>
      </c>
      <c r="O286" s="7">
        <f t="shared" si="70"/>
        <v>0</v>
      </c>
      <c r="P286" s="35">
        <f t="shared" si="54"/>
        <v>3767.9</v>
      </c>
      <c r="Q286" s="7">
        <f t="shared" si="70"/>
        <v>0</v>
      </c>
      <c r="R286" s="35">
        <f t="shared" si="55"/>
        <v>3767.9</v>
      </c>
      <c r="S286" s="7">
        <f t="shared" si="70"/>
        <v>0</v>
      </c>
      <c r="T286" s="35">
        <f t="shared" si="71"/>
        <v>3767.9</v>
      </c>
    </row>
    <row r="287" spans="1:20" ht="23.25" customHeight="1">
      <c r="A287" s="61" t="str">
        <f ca="1">IF(ISERROR(MATCH(E287,Код_КВР,0)),"",INDIRECT(ADDRESS(MATCH(E287,Код_КВР,0)+1,2,,,"КВР")))</f>
        <v>Субсидии бюджетным учреждениям</v>
      </c>
      <c r="B287" s="43" t="s">
        <v>480</v>
      </c>
      <c r="C287" s="8" t="s">
        <v>222</v>
      </c>
      <c r="D287" s="1" t="s">
        <v>213</v>
      </c>
      <c r="E287" s="104">
        <v>610</v>
      </c>
      <c r="F287" s="7">
        <f t="shared" si="70"/>
        <v>3771.9</v>
      </c>
      <c r="G287" s="7">
        <f t="shared" si="70"/>
        <v>0</v>
      </c>
      <c r="H287" s="35">
        <f t="shared" si="63"/>
        <v>3771.9</v>
      </c>
      <c r="I287" s="7">
        <f t="shared" si="70"/>
        <v>0</v>
      </c>
      <c r="J287" s="35">
        <f t="shared" si="60"/>
        <v>3771.9</v>
      </c>
      <c r="K287" s="7">
        <f t="shared" si="70"/>
        <v>-4</v>
      </c>
      <c r="L287" s="35">
        <f t="shared" si="57"/>
        <v>3767.9</v>
      </c>
      <c r="M287" s="7">
        <f t="shared" si="70"/>
        <v>0</v>
      </c>
      <c r="N287" s="35">
        <f t="shared" si="58"/>
        <v>3767.9</v>
      </c>
      <c r="O287" s="7">
        <f t="shared" si="70"/>
        <v>0</v>
      </c>
      <c r="P287" s="35">
        <f t="shared" si="54"/>
        <v>3767.9</v>
      </c>
      <c r="Q287" s="7">
        <f t="shared" si="70"/>
        <v>0</v>
      </c>
      <c r="R287" s="35">
        <f t="shared" si="55"/>
        <v>3767.9</v>
      </c>
      <c r="S287" s="7">
        <f t="shared" si="70"/>
        <v>0</v>
      </c>
      <c r="T287" s="35">
        <f t="shared" si="71"/>
        <v>3767.9</v>
      </c>
    </row>
    <row r="288" spans="1:20" ht="52.7" customHeight="1">
      <c r="A288" s="61" t="str">
        <f ca="1">IF(ISERROR(MATCH(E288,Код_КВР,0)),"",INDIRECT(ADDRESS(MATCH(E288,Код_КВР,0)+1,2,,,"КВР")))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88" s="43" t="s">
        <v>480</v>
      </c>
      <c r="C288" s="8" t="s">
        <v>222</v>
      </c>
      <c r="D288" s="1" t="s">
        <v>213</v>
      </c>
      <c r="E288" s="104">
        <v>611</v>
      </c>
      <c r="F288" s="7">
        <f>прил.6!G993</f>
        <v>3771.9</v>
      </c>
      <c r="G288" s="7">
        <f>прил.6!H993</f>
        <v>0</v>
      </c>
      <c r="H288" s="35">
        <f t="shared" si="63"/>
        <v>3771.9</v>
      </c>
      <c r="I288" s="7">
        <f>прил.6!J993</f>
        <v>0</v>
      </c>
      <c r="J288" s="35">
        <f t="shared" si="60"/>
        <v>3771.9</v>
      </c>
      <c r="K288" s="7">
        <f>прил.6!L993</f>
        <v>-4</v>
      </c>
      <c r="L288" s="35">
        <f t="shared" si="57"/>
        <v>3767.9</v>
      </c>
      <c r="M288" s="7">
        <f>прил.6!N993</f>
        <v>0</v>
      </c>
      <c r="N288" s="35">
        <f t="shared" si="58"/>
        <v>3767.9</v>
      </c>
      <c r="O288" s="7">
        <f>прил.6!P993</f>
        <v>0</v>
      </c>
      <c r="P288" s="35">
        <f t="shared" si="54"/>
        <v>3767.9</v>
      </c>
      <c r="Q288" s="7">
        <f>прил.6!R993</f>
        <v>0</v>
      </c>
      <c r="R288" s="35">
        <f t="shared" si="55"/>
        <v>3767.9</v>
      </c>
      <c r="S288" s="7">
        <f>прил.6!T993</f>
        <v>0</v>
      </c>
      <c r="T288" s="35">
        <f t="shared" si="71"/>
        <v>3767.9</v>
      </c>
    </row>
    <row r="289" spans="1:20" ht="36" customHeight="1">
      <c r="A289" s="61" t="str">
        <f ca="1">IF(ISERROR(MATCH(B289,Код_КЦСР,0)),"",INDIRECT(ADDRESS(MATCH(B289,Код_КЦСР,0)+1,2,,,"КЦСР")))</f>
        <v>Субсидии на иные цели МБУК «Череповецкое музейное объединение» для погашения кредиторской задолженности</v>
      </c>
      <c r="B289" s="43" t="s">
        <v>676</v>
      </c>
      <c r="C289" s="8"/>
      <c r="D289" s="1"/>
      <c r="E289" s="131"/>
      <c r="F289" s="7"/>
      <c r="G289" s="7"/>
      <c r="H289" s="35"/>
      <c r="I289" s="7"/>
      <c r="J289" s="35"/>
      <c r="K289" s="7"/>
      <c r="L289" s="35"/>
      <c r="M289" s="7"/>
      <c r="N289" s="35"/>
      <c r="O289" s="7"/>
      <c r="P289" s="35"/>
      <c r="Q289" s="7">
        <f>Q290</f>
        <v>6009.3</v>
      </c>
      <c r="R289" s="35">
        <f t="shared" si="55"/>
        <v>6009.3</v>
      </c>
      <c r="S289" s="7">
        <f>S290</f>
        <v>0</v>
      </c>
      <c r="T289" s="35">
        <f t="shared" si="71"/>
        <v>6009.3</v>
      </c>
    </row>
    <row r="290" spans="1:20" ht="21" customHeight="1">
      <c r="A290" s="61" t="str">
        <f ca="1">IF(ISERROR(MATCH(C290,Код_Раздел,0)),"",INDIRECT(ADDRESS(MATCH(C290,Код_Раздел,0)+1,2,,,"Раздел")))</f>
        <v>Культура, кинематография</v>
      </c>
      <c r="B290" s="43" t="s">
        <v>676</v>
      </c>
      <c r="C290" s="8" t="s">
        <v>222</v>
      </c>
      <c r="D290" s="1"/>
      <c r="E290" s="131"/>
      <c r="F290" s="7"/>
      <c r="G290" s="7"/>
      <c r="H290" s="35"/>
      <c r="I290" s="7"/>
      <c r="J290" s="35"/>
      <c r="K290" s="7"/>
      <c r="L290" s="35"/>
      <c r="M290" s="7"/>
      <c r="N290" s="35"/>
      <c r="O290" s="7"/>
      <c r="P290" s="35"/>
      <c r="Q290" s="7">
        <f>Q291</f>
        <v>6009.3</v>
      </c>
      <c r="R290" s="35">
        <f t="shared" si="55"/>
        <v>6009.3</v>
      </c>
      <c r="S290" s="7">
        <f>S291</f>
        <v>0</v>
      </c>
      <c r="T290" s="35">
        <f t="shared" si="71"/>
        <v>6009.3</v>
      </c>
    </row>
    <row r="291" spans="1:20" ht="23.25" customHeight="1">
      <c r="A291" s="61" t="s">
        <v>678</v>
      </c>
      <c r="B291" s="43" t="s">
        <v>676</v>
      </c>
      <c r="C291" s="8" t="s">
        <v>222</v>
      </c>
      <c r="D291" s="1" t="s">
        <v>216</v>
      </c>
      <c r="E291" s="131"/>
      <c r="F291" s="7"/>
      <c r="G291" s="7"/>
      <c r="H291" s="35"/>
      <c r="I291" s="7"/>
      <c r="J291" s="35"/>
      <c r="K291" s="7"/>
      <c r="L291" s="35"/>
      <c r="M291" s="7"/>
      <c r="N291" s="35"/>
      <c r="O291" s="7"/>
      <c r="P291" s="35"/>
      <c r="Q291" s="7">
        <f>Q292</f>
        <v>6009.3</v>
      </c>
      <c r="R291" s="35">
        <f t="shared" si="55"/>
        <v>6009.3</v>
      </c>
      <c r="S291" s="7">
        <f>S292</f>
        <v>0</v>
      </c>
      <c r="T291" s="35">
        <f t="shared" si="71"/>
        <v>6009.3</v>
      </c>
    </row>
    <row r="292" spans="1:20" ht="36" customHeight="1">
      <c r="A292" s="61" t="str">
        <f ca="1">IF(ISERROR(MATCH(E292,Код_КВР,0)),"",INDIRECT(ADDRESS(MATCH(E292,Код_КВР,0)+1,2,,,"КВР")))</f>
        <v>Предоставление субсидий бюджетным, автономным учреждениям и иным некоммерческим организациям</v>
      </c>
      <c r="B292" s="43" t="s">
        <v>676</v>
      </c>
      <c r="C292" s="8" t="s">
        <v>222</v>
      </c>
      <c r="D292" s="1" t="s">
        <v>216</v>
      </c>
      <c r="E292" s="131">
        <v>600</v>
      </c>
      <c r="F292" s="7"/>
      <c r="G292" s="7"/>
      <c r="H292" s="35"/>
      <c r="I292" s="7"/>
      <c r="J292" s="35"/>
      <c r="K292" s="7"/>
      <c r="L292" s="35"/>
      <c r="M292" s="7"/>
      <c r="N292" s="35"/>
      <c r="O292" s="7"/>
      <c r="P292" s="35"/>
      <c r="Q292" s="7">
        <f>Q293</f>
        <v>6009.3</v>
      </c>
      <c r="R292" s="35">
        <f t="shared" si="55"/>
        <v>6009.3</v>
      </c>
      <c r="S292" s="7">
        <f>S293</f>
        <v>0</v>
      </c>
      <c r="T292" s="35">
        <f t="shared" si="71"/>
        <v>6009.3</v>
      </c>
    </row>
    <row r="293" spans="1:20" ht="24" customHeight="1">
      <c r="A293" s="61" t="str">
        <f ca="1">IF(ISERROR(MATCH(E293,Код_КВР,0)),"",INDIRECT(ADDRESS(MATCH(E293,Код_КВР,0)+1,2,,,"КВР")))</f>
        <v>Субсидии бюджетным учреждениям</v>
      </c>
      <c r="B293" s="43" t="s">
        <v>676</v>
      </c>
      <c r="C293" s="8" t="s">
        <v>222</v>
      </c>
      <c r="D293" s="1" t="s">
        <v>216</v>
      </c>
      <c r="E293" s="131">
        <v>610</v>
      </c>
      <c r="F293" s="7"/>
      <c r="G293" s="7"/>
      <c r="H293" s="35"/>
      <c r="I293" s="7"/>
      <c r="J293" s="35"/>
      <c r="K293" s="7"/>
      <c r="L293" s="35"/>
      <c r="M293" s="7"/>
      <c r="N293" s="35"/>
      <c r="O293" s="7"/>
      <c r="P293" s="35"/>
      <c r="Q293" s="7">
        <f>Q294</f>
        <v>6009.3</v>
      </c>
      <c r="R293" s="35">
        <f t="shared" si="55"/>
        <v>6009.3</v>
      </c>
      <c r="S293" s="7">
        <f>S294</f>
        <v>0</v>
      </c>
      <c r="T293" s="35">
        <f t="shared" si="71"/>
        <v>6009.3</v>
      </c>
    </row>
    <row r="294" spans="1:20" ht="24.75" customHeight="1">
      <c r="A294" s="61" t="str">
        <f ca="1">IF(ISERROR(MATCH(E294,Код_КВР,0)),"",INDIRECT(ADDRESS(MATCH(E294,Код_КВР,0)+1,2,,,"КВР")))</f>
        <v>Субсидии бюджетным учреждениям на иные цели</v>
      </c>
      <c r="B294" s="43" t="s">
        <v>676</v>
      </c>
      <c r="C294" s="8" t="s">
        <v>222</v>
      </c>
      <c r="D294" s="1" t="s">
        <v>216</v>
      </c>
      <c r="E294" s="131">
        <v>612</v>
      </c>
      <c r="F294" s="7"/>
      <c r="G294" s="7"/>
      <c r="H294" s="35"/>
      <c r="I294" s="7"/>
      <c r="J294" s="35"/>
      <c r="K294" s="7"/>
      <c r="L294" s="35"/>
      <c r="M294" s="7"/>
      <c r="N294" s="35"/>
      <c r="O294" s="7"/>
      <c r="P294" s="35"/>
      <c r="Q294" s="7">
        <v>6009.3</v>
      </c>
      <c r="R294" s="35">
        <f t="shared" si="55"/>
        <v>6009.3</v>
      </c>
      <c r="S294" s="7">
        <f>прил.6!T1078</f>
        <v>0</v>
      </c>
      <c r="T294" s="35">
        <f t="shared" si="71"/>
        <v>6009.3</v>
      </c>
    </row>
    <row r="295" spans="1:20" ht="57.75" customHeight="1">
      <c r="A295" s="61" t="str">
        <f ca="1">IF(ISERROR(MATCH(B295,Код_КЦСР,0)),"",INDIRECT(ADDRESS(MATCH(B295,Код_КЦСР,0)+1,2,,,"КЦСР")))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295" s="43" t="s">
        <v>670</v>
      </c>
      <c r="C295" s="8"/>
      <c r="D295" s="1"/>
      <c r="E295" s="128"/>
      <c r="F295" s="7"/>
      <c r="G295" s="7"/>
      <c r="H295" s="35"/>
      <c r="I295" s="7"/>
      <c r="J295" s="35"/>
      <c r="K295" s="7"/>
      <c r="L295" s="35"/>
      <c r="M295" s="7"/>
      <c r="N295" s="35"/>
      <c r="O295" s="7"/>
      <c r="P295" s="35"/>
      <c r="Q295" s="7">
        <f>Q296</f>
        <v>9713.7999999999993</v>
      </c>
      <c r="R295" s="35">
        <f t="shared" si="55"/>
        <v>9713.7999999999993</v>
      </c>
      <c r="S295" s="7">
        <f>S296</f>
        <v>-680</v>
      </c>
      <c r="T295" s="35">
        <f t="shared" si="71"/>
        <v>9033.7999999999993</v>
      </c>
    </row>
    <row r="296" spans="1:20" ht="27" customHeight="1">
      <c r="A296" s="61" t="str">
        <f ca="1">IF(ISERROR(MATCH(C296,Код_Раздел,0)),"",INDIRECT(ADDRESS(MATCH(C296,Код_Раздел,0)+1,2,,,"Раздел")))</f>
        <v>Культура, кинематография</v>
      </c>
      <c r="B296" s="43" t="s">
        <v>670</v>
      </c>
      <c r="C296" s="8" t="s">
        <v>222</v>
      </c>
      <c r="D296" s="1"/>
      <c r="E296" s="128"/>
      <c r="F296" s="7"/>
      <c r="G296" s="7"/>
      <c r="H296" s="35"/>
      <c r="I296" s="7"/>
      <c r="J296" s="35"/>
      <c r="K296" s="7"/>
      <c r="L296" s="35"/>
      <c r="M296" s="7"/>
      <c r="N296" s="35"/>
      <c r="O296" s="7"/>
      <c r="P296" s="35"/>
      <c r="Q296" s="7">
        <f>Q297</f>
        <v>9713.7999999999993</v>
      </c>
      <c r="R296" s="35">
        <f t="shared" si="55"/>
        <v>9713.7999999999993</v>
      </c>
      <c r="S296" s="7">
        <f>S297</f>
        <v>-680</v>
      </c>
      <c r="T296" s="35">
        <f t="shared" si="71"/>
        <v>9033.7999999999993</v>
      </c>
    </row>
    <row r="297" spans="1:20" ht="26.25" customHeight="1">
      <c r="A297" s="12" t="s">
        <v>184</v>
      </c>
      <c r="B297" s="43" t="s">
        <v>670</v>
      </c>
      <c r="C297" s="8" t="s">
        <v>222</v>
      </c>
      <c r="D297" s="1" t="s">
        <v>213</v>
      </c>
      <c r="E297" s="128"/>
      <c r="F297" s="7"/>
      <c r="G297" s="7"/>
      <c r="H297" s="35"/>
      <c r="I297" s="7"/>
      <c r="J297" s="35"/>
      <c r="K297" s="7"/>
      <c r="L297" s="35"/>
      <c r="M297" s="7"/>
      <c r="N297" s="35"/>
      <c r="O297" s="7"/>
      <c r="P297" s="35"/>
      <c r="Q297" s="7">
        <f>Q298</f>
        <v>9713.7999999999993</v>
      </c>
      <c r="R297" s="35">
        <f t="shared" si="55"/>
        <v>9713.7999999999993</v>
      </c>
      <c r="S297" s="7">
        <f>S298</f>
        <v>-680</v>
      </c>
      <c r="T297" s="35">
        <f t="shared" si="71"/>
        <v>9033.7999999999993</v>
      </c>
    </row>
    <row r="298" spans="1:20" ht="39" customHeight="1">
      <c r="A298" s="61" t="str">
        <f ca="1">IF(ISERROR(MATCH(E298,Код_КВР,0)),"",INDIRECT(ADDRESS(MATCH(E298,Код_КВР,0)+1,2,,,"КВР")))</f>
        <v>Предоставление субсидий бюджетным, автономным учреждениям и иным некоммерческим организациям</v>
      </c>
      <c r="B298" s="43" t="s">
        <v>670</v>
      </c>
      <c r="C298" s="8" t="s">
        <v>222</v>
      </c>
      <c r="D298" s="1" t="s">
        <v>213</v>
      </c>
      <c r="E298" s="128">
        <v>600</v>
      </c>
      <c r="F298" s="7"/>
      <c r="G298" s="7"/>
      <c r="H298" s="35"/>
      <c r="I298" s="7"/>
      <c r="J298" s="35"/>
      <c r="K298" s="7"/>
      <c r="L298" s="35"/>
      <c r="M298" s="7"/>
      <c r="N298" s="35"/>
      <c r="O298" s="7"/>
      <c r="P298" s="35"/>
      <c r="Q298" s="7">
        <f>Q299</f>
        <v>9713.7999999999993</v>
      </c>
      <c r="R298" s="35">
        <f t="shared" si="55"/>
        <v>9713.7999999999993</v>
      </c>
      <c r="S298" s="7">
        <f>S299</f>
        <v>-680</v>
      </c>
      <c r="T298" s="35">
        <f t="shared" si="71"/>
        <v>9033.7999999999993</v>
      </c>
    </row>
    <row r="299" spans="1:20" ht="25.5" customHeight="1">
      <c r="A299" s="61" t="str">
        <f ca="1">IF(ISERROR(MATCH(E299,Код_КВР,0)),"",INDIRECT(ADDRESS(MATCH(E299,Код_КВР,0)+1,2,,,"КВР")))</f>
        <v>Субсидии бюджетным учреждениям</v>
      </c>
      <c r="B299" s="43" t="s">
        <v>670</v>
      </c>
      <c r="C299" s="8" t="s">
        <v>222</v>
      </c>
      <c r="D299" s="1" t="s">
        <v>213</v>
      </c>
      <c r="E299" s="128">
        <v>610</v>
      </c>
      <c r="F299" s="7"/>
      <c r="G299" s="7"/>
      <c r="H299" s="35"/>
      <c r="I299" s="7"/>
      <c r="J299" s="35"/>
      <c r="K299" s="7"/>
      <c r="L299" s="35"/>
      <c r="M299" s="7"/>
      <c r="N299" s="35"/>
      <c r="O299" s="7"/>
      <c r="P299" s="35"/>
      <c r="Q299" s="7">
        <f>Q300</f>
        <v>9713.7999999999993</v>
      </c>
      <c r="R299" s="35">
        <f t="shared" si="55"/>
        <v>9713.7999999999993</v>
      </c>
      <c r="S299" s="7">
        <f>S300</f>
        <v>-680</v>
      </c>
      <c r="T299" s="35">
        <f t="shared" si="71"/>
        <v>9033.7999999999993</v>
      </c>
    </row>
    <row r="300" spans="1:20" ht="52.7" customHeight="1">
      <c r="A300" s="61" t="str">
        <f ca="1">IF(ISERROR(MATCH(E300,Код_КВР,0)),"",INDIRECT(ADDRESS(MATCH(E300,Код_КВР,0)+1,2,,,"КВР")))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00" s="43" t="s">
        <v>670</v>
      </c>
      <c r="C300" s="8" t="s">
        <v>222</v>
      </c>
      <c r="D300" s="1" t="s">
        <v>213</v>
      </c>
      <c r="E300" s="128">
        <v>611</v>
      </c>
      <c r="F300" s="7"/>
      <c r="G300" s="7"/>
      <c r="H300" s="35"/>
      <c r="I300" s="7"/>
      <c r="J300" s="35"/>
      <c r="K300" s="7"/>
      <c r="L300" s="35"/>
      <c r="M300" s="7"/>
      <c r="N300" s="35"/>
      <c r="O300" s="7"/>
      <c r="P300" s="35"/>
      <c r="Q300" s="7">
        <f>прил.6!R997</f>
        <v>9713.7999999999993</v>
      </c>
      <c r="R300" s="35">
        <f t="shared" si="55"/>
        <v>9713.7999999999993</v>
      </c>
      <c r="S300" s="7">
        <f>прил.6!T997</f>
        <v>-680</v>
      </c>
      <c r="T300" s="35">
        <f t="shared" si="71"/>
        <v>9033.7999999999993</v>
      </c>
    </row>
    <row r="301" spans="1:20">
      <c r="A301" s="61" t="str">
        <f ca="1">IF(ISERROR(MATCH(B301,Код_КЦСР,0)),"",INDIRECT(ADDRESS(MATCH(B301,Код_КЦСР,0)+1,2,,,"КЦСР")))</f>
        <v>Развитие библиотечного дела</v>
      </c>
      <c r="B301" s="43" t="s">
        <v>482</v>
      </c>
      <c r="C301" s="8"/>
      <c r="D301" s="1"/>
      <c r="E301" s="104"/>
      <c r="F301" s="7">
        <f>F302+F308+F314+F320+F326+F332</f>
        <v>41488.699999999997</v>
      </c>
      <c r="G301" s="7">
        <f>G302+G308+G314+G320+G326+G332</f>
        <v>0</v>
      </c>
      <c r="H301" s="35">
        <f t="shared" si="63"/>
        <v>41488.699999999997</v>
      </c>
      <c r="I301" s="7">
        <f>I302+I308+I314+I320+I326+I332</f>
        <v>0</v>
      </c>
      <c r="J301" s="35">
        <f t="shared" si="60"/>
        <v>41488.699999999997</v>
      </c>
      <c r="K301" s="7">
        <f>K302+K308+K314+K320+K326+K332</f>
        <v>-23.099999999999998</v>
      </c>
      <c r="L301" s="35">
        <f t="shared" si="57"/>
        <v>41465.599999999999</v>
      </c>
      <c r="M301" s="7">
        <f>M302+M308+M314+M320+M326+M332</f>
        <v>0</v>
      </c>
      <c r="N301" s="35">
        <f t="shared" si="58"/>
        <v>41465.599999999999</v>
      </c>
      <c r="O301" s="7">
        <f>O302+O308+O314+O320+O326+O332</f>
        <v>0</v>
      </c>
      <c r="P301" s="35">
        <f t="shared" si="54"/>
        <v>41465.599999999999</v>
      </c>
      <c r="Q301" s="7">
        <f>Q302+Q308+Q314+Q320+Q326+Q332+Q338</f>
        <v>13039.6</v>
      </c>
      <c r="R301" s="35">
        <f t="shared" si="55"/>
        <v>54505.2</v>
      </c>
      <c r="S301" s="7">
        <f>S302+S308+S314+S320+S326+S332+S338</f>
        <v>-1043.2</v>
      </c>
      <c r="T301" s="35">
        <f t="shared" si="71"/>
        <v>53462</v>
      </c>
    </row>
    <row r="302" spans="1:20" ht="54" customHeight="1">
      <c r="A302" s="61" t="str">
        <f ca="1">IF(ISERROR(MATCH(B302,Код_КЦСР,0)),"",INDIRECT(ADDRESS(MATCH(B302,Код_КЦСР,0)+1,2,,,"КЦСР")))</f>
        <v>Ведомственная целевая программа «Отрасль «Культура города Череповца» (2012-2014 годы) (Комплектование библиотечных фондов)</v>
      </c>
      <c r="B302" s="43" t="s">
        <v>483</v>
      </c>
      <c r="C302" s="8"/>
      <c r="D302" s="1"/>
      <c r="E302" s="104"/>
      <c r="F302" s="7">
        <f t="shared" ref="F302:S306" si="72">F303</f>
        <v>1300</v>
      </c>
      <c r="G302" s="7">
        <f t="shared" si="72"/>
        <v>0</v>
      </c>
      <c r="H302" s="35">
        <f t="shared" si="63"/>
        <v>1300</v>
      </c>
      <c r="I302" s="7">
        <f t="shared" si="72"/>
        <v>0</v>
      </c>
      <c r="J302" s="35">
        <f t="shared" si="60"/>
        <v>1300</v>
      </c>
      <c r="K302" s="7">
        <f t="shared" si="72"/>
        <v>0</v>
      </c>
      <c r="L302" s="35">
        <f t="shared" si="57"/>
        <v>1300</v>
      </c>
      <c r="M302" s="7">
        <f t="shared" si="72"/>
        <v>0</v>
      </c>
      <c r="N302" s="35">
        <f t="shared" si="58"/>
        <v>1300</v>
      </c>
      <c r="O302" s="7">
        <f t="shared" si="72"/>
        <v>0</v>
      </c>
      <c r="P302" s="35">
        <f t="shared" si="54"/>
        <v>1300</v>
      </c>
      <c r="Q302" s="7">
        <f t="shared" si="72"/>
        <v>0</v>
      </c>
      <c r="R302" s="35">
        <f t="shared" si="55"/>
        <v>1300</v>
      </c>
      <c r="S302" s="7">
        <f t="shared" si="72"/>
        <v>0</v>
      </c>
      <c r="T302" s="35">
        <f t="shared" si="71"/>
        <v>1300</v>
      </c>
    </row>
    <row r="303" spans="1:20" ht="21" customHeight="1">
      <c r="A303" s="61" t="str">
        <f ca="1">IF(ISERROR(MATCH(C303,Код_Раздел,0)),"",INDIRECT(ADDRESS(MATCH(C303,Код_Раздел,0)+1,2,,,"Раздел")))</f>
        <v>Культура, кинематография</v>
      </c>
      <c r="B303" s="43" t="s">
        <v>483</v>
      </c>
      <c r="C303" s="8" t="s">
        <v>222</v>
      </c>
      <c r="D303" s="1"/>
      <c r="E303" s="104"/>
      <c r="F303" s="7">
        <f t="shared" si="72"/>
        <v>1300</v>
      </c>
      <c r="G303" s="7">
        <f t="shared" si="72"/>
        <v>0</v>
      </c>
      <c r="H303" s="35">
        <f t="shared" si="63"/>
        <v>1300</v>
      </c>
      <c r="I303" s="7">
        <f t="shared" si="72"/>
        <v>0</v>
      </c>
      <c r="J303" s="35">
        <f t="shared" si="60"/>
        <v>1300</v>
      </c>
      <c r="K303" s="7">
        <f t="shared" si="72"/>
        <v>0</v>
      </c>
      <c r="L303" s="35">
        <f t="shared" si="57"/>
        <v>1300</v>
      </c>
      <c r="M303" s="7">
        <f t="shared" si="72"/>
        <v>0</v>
      </c>
      <c r="N303" s="35">
        <f t="shared" si="58"/>
        <v>1300</v>
      </c>
      <c r="O303" s="7">
        <f t="shared" si="72"/>
        <v>0</v>
      </c>
      <c r="P303" s="35">
        <f t="shared" si="54"/>
        <v>1300</v>
      </c>
      <c r="Q303" s="7">
        <f t="shared" si="72"/>
        <v>0</v>
      </c>
      <c r="R303" s="35">
        <f t="shared" si="55"/>
        <v>1300</v>
      </c>
      <c r="S303" s="7">
        <f t="shared" si="72"/>
        <v>0</v>
      </c>
      <c r="T303" s="35">
        <f t="shared" si="71"/>
        <v>1300</v>
      </c>
    </row>
    <row r="304" spans="1:20" ht="21" customHeight="1">
      <c r="A304" s="12" t="s">
        <v>163</v>
      </c>
      <c r="B304" s="43" t="s">
        <v>483</v>
      </c>
      <c r="C304" s="8" t="s">
        <v>222</v>
      </c>
      <c r="D304" s="1" t="s">
        <v>216</v>
      </c>
      <c r="E304" s="104"/>
      <c r="F304" s="7">
        <f t="shared" si="72"/>
        <v>1300</v>
      </c>
      <c r="G304" s="7">
        <f t="shared" si="72"/>
        <v>0</v>
      </c>
      <c r="H304" s="35">
        <f t="shared" si="63"/>
        <v>1300</v>
      </c>
      <c r="I304" s="7">
        <f t="shared" si="72"/>
        <v>0</v>
      </c>
      <c r="J304" s="35">
        <f t="shared" si="60"/>
        <v>1300</v>
      </c>
      <c r="K304" s="7">
        <f t="shared" si="72"/>
        <v>0</v>
      </c>
      <c r="L304" s="35">
        <f t="shared" si="57"/>
        <v>1300</v>
      </c>
      <c r="M304" s="7">
        <f t="shared" si="72"/>
        <v>0</v>
      </c>
      <c r="N304" s="35">
        <f t="shared" si="58"/>
        <v>1300</v>
      </c>
      <c r="O304" s="7">
        <f t="shared" si="72"/>
        <v>0</v>
      </c>
      <c r="P304" s="35">
        <f t="shared" ref="P304:P373" si="73">N304+O304</f>
        <v>1300</v>
      </c>
      <c r="Q304" s="7">
        <f t="shared" si="72"/>
        <v>0</v>
      </c>
      <c r="R304" s="35">
        <f t="shared" ref="R304:R373" si="74">P304+Q304</f>
        <v>1300</v>
      </c>
      <c r="S304" s="7">
        <f t="shared" si="72"/>
        <v>0</v>
      </c>
      <c r="T304" s="35">
        <f t="shared" si="71"/>
        <v>1300</v>
      </c>
    </row>
    <row r="305" spans="1:20" ht="39" customHeight="1">
      <c r="A305" s="61" t="str">
        <f ca="1">IF(ISERROR(MATCH(E305,Код_КВР,0)),"",INDIRECT(ADDRESS(MATCH(E305,Код_КВР,0)+1,2,,,"КВР")))</f>
        <v>Предоставление субсидий бюджетным, автономным учреждениям и иным некоммерческим организациям</v>
      </c>
      <c r="B305" s="43" t="s">
        <v>483</v>
      </c>
      <c r="C305" s="8" t="s">
        <v>222</v>
      </c>
      <c r="D305" s="1" t="s">
        <v>216</v>
      </c>
      <c r="E305" s="104">
        <v>600</v>
      </c>
      <c r="F305" s="7">
        <f t="shared" si="72"/>
        <v>1300</v>
      </c>
      <c r="G305" s="7">
        <f t="shared" si="72"/>
        <v>0</v>
      </c>
      <c r="H305" s="35">
        <f t="shared" si="63"/>
        <v>1300</v>
      </c>
      <c r="I305" s="7">
        <f t="shared" si="72"/>
        <v>0</v>
      </c>
      <c r="J305" s="35">
        <f t="shared" si="60"/>
        <v>1300</v>
      </c>
      <c r="K305" s="7">
        <f t="shared" si="72"/>
        <v>0</v>
      </c>
      <c r="L305" s="35">
        <f t="shared" si="57"/>
        <v>1300</v>
      </c>
      <c r="M305" s="7">
        <f t="shared" si="72"/>
        <v>0</v>
      </c>
      <c r="N305" s="35">
        <f t="shared" si="58"/>
        <v>1300</v>
      </c>
      <c r="O305" s="7">
        <f t="shared" si="72"/>
        <v>0</v>
      </c>
      <c r="P305" s="35">
        <f t="shared" si="73"/>
        <v>1300</v>
      </c>
      <c r="Q305" s="7">
        <f t="shared" si="72"/>
        <v>0</v>
      </c>
      <c r="R305" s="35">
        <f t="shared" si="74"/>
        <v>1300</v>
      </c>
      <c r="S305" s="7">
        <f t="shared" si="72"/>
        <v>0</v>
      </c>
      <c r="T305" s="35">
        <f t="shared" si="71"/>
        <v>1300</v>
      </c>
    </row>
    <row r="306" spans="1:20" ht="19.5" customHeight="1">
      <c r="A306" s="61" t="str">
        <f ca="1">IF(ISERROR(MATCH(E306,Код_КВР,0)),"",INDIRECT(ADDRESS(MATCH(E306,Код_КВР,0)+1,2,,,"КВР")))</f>
        <v>Субсидии бюджетным учреждениям</v>
      </c>
      <c r="B306" s="43" t="s">
        <v>483</v>
      </c>
      <c r="C306" s="8" t="s">
        <v>222</v>
      </c>
      <c r="D306" s="1" t="s">
        <v>216</v>
      </c>
      <c r="E306" s="104">
        <v>610</v>
      </c>
      <c r="F306" s="7">
        <f t="shared" si="72"/>
        <v>1300</v>
      </c>
      <c r="G306" s="7">
        <f t="shared" si="72"/>
        <v>0</v>
      </c>
      <c r="H306" s="35">
        <f t="shared" si="63"/>
        <v>1300</v>
      </c>
      <c r="I306" s="7">
        <f t="shared" si="72"/>
        <v>0</v>
      </c>
      <c r="J306" s="35">
        <f t="shared" si="60"/>
        <v>1300</v>
      </c>
      <c r="K306" s="7">
        <f t="shared" si="72"/>
        <v>0</v>
      </c>
      <c r="L306" s="35">
        <f t="shared" si="57"/>
        <v>1300</v>
      </c>
      <c r="M306" s="7">
        <f t="shared" si="72"/>
        <v>0</v>
      </c>
      <c r="N306" s="35">
        <f t="shared" si="58"/>
        <v>1300</v>
      </c>
      <c r="O306" s="7">
        <f t="shared" si="72"/>
        <v>0</v>
      </c>
      <c r="P306" s="35">
        <f t="shared" si="73"/>
        <v>1300</v>
      </c>
      <c r="Q306" s="7">
        <f t="shared" si="72"/>
        <v>0</v>
      </c>
      <c r="R306" s="35">
        <f t="shared" si="74"/>
        <v>1300</v>
      </c>
      <c r="S306" s="7">
        <f t="shared" si="72"/>
        <v>0</v>
      </c>
      <c r="T306" s="35">
        <f t="shared" si="71"/>
        <v>1300</v>
      </c>
    </row>
    <row r="307" spans="1:20" ht="21" customHeight="1">
      <c r="A307" s="61" t="str">
        <f ca="1">IF(ISERROR(MATCH(E307,Код_КВР,0)),"",INDIRECT(ADDRESS(MATCH(E307,Код_КВР,0)+1,2,,,"КВР")))</f>
        <v>Субсидии бюджетным учреждениям на иные цели</v>
      </c>
      <c r="B307" s="43" t="s">
        <v>483</v>
      </c>
      <c r="C307" s="8" t="s">
        <v>222</v>
      </c>
      <c r="D307" s="1" t="s">
        <v>216</v>
      </c>
      <c r="E307" s="104">
        <v>612</v>
      </c>
      <c r="F307" s="7">
        <f>прил.6!G1083</f>
        <v>1300</v>
      </c>
      <c r="G307" s="7">
        <f>прил.6!H1083</f>
        <v>0</v>
      </c>
      <c r="H307" s="35">
        <f t="shared" si="63"/>
        <v>1300</v>
      </c>
      <c r="I307" s="7">
        <f>прил.6!J1083</f>
        <v>0</v>
      </c>
      <c r="J307" s="35">
        <f t="shared" si="60"/>
        <v>1300</v>
      </c>
      <c r="K307" s="7">
        <f>прил.6!L1083</f>
        <v>0</v>
      </c>
      <c r="L307" s="35">
        <f t="shared" si="57"/>
        <v>1300</v>
      </c>
      <c r="M307" s="7">
        <f>прил.6!N1083</f>
        <v>0</v>
      </c>
      <c r="N307" s="35">
        <f t="shared" si="58"/>
        <v>1300</v>
      </c>
      <c r="O307" s="7">
        <f>прил.6!P1083</f>
        <v>0</v>
      </c>
      <c r="P307" s="35">
        <f t="shared" si="73"/>
        <v>1300</v>
      </c>
      <c r="Q307" s="7">
        <f>прил.6!R1083</f>
        <v>0</v>
      </c>
      <c r="R307" s="35">
        <f t="shared" si="74"/>
        <v>1300</v>
      </c>
      <c r="S307" s="7">
        <f>прил.6!T1083</f>
        <v>0</v>
      </c>
      <c r="T307" s="35">
        <f t="shared" si="71"/>
        <v>1300</v>
      </c>
    </row>
    <row r="308" spans="1:20" ht="69" customHeight="1">
      <c r="A308" s="61" t="str">
        <f ca="1">IF(ISERROR(MATCH(B308,Код_КЦСР,0)),"",INDIRECT(ADDRESS(MATCH(B308,Код_КЦСР,0)+1,2,,,"КЦСР")))</f>
        <v>Ведомственная целевая программа «Отрасль «Культура города Череповца» (2012-2014 годы) (Предоставление пользователям информационных продуктов, подписка на печатные периодические издания)</v>
      </c>
      <c r="B308" s="43" t="s">
        <v>484</v>
      </c>
      <c r="C308" s="8"/>
      <c r="D308" s="1"/>
      <c r="E308" s="104"/>
      <c r="F308" s="7">
        <f t="shared" ref="F308:S312" si="75">F309</f>
        <v>2143</v>
      </c>
      <c r="G308" s="7">
        <f t="shared" si="75"/>
        <v>0</v>
      </c>
      <c r="H308" s="35">
        <f t="shared" si="63"/>
        <v>2143</v>
      </c>
      <c r="I308" s="7">
        <f t="shared" si="75"/>
        <v>0</v>
      </c>
      <c r="J308" s="35">
        <f t="shared" si="60"/>
        <v>2143</v>
      </c>
      <c r="K308" s="7">
        <f t="shared" si="75"/>
        <v>0</v>
      </c>
      <c r="L308" s="35">
        <f t="shared" si="57"/>
        <v>2143</v>
      </c>
      <c r="M308" s="7">
        <f t="shared" si="75"/>
        <v>0</v>
      </c>
      <c r="N308" s="35">
        <f t="shared" si="58"/>
        <v>2143</v>
      </c>
      <c r="O308" s="7">
        <f t="shared" si="75"/>
        <v>0</v>
      </c>
      <c r="P308" s="35">
        <f t="shared" si="73"/>
        <v>2143</v>
      </c>
      <c r="Q308" s="7">
        <f t="shared" si="75"/>
        <v>0</v>
      </c>
      <c r="R308" s="35">
        <f t="shared" si="74"/>
        <v>2143</v>
      </c>
      <c r="S308" s="7">
        <f t="shared" si="75"/>
        <v>0</v>
      </c>
      <c r="T308" s="35">
        <f t="shared" si="71"/>
        <v>2143</v>
      </c>
    </row>
    <row r="309" spans="1:20" ht="20.25" customHeight="1">
      <c r="A309" s="61" t="str">
        <f ca="1">IF(ISERROR(MATCH(C309,Код_Раздел,0)),"",INDIRECT(ADDRESS(MATCH(C309,Код_Раздел,0)+1,2,,,"Раздел")))</f>
        <v>Культура, кинематография</v>
      </c>
      <c r="B309" s="43" t="s">
        <v>484</v>
      </c>
      <c r="C309" s="8" t="s">
        <v>222</v>
      </c>
      <c r="D309" s="1"/>
      <c r="E309" s="104"/>
      <c r="F309" s="7">
        <f t="shared" si="75"/>
        <v>2143</v>
      </c>
      <c r="G309" s="7">
        <f t="shared" si="75"/>
        <v>0</v>
      </c>
      <c r="H309" s="35">
        <f t="shared" si="63"/>
        <v>2143</v>
      </c>
      <c r="I309" s="7">
        <f t="shared" si="75"/>
        <v>0</v>
      </c>
      <c r="J309" s="35">
        <f t="shared" si="60"/>
        <v>2143</v>
      </c>
      <c r="K309" s="7">
        <f t="shared" si="75"/>
        <v>0</v>
      </c>
      <c r="L309" s="35">
        <f t="shared" si="57"/>
        <v>2143</v>
      </c>
      <c r="M309" s="7">
        <f t="shared" si="75"/>
        <v>0</v>
      </c>
      <c r="N309" s="35">
        <f t="shared" si="58"/>
        <v>2143</v>
      </c>
      <c r="O309" s="7">
        <f t="shared" si="75"/>
        <v>0</v>
      </c>
      <c r="P309" s="35">
        <f t="shared" si="73"/>
        <v>2143</v>
      </c>
      <c r="Q309" s="7">
        <f t="shared" si="75"/>
        <v>0</v>
      </c>
      <c r="R309" s="35">
        <f t="shared" si="74"/>
        <v>2143</v>
      </c>
      <c r="S309" s="7">
        <f t="shared" si="75"/>
        <v>0</v>
      </c>
      <c r="T309" s="35">
        <f t="shared" si="71"/>
        <v>2143</v>
      </c>
    </row>
    <row r="310" spans="1:20" ht="19.5" customHeight="1">
      <c r="A310" s="12" t="s">
        <v>163</v>
      </c>
      <c r="B310" s="43" t="s">
        <v>484</v>
      </c>
      <c r="C310" s="8" t="s">
        <v>222</v>
      </c>
      <c r="D310" s="1" t="s">
        <v>216</v>
      </c>
      <c r="E310" s="104"/>
      <c r="F310" s="7">
        <f t="shared" si="75"/>
        <v>2143</v>
      </c>
      <c r="G310" s="7">
        <f t="shared" si="75"/>
        <v>0</v>
      </c>
      <c r="H310" s="35">
        <f t="shared" si="63"/>
        <v>2143</v>
      </c>
      <c r="I310" s="7">
        <f t="shared" si="75"/>
        <v>0</v>
      </c>
      <c r="J310" s="35">
        <f t="shared" si="60"/>
        <v>2143</v>
      </c>
      <c r="K310" s="7">
        <f t="shared" si="75"/>
        <v>0</v>
      </c>
      <c r="L310" s="35">
        <f t="shared" si="57"/>
        <v>2143</v>
      </c>
      <c r="M310" s="7">
        <f t="shared" si="75"/>
        <v>0</v>
      </c>
      <c r="N310" s="35">
        <f t="shared" si="58"/>
        <v>2143</v>
      </c>
      <c r="O310" s="7">
        <f t="shared" si="75"/>
        <v>0</v>
      </c>
      <c r="P310" s="35">
        <f t="shared" si="73"/>
        <v>2143</v>
      </c>
      <c r="Q310" s="7">
        <f t="shared" si="75"/>
        <v>0</v>
      </c>
      <c r="R310" s="35">
        <f t="shared" si="74"/>
        <v>2143</v>
      </c>
      <c r="S310" s="7">
        <f t="shared" si="75"/>
        <v>0</v>
      </c>
      <c r="T310" s="35">
        <f t="shared" si="71"/>
        <v>2143</v>
      </c>
    </row>
    <row r="311" spans="1:20" ht="36.75" customHeight="1">
      <c r="A311" s="61" t="str">
        <f ca="1">IF(ISERROR(MATCH(E311,Код_КВР,0)),"",INDIRECT(ADDRESS(MATCH(E311,Код_КВР,0)+1,2,,,"КВР")))</f>
        <v>Предоставление субсидий бюджетным, автономным учреждениям и иным некоммерческим организациям</v>
      </c>
      <c r="B311" s="43" t="s">
        <v>484</v>
      </c>
      <c r="C311" s="8" t="s">
        <v>222</v>
      </c>
      <c r="D311" s="1" t="s">
        <v>216</v>
      </c>
      <c r="E311" s="104">
        <v>600</v>
      </c>
      <c r="F311" s="7">
        <f t="shared" si="75"/>
        <v>2143</v>
      </c>
      <c r="G311" s="7">
        <f t="shared" si="75"/>
        <v>0</v>
      </c>
      <c r="H311" s="35">
        <f t="shared" si="63"/>
        <v>2143</v>
      </c>
      <c r="I311" s="7">
        <f t="shared" si="75"/>
        <v>0</v>
      </c>
      <c r="J311" s="35">
        <f t="shared" si="60"/>
        <v>2143</v>
      </c>
      <c r="K311" s="7">
        <f t="shared" si="75"/>
        <v>0</v>
      </c>
      <c r="L311" s="35">
        <f t="shared" si="57"/>
        <v>2143</v>
      </c>
      <c r="M311" s="7">
        <f t="shared" si="75"/>
        <v>0</v>
      </c>
      <c r="N311" s="35">
        <f t="shared" si="58"/>
        <v>2143</v>
      </c>
      <c r="O311" s="7">
        <f t="shared" si="75"/>
        <v>0</v>
      </c>
      <c r="P311" s="35">
        <f t="shared" si="73"/>
        <v>2143</v>
      </c>
      <c r="Q311" s="7">
        <f t="shared" si="75"/>
        <v>0</v>
      </c>
      <c r="R311" s="35">
        <f t="shared" si="74"/>
        <v>2143</v>
      </c>
      <c r="S311" s="7">
        <f t="shared" si="75"/>
        <v>0</v>
      </c>
      <c r="T311" s="35">
        <f t="shared" si="71"/>
        <v>2143</v>
      </c>
    </row>
    <row r="312" spans="1:20" ht="19.5" customHeight="1">
      <c r="A312" s="61" t="str">
        <f ca="1">IF(ISERROR(MATCH(E312,Код_КВР,0)),"",INDIRECT(ADDRESS(MATCH(E312,Код_КВР,0)+1,2,,,"КВР")))</f>
        <v>Субсидии бюджетным учреждениям</v>
      </c>
      <c r="B312" s="43" t="s">
        <v>484</v>
      </c>
      <c r="C312" s="8" t="s">
        <v>222</v>
      </c>
      <c r="D312" s="1" t="s">
        <v>216</v>
      </c>
      <c r="E312" s="104">
        <v>610</v>
      </c>
      <c r="F312" s="7">
        <f t="shared" si="75"/>
        <v>2143</v>
      </c>
      <c r="G312" s="7">
        <f t="shared" si="75"/>
        <v>0</v>
      </c>
      <c r="H312" s="35">
        <f t="shared" si="63"/>
        <v>2143</v>
      </c>
      <c r="I312" s="7">
        <f t="shared" si="75"/>
        <v>0</v>
      </c>
      <c r="J312" s="35">
        <f t="shared" si="60"/>
        <v>2143</v>
      </c>
      <c r="K312" s="7">
        <f t="shared" si="75"/>
        <v>0</v>
      </c>
      <c r="L312" s="35">
        <f t="shared" ref="L312:L387" si="76">J312+K312</f>
        <v>2143</v>
      </c>
      <c r="M312" s="7">
        <f t="shared" si="75"/>
        <v>0</v>
      </c>
      <c r="N312" s="35">
        <f t="shared" ref="N312:N387" si="77">L312+M312</f>
        <v>2143</v>
      </c>
      <c r="O312" s="7">
        <f t="shared" si="75"/>
        <v>0</v>
      </c>
      <c r="P312" s="35">
        <f t="shared" si="73"/>
        <v>2143</v>
      </c>
      <c r="Q312" s="7">
        <f t="shared" si="75"/>
        <v>0</v>
      </c>
      <c r="R312" s="35">
        <f t="shared" si="74"/>
        <v>2143</v>
      </c>
      <c r="S312" s="7">
        <f t="shared" si="75"/>
        <v>0</v>
      </c>
      <c r="T312" s="35">
        <f t="shared" si="71"/>
        <v>2143</v>
      </c>
    </row>
    <row r="313" spans="1:20" ht="19.5" customHeight="1">
      <c r="A313" s="61" t="str">
        <f ca="1">IF(ISERROR(MATCH(E313,Код_КВР,0)),"",INDIRECT(ADDRESS(MATCH(E313,Код_КВР,0)+1,2,,,"КВР")))</f>
        <v>Субсидии бюджетным учреждениям на иные цели</v>
      </c>
      <c r="B313" s="43" t="s">
        <v>484</v>
      </c>
      <c r="C313" s="8" t="s">
        <v>222</v>
      </c>
      <c r="D313" s="1" t="s">
        <v>216</v>
      </c>
      <c r="E313" s="104">
        <v>612</v>
      </c>
      <c r="F313" s="7">
        <f>прил.6!G1087</f>
        <v>2143</v>
      </c>
      <c r="G313" s="7">
        <f>прил.6!H1087</f>
        <v>0</v>
      </c>
      <c r="H313" s="35">
        <f t="shared" si="63"/>
        <v>2143</v>
      </c>
      <c r="I313" s="7">
        <f>прил.6!J1087</f>
        <v>0</v>
      </c>
      <c r="J313" s="35">
        <f t="shared" si="60"/>
        <v>2143</v>
      </c>
      <c r="K313" s="7">
        <f>прил.6!L1087</f>
        <v>0</v>
      </c>
      <c r="L313" s="35">
        <f t="shared" si="76"/>
        <v>2143</v>
      </c>
      <c r="M313" s="7">
        <f>прил.6!N1087</f>
        <v>0</v>
      </c>
      <c r="N313" s="35">
        <f t="shared" si="77"/>
        <v>2143</v>
      </c>
      <c r="O313" s="7">
        <f>прил.6!P1087</f>
        <v>0</v>
      </c>
      <c r="P313" s="35">
        <f t="shared" si="73"/>
        <v>2143</v>
      </c>
      <c r="Q313" s="7">
        <f>прил.6!R1087</f>
        <v>0</v>
      </c>
      <c r="R313" s="35">
        <f t="shared" si="74"/>
        <v>2143</v>
      </c>
      <c r="S313" s="7">
        <f>прил.6!T1087</f>
        <v>0</v>
      </c>
      <c r="T313" s="35">
        <f t="shared" si="71"/>
        <v>2143</v>
      </c>
    </row>
    <row r="314" spans="1:20" ht="21" customHeight="1">
      <c r="A314" s="61" t="str">
        <f ca="1">IF(ISERROR(MATCH(B314,Код_КЦСР,0)),"",INDIRECT(ADDRESS(MATCH(B314,Код_КЦСР,0)+1,2,,,"КЦСР")))</f>
        <v>Оказание муниципальных услуг</v>
      </c>
      <c r="B314" s="43" t="s">
        <v>485</v>
      </c>
      <c r="C314" s="8"/>
      <c r="D314" s="1"/>
      <c r="E314" s="104"/>
      <c r="F314" s="7">
        <f t="shared" ref="F314:S318" si="78">F315</f>
        <v>24363.1</v>
      </c>
      <c r="G314" s="7">
        <f t="shared" si="78"/>
        <v>0</v>
      </c>
      <c r="H314" s="35">
        <f t="shared" si="63"/>
        <v>24363.1</v>
      </c>
      <c r="I314" s="7">
        <f t="shared" si="78"/>
        <v>0</v>
      </c>
      <c r="J314" s="35">
        <f t="shared" ref="J314:J389" si="79">H314+I314</f>
        <v>24363.1</v>
      </c>
      <c r="K314" s="7">
        <f t="shared" si="78"/>
        <v>-19.2</v>
      </c>
      <c r="L314" s="35">
        <f t="shared" si="76"/>
        <v>24343.899999999998</v>
      </c>
      <c r="M314" s="7">
        <f t="shared" si="78"/>
        <v>0</v>
      </c>
      <c r="N314" s="35">
        <f t="shared" si="77"/>
        <v>24343.899999999998</v>
      </c>
      <c r="O314" s="7">
        <f t="shared" si="78"/>
        <v>0</v>
      </c>
      <c r="P314" s="35">
        <f t="shared" si="73"/>
        <v>24343.899999999998</v>
      </c>
      <c r="Q314" s="7">
        <f t="shared" si="78"/>
        <v>0</v>
      </c>
      <c r="R314" s="35">
        <f t="shared" si="74"/>
        <v>24343.899999999998</v>
      </c>
      <c r="S314" s="7">
        <f t="shared" si="78"/>
        <v>0</v>
      </c>
      <c r="T314" s="35">
        <f t="shared" si="71"/>
        <v>24343.899999999998</v>
      </c>
    </row>
    <row r="315" spans="1:20" ht="20.25" customHeight="1">
      <c r="A315" s="61" t="str">
        <f ca="1">IF(ISERROR(MATCH(C315,Код_Раздел,0)),"",INDIRECT(ADDRESS(MATCH(C315,Код_Раздел,0)+1,2,,,"Раздел")))</f>
        <v>Культура, кинематография</v>
      </c>
      <c r="B315" s="43" t="s">
        <v>485</v>
      </c>
      <c r="C315" s="8" t="s">
        <v>222</v>
      </c>
      <c r="D315" s="1"/>
      <c r="E315" s="104"/>
      <c r="F315" s="7">
        <f t="shared" si="78"/>
        <v>24363.1</v>
      </c>
      <c r="G315" s="7">
        <f t="shared" si="78"/>
        <v>0</v>
      </c>
      <c r="H315" s="35">
        <f t="shared" si="63"/>
        <v>24363.1</v>
      </c>
      <c r="I315" s="7">
        <f t="shared" si="78"/>
        <v>0</v>
      </c>
      <c r="J315" s="35">
        <f t="shared" si="79"/>
        <v>24363.1</v>
      </c>
      <c r="K315" s="7">
        <f t="shared" si="78"/>
        <v>-19.2</v>
      </c>
      <c r="L315" s="35">
        <f t="shared" si="76"/>
        <v>24343.899999999998</v>
      </c>
      <c r="M315" s="7">
        <f t="shared" si="78"/>
        <v>0</v>
      </c>
      <c r="N315" s="35">
        <f t="shared" si="77"/>
        <v>24343.899999999998</v>
      </c>
      <c r="O315" s="7">
        <f t="shared" si="78"/>
        <v>0</v>
      </c>
      <c r="P315" s="35">
        <f t="shared" si="73"/>
        <v>24343.899999999998</v>
      </c>
      <c r="Q315" s="7">
        <f t="shared" si="78"/>
        <v>0</v>
      </c>
      <c r="R315" s="35">
        <f t="shared" si="74"/>
        <v>24343.899999999998</v>
      </c>
      <c r="S315" s="7">
        <f t="shared" si="78"/>
        <v>0</v>
      </c>
      <c r="T315" s="35">
        <f t="shared" si="71"/>
        <v>24343.899999999998</v>
      </c>
    </row>
    <row r="316" spans="1:20" ht="20.25" customHeight="1">
      <c r="A316" s="12" t="s">
        <v>184</v>
      </c>
      <c r="B316" s="43" t="s">
        <v>485</v>
      </c>
      <c r="C316" s="8" t="s">
        <v>222</v>
      </c>
      <c r="D316" s="1" t="s">
        <v>213</v>
      </c>
      <c r="E316" s="104"/>
      <c r="F316" s="7">
        <f t="shared" si="78"/>
        <v>24363.1</v>
      </c>
      <c r="G316" s="7">
        <f t="shared" si="78"/>
        <v>0</v>
      </c>
      <c r="H316" s="35">
        <f t="shared" si="63"/>
        <v>24363.1</v>
      </c>
      <c r="I316" s="7">
        <f t="shared" si="78"/>
        <v>0</v>
      </c>
      <c r="J316" s="35">
        <f t="shared" si="79"/>
        <v>24363.1</v>
      </c>
      <c r="K316" s="7">
        <f t="shared" si="78"/>
        <v>-19.2</v>
      </c>
      <c r="L316" s="35">
        <f t="shared" si="76"/>
        <v>24343.899999999998</v>
      </c>
      <c r="M316" s="7">
        <f t="shared" si="78"/>
        <v>0</v>
      </c>
      <c r="N316" s="35">
        <f t="shared" si="77"/>
        <v>24343.899999999998</v>
      </c>
      <c r="O316" s="7">
        <f t="shared" si="78"/>
        <v>0</v>
      </c>
      <c r="P316" s="35">
        <f t="shared" si="73"/>
        <v>24343.899999999998</v>
      </c>
      <c r="Q316" s="7">
        <f t="shared" si="78"/>
        <v>0</v>
      </c>
      <c r="R316" s="35">
        <f t="shared" si="74"/>
        <v>24343.899999999998</v>
      </c>
      <c r="S316" s="7">
        <f t="shared" si="78"/>
        <v>0</v>
      </c>
      <c r="T316" s="35">
        <f t="shared" si="71"/>
        <v>24343.899999999998</v>
      </c>
    </row>
    <row r="317" spans="1:20" ht="39" customHeight="1">
      <c r="A317" s="61" t="str">
        <f ca="1">IF(ISERROR(MATCH(E317,Код_КВР,0)),"",INDIRECT(ADDRESS(MATCH(E317,Код_КВР,0)+1,2,,,"КВР")))</f>
        <v>Предоставление субсидий бюджетным, автономным учреждениям и иным некоммерческим организациям</v>
      </c>
      <c r="B317" s="43" t="s">
        <v>485</v>
      </c>
      <c r="C317" s="8" t="s">
        <v>222</v>
      </c>
      <c r="D317" s="1" t="s">
        <v>213</v>
      </c>
      <c r="E317" s="104">
        <v>600</v>
      </c>
      <c r="F317" s="7">
        <f t="shared" si="78"/>
        <v>24363.1</v>
      </c>
      <c r="G317" s="7">
        <f t="shared" si="78"/>
        <v>0</v>
      </c>
      <c r="H317" s="35">
        <f t="shared" si="63"/>
        <v>24363.1</v>
      </c>
      <c r="I317" s="7">
        <f t="shared" si="78"/>
        <v>0</v>
      </c>
      <c r="J317" s="35">
        <f t="shared" si="79"/>
        <v>24363.1</v>
      </c>
      <c r="K317" s="7">
        <f t="shared" si="78"/>
        <v>-19.2</v>
      </c>
      <c r="L317" s="35">
        <f t="shared" si="76"/>
        <v>24343.899999999998</v>
      </c>
      <c r="M317" s="7">
        <f t="shared" si="78"/>
        <v>0</v>
      </c>
      <c r="N317" s="35">
        <f t="shared" si="77"/>
        <v>24343.899999999998</v>
      </c>
      <c r="O317" s="7">
        <f t="shared" si="78"/>
        <v>0</v>
      </c>
      <c r="P317" s="35">
        <f t="shared" si="73"/>
        <v>24343.899999999998</v>
      </c>
      <c r="Q317" s="7">
        <f t="shared" si="78"/>
        <v>0</v>
      </c>
      <c r="R317" s="35">
        <f t="shared" si="74"/>
        <v>24343.899999999998</v>
      </c>
      <c r="S317" s="7">
        <f t="shared" si="78"/>
        <v>0</v>
      </c>
      <c r="T317" s="35">
        <f t="shared" si="71"/>
        <v>24343.899999999998</v>
      </c>
    </row>
    <row r="318" spans="1:20" ht="21" customHeight="1">
      <c r="A318" s="61" t="str">
        <f ca="1">IF(ISERROR(MATCH(E318,Код_КВР,0)),"",INDIRECT(ADDRESS(MATCH(E318,Код_КВР,0)+1,2,,,"КВР")))</f>
        <v>Субсидии бюджетным учреждениям</v>
      </c>
      <c r="B318" s="43" t="s">
        <v>485</v>
      </c>
      <c r="C318" s="8" t="s">
        <v>222</v>
      </c>
      <c r="D318" s="1" t="s">
        <v>213</v>
      </c>
      <c r="E318" s="104">
        <v>610</v>
      </c>
      <c r="F318" s="7">
        <f t="shared" si="78"/>
        <v>24363.1</v>
      </c>
      <c r="G318" s="7">
        <f t="shared" si="78"/>
        <v>0</v>
      </c>
      <c r="H318" s="35">
        <f t="shared" si="63"/>
        <v>24363.1</v>
      </c>
      <c r="I318" s="7">
        <f t="shared" si="78"/>
        <v>0</v>
      </c>
      <c r="J318" s="35">
        <f t="shared" si="79"/>
        <v>24363.1</v>
      </c>
      <c r="K318" s="7">
        <f t="shared" si="78"/>
        <v>-19.2</v>
      </c>
      <c r="L318" s="35">
        <f t="shared" si="76"/>
        <v>24343.899999999998</v>
      </c>
      <c r="M318" s="7">
        <f t="shared" si="78"/>
        <v>0</v>
      </c>
      <c r="N318" s="35">
        <f t="shared" si="77"/>
        <v>24343.899999999998</v>
      </c>
      <c r="O318" s="7">
        <f t="shared" si="78"/>
        <v>0</v>
      </c>
      <c r="P318" s="35">
        <f t="shared" si="73"/>
        <v>24343.899999999998</v>
      </c>
      <c r="Q318" s="7">
        <f t="shared" si="78"/>
        <v>0</v>
      </c>
      <c r="R318" s="35">
        <f t="shared" si="74"/>
        <v>24343.899999999998</v>
      </c>
      <c r="S318" s="7">
        <f t="shared" si="78"/>
        <v>0</v>
      </c>
      <c r="T318" s="35">
        <f t="shared" si="71"/>
        <v>24343.899999999998</v>
      </c>
    </row>
    <row r="319" spans="1:20" ht="53.25" customHeight="1">
      <c r="A319" s="61" t="str">
        <f ca="1">IF(ISERROR(MATCH(E319,Код_КВР,0)),"",INDIRECT(ADDRESS(MATCH(E319,Код_КВР,0)+1,2,,,"КВР")))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19" s="43" t="s">
        <v>485</v>
      </c>
      <c r="C319" s="8" t="s">
        <v>222</v>
      </c>
      <c r="D319" s="1" t="s">
        <v>213</v>
      </c>
      <c r="E319" s="104">
        <v>611</v>
      </c>
      <c r="F319" s="7">
        <f>прил.6!G1002</f>
        <v>24363.1</v>
      </c>
      <c r="G319" s="7">
        <f>прил.6!H1002</f>
        <v>0</v>
      </c>
      <c r="H319" s="35">
        <f t="shared" si="63"/>
        <v>24363.1</v>
      </c>
      <c r="I319" s="7">
        <f>прил.6!J1002</f>
        <v>0</v>
      </c>
      <c r="J319" s="35">
        <f t="shared" si="79"/>
        <v>24363.1</v>
      </c>
      <c r="K319" s="7">
        <f>прил.6!L1002</f>
        <v>-19.2</v>
      </c>
      <c r="L319" s="35">
        <f t="shared" si="76"/>
        <v>24343.899999999998</v>
      </c>
      <c r="M319" s="7">
        <f>прил.6!N1002</f>
        <v>0</v>
      </c>
      <c r="N319" s="35">
        <f t="shared" si="77"/>
        <v>24343.899999999998</v>
      </c>
      <c r="O319" s="7">
        <f>прил.6!P1002</f>
        <v>0</v>
      </c>
      <c r="P319" s="35">
        <f t="shared" si="73"/>
        <v>24343.899999999998</v>
      </c>
      <c r="Q319" s="7">
        <f>прил.6!R1002</f>
        <v>0</v>
      </c>
      <c r="R319" s="35">
        <f t="shared" si="74"/>
        <v>24343.899999999998</v>
      </c>
      <c r="S319" s="7">
        <f>прил.6!T1002</f>
        <v>0</v>
      </c>
      <c r="T319" s="35">
        <f t="shared" si="71"/>
        <v>24343.899999999998</v>
      </c>
    </row>
    <row r="320" spans="1:20" ht="18.75" customHeight="1">
      <c r="A320" s="61" t="str">
        <f ca="1">IF(ISERROR(MATCH(B320,Код_КЦСР,0)),"",INDIRECT(ADDRESS(MATCH(B320,Код_КЦСР,0)+1,2,,,"КЦСР")))</f>
        <v>Формирование и учет фондов библиотеки</v>
      </c>
      <c r="B320" s="43" t="s">
        <v>487</v>
      </c>
      <c r="C320" s="8"/>
      <c r="D320" s="1"/>
      <c r="E320" s="104"/>
      <c r="F320" s="7">
        <f t="shared" ref="F320:S324" si="80">F321</f>
        <v>5799.2</v>
      </c>
      <c r="G320" s="7">
        <f t="shared" si="80"/>
        <v>0</v>
      </c>
      <c r="H320" s="35">
        <f t="shared" si="63"/>
        <v>5799.2</v>
      </c>
      <c r="I320" s="7">
        <f t="shared" si="80"/>
        <v>0</v>
      </c>
      <c r="J320" s="35">
        <f t="shared" si="79"/>
        <v>5799.2</v>
      </c>
      <c r="K320" s="7">
        <f t="shared" si="80"/>
        <v>-1.7</v>
      </c>
      <c r="L320" s="35">
        <f t="shared" si="76"/>
        <v>5797.5</v>
      </c>
      <c r="M320" s="7">
        <f t="shared" si="80"/>
        <v>0</v>
      </c>
      <c r="N320" s="35">
        <f t="shared" si="77"/>
        <v>5797.5</v>
      </c>
      <c r="O320" s="7">
        <f t="shared" si="80"/>
        <v>0</v>
      </c>
      <c r="P320" s="35">
        <f t="shared" si="73"/>
        <v>5797.5</v>
      </c>
      <c r="Q320" s="7">
        <f t="shared" si="80"/>
        <v>0</v>
      </c>
      <c r="R320" s="35">
        <f t="shared" si="74"/>
        <v>5797.5</v>
      </c>
      <c r="S320" s="7">
        <f t="shared" si="80"/>
        <v>0</v>
      </c>
      <c r="T320" s="35">
        <f t="shared" si="71"/>
        <v>5797.5</v>
      </c>
    </row>
    <row r="321" spans="1:20" ht="21" customHeight="1">
      <c r="A321" s="61" t="str">
        <f ca="1">IF(ISERROR(MATCH(C321,Код_Раздел,0)),"",INDIRECT(ADDRESS(MATCH(C321,Код_Раздел,0)+1,2,,,"Раздел")))</f>
        <v>Культура, кинематография</v>
      </c>
      <c r="B321" s="43" t="s">
        <v>487</v>
      </c>
      <c r="C321" s="8" t="s">
        <v>222</v>
      </c>
      <c r="D321" s="1"/>
      <c r="E321" s="104"/>
      <c r="F321" s="7">
        <f t="shared" si="80"/>
        <v>5799.2</v>
      </c>
      <c r="G321" s="7">
        <f t="shared" si="80"/>
        <v>0</v>
      </c>
      <c r="H321" s="35">
        <f t="shared" si="63"/>
        <v>5799.2</v>
      </c>
      <c r="I321" s="7">
        <f t="shared" si="80"/>
        <v>0</v>
      </c>
      <c r="J321" s="35">
        <f t="shared" si="79"/>
        <v>5799.2</v>
      </c>
      <c r="K321" s="7">
        <f t="shared" si="80"/>
        <v>-1.7</v>
      </c>
      <c r="L321" s="35">
        <f t="shared" si="76"/>
        <v>5797.5</v>
      </c>
      <c r="M321" s="7">
        <f t="shared" si="80"/>
        <v>0</v>
      </c>
      <c r="N321" s="35">
        <f t="shared" si="77"/>
        <v>5797.5</v>
      </c>
      <c r="O321" s="7">
        <f t="shared" si="80"/>
        <v>0</v>
      </c>
      <c r="P321" s="35">
        <f t="shared" si="73"/>
        <v>5797.5</v>
      </c>
      <c r="Q321" s="7">
        <f t="shared" si="80"/>
        <v>0</v>
      </c>
      <c r="R321" s="35">
        <f t="shared" si="74"/>
        <v>5797.5</v>
      </c>
      <c r="S321" s="7">
        <f t="shared" si="80"/>
        <v>0</v>
      </c>
      <c r="T321" s="35">
        <f t="shared" si="71"/>
        <v>5797.5</v>
      </c>
    </row>
    <row r="322" spans="1:20" ht="19.5" customHeight="1">
      <c r="A322" s="12" t="s">
        <v>184</v>
      </c>
      <c r="B322" s="43" t="s">
        <v>487</v>
      </c>
      <c r="C322" s="8" t="s">
        <v>222</v>
      </c>
      <c r="D322" s="1" t="s">
        <v>213</v>
      </c>
      <c r="E322" s="104"/>
      <c r="F322" s="7">
        <f t="shared" si="80"/>
        <v>5799.2</v>
      </c>
      <c r="G322" s="7">
        <f t="shared" si="80"/>
        <v>0</v>
      </c>
      <c r="H322" s="35">
        <f t="shared" ref="H322:H397" si="81">F322+G322</f>
        <v>5799.2</v>
      </c>
      <c r="I322" s="7">
        <f t="shared" si="80"/>
        <v>0</v>
      </c>
      <c r="J322" s="35">
        <f t="shared" si="79"/>
        <v>5799.2</v>
      </c>
      <c r="K322" s="7">
        <f t="shared" si="80"/>
        <v>-1.7</v>
      </c>
      <c r="L322" s="35">
        <f t="shared" si="76"/>
        <v>5797.5</v>
      </c>
      <c r="M322" s="7">
        <f t="shared" si="80"/>
        <v>0</v>
      </c>
      <c r="N322" s="35">
        <f t="shared" si="77"/>
        <v>5797.5</v>
      </c>
      <c r="O322" s="7">
        <f t="shared" si="80"/>
        <v>0</v>
      </c>
      <c r="P322" s="35">
        <f t="shared" si="73"/>
        <v>5797.5</v>
      </c>
      <c r="Q322" s="7">
        <f t="shared" si="80"/>
        <v>0</v>
      </c>
      <c r="R322" s="35">
        <f t="shared" si="74"/>
        <v>5797.5</v>
      </c>
      <c r="S322" s="7">
        <f t="shared" si="80"/>
        <v>0</v>
      </c>
      <c r="T322" s="35">
        <f t="shared" si="71"/>
        <v>5797.5</v>
      </c>
    </row>
    <row r="323" spans="1:20" ht="36" customHeight="1">
      <c r="A323" s="61" t="str">
        <f ca="1">IF(ISERROR(MATCH(E323,Код_КВР,0)),"",INDIRECT(ADDRESS(MATCH(E323,Код_КВР,0)+1,2,,,"КВР")))</f>
        <v>Предоставление субсидий бюджетным, автономным учреждениям и иным некоммерческим организациям</v>
      </c>
      <c r="B323" s="43" t="s">
        <v>487</v>
      </c>
      <c r="C323" s="8" t="s">
        <v>222</v>
      </c>
      <c r="D323" s="1" t="s">
        <v>213</v>
      </c>
      <c r="E323" s="104">
        <v>600</v>
      </c>
      <c r="F323" s="7">
        <f t="shared" si="80"/>
        <v>5799.2</v>
      </c>
      <c r="G323" s="7">
        <f t="shared" si="80"/>
        <v>0</v>
      </c>
      <c r="H323" s="35">
        <f t="shared" si="81"/>
        <v>5799.2</v>
      </c>
      <c r="I323" s="7">
        <f t="shared" si="80"/>
        <v>0</v>
      </c>
      <c r="J323" s="35">
        <f t="shared" si="79"/>
        <v>5799.2</v>
      </c>
      <c r="K323" s="7">
        <f t="shared" si="80"/>
        <v>-1.7</v>
      </c>
      <c r="L323" s="35">
        <f t="shared" si="76"/>
        <v>5797.5</v>
      </c>
      <c r="M323" s="7">
        <f t="shared" si="80"/>
        <v>0</v>
      </c>
      <c r="N323" s="35">
        <f t="shared" si="77"/>
        <v>5797.5</v>
      </c>
      <c r="O323" s="7">
        <f t="shared" si="80"/>
        <v>0</v>
      </c>
      <c r="P323" s="35">
        <f t="shared" si="73"/>
        <v>5797.5</v>
      </c>
      <c r="Q323" s="7">
        <f t="shared" si="80"/>
        <v>0</v>
      </c>
      <c r="R323" s="35">
        <f t="shared" si="74"/>
        <v>5797.5</v>
      </c>
      <c r="S323" s="7">
        <f t="shared" si="80"/>
        <v>0</v>
      </c>
      <c r="T323" s="35">
        <f t="shared" si="71"/>
        <v>5797.5</v>
      </c>
    </row>
    <row r="324" spans="1:20" ht="18.75" customHeight="1">
      <c r="A324" s="61" t="str">
        <f ca="1">IF(ISERROR(MATCH(E324,Код_КВР,0)),"",INDIRECT(ADDRESS(MATCH(E324,Код_КВР,0)+1,2,,,"КВР")))</f>
        <v>Субсидии бюджетным учреждениям</v>
      </c>
      <c r="B324" s="43" t="s">
        <v>487</v>
      </c>
      <c r="C324" s="8" t="s">
        <v>222</v>
      </c>
      <c r="D324" s="1" t="s">
        <v>213</v>
      </c>
      <c r="E324" s="104">
        <v>610</v>
      </c>
      <c r="F324" s="7">
        <f t="shared" si="80"/>
        <v>5799.2</v>
      </c>
      <c r="G324" s="7">
        <f t="shared" si="80"/>
        <v>0</v>
      </c>
      <c r="H324" s="35">
        <f t="shared" si="81"/>
        <v>5799.2</v>
      </c>
      <c r="I324" s="7">
        <f t="shared" si="80"/>
        <v>0</v>
      </c>
      <c r="J324" s="35">
        <f t="shared" si="79"/>
        <v>5799.2</v>
      </c>
      <c r="K324" s="7">
        <f t="shared" si="80"/>
        <v>-1.7</v>
      </c>
      <c r="L324" s="35">
        <f t="shared" si="76"/>
        <v>5797.5</v>
      </c>
      <c r="M324" s="7">
        <f t="shared" si="80"/>
        <v>0</v>
      </c>
      <c r="N324" s="35">
        <f t="shared" si="77"/>
        <v>5797.5</v>
      </c>
      <c r="O324" s="7">
        <f t="shared" si="80"/>
        <v>0</v>
      </c>
      <c r="P324" s="35">
        <f t="shared" si="73"/>
        <v>5797.5</v>
      </c>
      <c r="Q324" s="7">
        <f t="shared" si="80"/>
        <v>0</v>
      </c>
      <c r="R324" s="35">
        <f t="shared" si="74"/>
        <v>5797.5</v>
      </c>
      <c r="S324" s="7">
        <f t="shared" si="80"/>
        <v>0</v>
      </c>
      <c r="T324" s="35">
        <f t="shared" si="71"/>
        <v>5797.5</v>
      </c>
    </row>
    <row r="325" spans="1:20" ht="51.75" customHeight="1">
      <c r="A325" s="61" t="str">
        <f ca="1">IF(ISERROR(MATCH(E325,Код_КВР,0)),"",INDIRECT(ADDRESS(MATCH(E325,Код_КВР,0)+1,2,,,"КВР")))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25" s="43" t="s">
        <v>487</v>
      </c>
      <c r="C325" s="8" t="s">
        <v>222</v>
      </c>
      <c r="D325" s="1" t="s">
        <v>213</v>
      </c>
      <c r="E325" s="104">
        <v>611</v>
      </c>
      <c r="F325" s="7">
        <f>прил.6!G1006</f>
        <v>5799.2</v>
      </c>
      <c r="G325" s="7">
        <f>прил.6!H1006</f>
        <v>0</v>
      </c>
      <c r="H325" s="35">
        <f t="shared" si="81"/>
        <v>5799.2</v>
      </c>
      <c r="I325" s="7">
        <f>прил.6!J1006</f>
        <v>0</v>
      </c>
      <c r="J325" s="35">
        <f t="shared" si="79"/>
        <v>5799.2</v>
      </c>
      <c r="K325" s="7">
        <f>прил.6!L1006</f>
        <v>-1.7</v>
      </c>
      <c r="L325" s="35">
        <f t="shared" si="76"/>
        <v>5797.5</v>
      </c>
      <c r="M325" s="7">
        <f>прил.6!N1006</f>
        <v>0</v>
      </c>
      <c r="N325" s="35">
        <f t="shared" si="77"/>
        <v>5797.5</v>
      </c>
      <c r="O325" s="7">
        <f>прил.6!P1006</f>
        <v>0</v>
      </c>
      <c r="P325" s="35">
        <f t="shared" si="73"/>
        <v>5797.5</v>
      </c>
      <c r="Q325" s="7">
        <f>прил.6!R1006</f>
        <v>0</v>
      </c>
      <c r="R325" s="35">
        <f t="shared" si="74"/>
        <v>5797.5</v>
      </c>
      <c r="S325" s="7">
        <f>прил.6!T1006</f>
        <v>0</v>
      </c>
      <c r="T325" s="35">
        <f t="shared" si="71"/>
        <v>5797.5</v>
      </c>
    </row>
    <row r="326" spans="1:20" ht="40.5" customHeight="1">
      <c r="A326" s="61" t="str">
        <f ca="1">IF(ISERROR(MATCH(B326,Код_КЦСР,0)),"",INDIRECT(ADDRESS(MATCH(B326,Код_КЦСР,0)+1,2,,,"КЦСР")))</f>
        <v>Обеспечение физической сохранности  и безопасности фонда библиотеки</v>
      </c>
      <c r="B326" s="43" t="s">
        <v>489</v>
      </c>
      <c r="C326" s="8"/>
      <c r="D326" s="1"/>
      <c r="E326" s="104"/>
      <c r="F326" s="7">
        <f t="shared" ref="F326:S330" si="82">F327</f>
        <v>2971.3</v>
      </c>
      <c r="G326" s="7">
        <f t="shared" si="82"/>
        <v>0</v>
      </c>
      <c r="H326" s="35">
        <f t="shared" si="81"/>
        <v>2971.3</v>
      </c>
      <c r="I326" s="7">
        <f t="shared" si="82"/>
        <v>0</v>
      </c>
      <c r="J326" s="35">
        <f t="shared" si="79"/>
        <v>2971.3</v>
      </c>
      <c r="K326" s="7">
        <f t="shared" si="82"/>
        <v>-1</v>
      </c>
      <c r="L326" s="35">
        <f t="shared" si="76"/>
        <v>2970.3</v>
      </c>
      <c r="M326" s="7">
        <f t="shared" si="82"/>
        <v>0</v>
      </c>
      <c r="N326" s="35">
        <f t="shared" si="77"/>
        <v>2970.3</v>
      </c>
      <c r="O326" s="7">
        <f t="shared" si="82"/>
        <v>0</v>
      </c>
      <c r="P326" s="35">
        <f t="shared" si="73"/>
        <v>2970.3</v>
      </c>
      <c r="Q326" s="7">
        <f t="shared" si="82"/>
        <v>0</v>
      </c>
      <c r="R326" s="35">
        <f t="shared" si="74"/>
        <v>2970.3</v>
      </c>
      <c r="S326" s="7">
        <f t="shared" si="82"/>
        <v>0</v>
      </c>
      <c r="T326" s="35">
        <f t="shared" si="71"/>
        <v>2970.3</v>
      </c>
    </row>
    <row r="327" spans="1:20" ht="18.75" customHeight="1">
      <c r="A327" s="61" t="str">
        <f ca="1">IF(ISERROR(MATCH(C327,Код_Раздел,0)),"",INDIRECT(ADDRESS(MATCH(C327,Код_Раздел,0)+1,2,,,"Раздел")))</f>
        <v>Культура, кинематография</v>
      </c>
      <c r="B327" s="43" t="s">
        <v>489</v>
      </c>
      <c r="C327" s="8" t="s">
        <v>222</v>
      </c>
      <c r="D327" s="1"/>
      <c r="E327" s="104"/>
      <c r="F327" s="7">
        <f t="shared" si="82"/>
        <v>2971.3</v>
      </c>
      <c r="G327" s="7">
        <f t="shared" si="82"/>
        <v>0</v>
      </c>
      <c r="H327" s="35">
        <f t="shared" si="81"/>
        <v>2971.3</v>
      </c>
      <c r="I327" s="7">
        <f t="shared" si="82"/>
        <v>0</v>
      </c>
      <c r="J327" s="35">
        <f t="shared" si="79"/>
        <v>2971.3</v>
      </c>
      <c r="K327" s="7">
        <f t="shared" si="82"/>
        <v>-1</v>
      </c>
      <c r="L327" s="35">
        <f t="shared" si="76"/>
        <v>2970.3</v>
      </c>
      <c r="M327" s="7">
        <f t="shared" si="82"/>
        <v>0</v>
      </c>
      <c r="N327" s="35">
        <f t="shared" si="77"/>
        <v>2970.3</v>
      </c>
      <c r="O327" s="7">
        <f t="shared" si="82"/>
        <v>0</v>
      </c>
      <c r="P327" s="35">
        <f t="shared" si="73"/>
        <v>2970.3</v>
      </c>
      <c r="Q327" s="7">
        <f t="shared" si="82"/>
        <v>0</v>
      </c>
      <c r="R327" s="35">
        <f t="shared" si="74"/>
        <v>2970.3</v>
      </c>
      <c r="S327" s="7">
        <f t="shared" si="82"/>
        <v>0</v>
      </c>
      <c r="T327" s="35">
        <f t="shared" si="71"/>
        <v>2970.3</v>
      </c>
    </row>
    <row r="328" spans="1:20" ht="18.75" customHeight="1">
      <c r="A328" s="12" t="s">
        <v>184</v>
      </c>
      <c r="B328" s="43" t="s">
        <v>489</v>
      </c>
      <c r="C328" s="8" t="s">
        <v>222</v>
      </c>
      <c r="D328" s="1" t="s">
        <v>213</v>
      </c>
      <c r="E328" s="104"/>
      <c r="F328" s="7">
        <f t="shared" si="82"/>
        <v>2971.3</v>
      </c>
      <c r="G328" s="7">
        <f t="shared" si="82"/>
        <v>0</v>
      </c>
      <c r="H328" s="35">
        <f t="shared" si="81"/>
        <v>2971.3</v>
      </c>
      <c r="I328" s="7">
        <f t="shared" si="82"/>
        <v>0</v>
      </c>
      <c r="J328" s="35">
        <f t="shared" si="79"/>
        <v>2971.3</v>
      </c>
      <c r="K328" s="7">
        <f t="shared" si="82"/>
        <v>-1</v>
      </c>
      <c r="L328" s="35">
        <f t="shared" si="76"/>
        <v>2970.3</v>
      </c>
      <c r="M328" s="7">
        <f t="shared" si="82"/>
        <v>0</v>
      </c>
      <c r="N328" s="35">
        <f t="shared" si="77"/>
        <v>2970.3</v>
      </c>
      <c r="O328" s="7">
        <f t="shared" si="82"/>
        <v>0</v>
      </c>
      <c r="P328" s="35">
        <f t="shared" si="73"/>
        <v>2970.3</v>
      </c>
      <c r="Q328" s="7">
        <f t="shared" si="82"/>
        <v>0</v>
      </c>
      <c r="R328" s="35">
        <f t="shared" si="74"/>
        <v>2970.3</v>
      </c>
      <c r="S328" s="7">
        <f t="shared" si="82"/>
        <v>0</v>
      </c>
      <c r="T328" s="35">
        <f t="shared" si="71"/>
        <v>2970.3</v>
      </c>
    </row>
    <row r="329" spans="1:20" ht="36.75" customHeight="1">
      <c r="A329" s="61" t="str">
        <f ca="1">IF(ISERROR(MATCH(E329,Код_КВР,0)),"",INDIRECT(ADDRESS(MATCH(E329,Код_КВР,0)+1,2,,,"КВР")))</f>
        <v>Предоставление субсидий бюджетным, автономным учреждениям и иным некоммерческим организациям</v>
      </c>
      <c r="B329" s="43" t="s">
        <v>489</v>
      </c>
      <c r="C329" s="8" t="s">
        <v>222</v>
      </c>
      <c r="D329" s="1" t="s">
        <v>213</v>
      </c>
      <c r="E329" s="104">
        <v>600</v>
      </c>
      <c r="F329" s="7">
        <f t="shared" si="82"/>
        <v>2971.3</v>
      </c>
      <c r="G329" s="7">
        <f t="shared" si="82"/>
        <v>0</v>
      </c>
      <c r="H329" s="35">
        <f t="shared" si="81"/>
        <v>2971.3</v>
      </c>
      <c r="I329" s="7">
        <f t="shared" si="82"/>
        <v>0</v>
      </c>
      <c r="J329" s="35">
        <f t="shared" si="79"/>
        <v>2971.3</v>
      </c>
      <c r="K329" s="7">
        <f t="shared" si="82"/>
        <v>-1</v>
      </c>
      <c r="L329" s="35">
        <f t="shared" si="76"/>
        <v>2970.3</v>
      </c>
      <c r="M329" s="7">
        <f t="shared" si="82"/>
        <v>0</v>
      </c>
      <c r="N329" s="35">
        <f t="shared" si="77"/>
        <v>2970.3</v>
      </c>
      <c r="O329" s="7">
        <f t="shared" si="82"/>
        <v>0</v>
      </c>
      <c r="P329" s="35">
        <f t="shared" si="73"/>
        <v>2970.3</v>
      </c>
      <c r="Q329" s="7">
        <f t="shared" si="82"/>
        <v>0</v>
      </c>
      <c r="R329" s="35">
        <f t="shared" si="74"/>
        <v>2970.3</v>
      </c>
      <c r="S329" s="7">
        <f t="shared" si="82"/>
        <v>0</v>
      </c>
      <c r="T329" s="35">
        <f t="shared" si="71"/>
        <v>2970.3</v>
      </c>
    </row>
    <row r="330" spans="1:20" ht="19.5" customHeight="1">
      <c r="A330" s="61" t="str">
        <f ca="1">IF(ISERROR(MATCH(E330,Код_КВР,0)),"",INDIRECT(ADDRESS(MATCH(E330,Код_КВР,0)+1,2,,,"КВР")))</f>
        <v>Субсидии бюджетным учреждениям</v>
      </c>
      <c r="B330" s="43" t="s">
        <v>489</v>
      </c>
      <c r="C330" s="8" t="s">
        <v>222</v>
      </c>
      <c r="D330" s="1" t="s">
        <v>213</v>
      </c>
      <c r="E330" s="104">
        <v>610</v>
      </c>
      <c r="F330" s="7">
        <f t="shared" si="82"/>
        <v>2971.3</v>
      </c>
      <c r="G330" s="7">
        <f t="shared" si="82"/>
        <v>0</v>
      </c>
      <c r="H330" s="35">
        <f t="shared" si="81"/>
        <v>2971.3</v>
      </c>
      <c r="I330" s="7">
        <f t="shared" si="82"/>
        <v>0</v>
      </c>
      <c r="J330" s="35">
        <f t="shared" si="79"/>
        <v>2971.3</v>
      </c>
      <c r="K330" s="7">
        <f t="shared" si="82"/>
        <v>-1</v>
      </c>
      <c r="L330" s="35">
        <f t="shared" si="76"/>
        <v>2970.3</v>
      </c>
      <c r="M330" s="7">
        <f t="shared" si="82"/>
        <v>0</v>
      </c>
      <c r="N330" s="35">
        <f t="shared" si="77"/>
        <v>2970.3</v>
      </c>
      <c r="O330" s="7">
        <f t="shared" si="82"/>
        <v>0</v>
      </c>
      <c r="P330" s="35">
        <f t="shared" si="73"/>
        <v>2970.3</v>
      </c>
      <c r="Q330" s="7">
        <f t="shared" si="82"/>
        <v>0</v>
      </c>
      <c r="R330" s="35">
        <f t="shared" si="74"/>
        <v>2970.3</v>
      </c>
      <c r="S330" s="7">
        <f t="shared" si="82"/>
        <v>0</v>
      </c>
      <c r="T330" s="35">
        <f t="shared" si="71"/>
        <v>2970.3</v>
      </c>
    </row>
    <row r="331" spans="1:20" ht="53.25" customHeight="1">
      <c r="A331" s="61" t="str">
        <f ca="1">IF(ISERROR(MATCH(E331,Код_КВР,0)),"",INDIRECT(ADDRESS(MATCH(E331,Код_КВР,0)+1,2,,,"КВР")))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31" s="43" t="s">
        <v>489</v>
      </c>
      <c r="C331" s="8" t="s">
        <v>222</v>
      </c>
      <c r="D331" s="1" t="s">
        <v>213</v>
      </c>
      <c r="E331" s="104">
        <v>611</v>
      </c>
      <c r="F331" s="7">
        <f>прил.6!G1010</f>
        <v>2971.3</v>
      </c>
      <c r="G331" s="7">
        <f>прил.6!H1010</f>
        <v>0</v>
      </c>
      <c r="H331" s="35">
        <f t="shared" si="81"/>
        <v>2971.3</v>
      </c>
      <c r="I331" s="7">
        <f>прил.6!J1010</f>
        <v>0</v>
      </c>
      <c r="J331" s="35">
        <f t="shared" si="79"/>
        <v>2971.3</v>
      </c>
      <c r="K331" s="7">
        <f>прил.6!L1010</f>
        <v>-1</v>
      </c>
      <c r="L331" s="35">
        <f t="shared" si="76"/>
        <v>2970.3</v>
      </c>
      <c r="M331" s="7">
        <f>прил.6!N1010</f>
        <v>0</v>
      </c>
      <c r="N331" s="35">
        <f t="shared" si="77"/>
        <v>2970.3</v>
      </c>
      <c r="O331" s="7">
        <f>прил.6!P1010</f>
        <v>0</v>
      </c>
      <c r="P331" s="35">
        <f t="shared" si="73"/>
        <v>2970.3</v>
      </c>
      <c r="Q331" s="7">
        <f>прил.6!R1010</f>
        <v>0</v>
      </c>
      <c r="R331" s="35">
        <f t="shared" si="74"/>
        <v>2970.3</v>
      </c>
      <c r="S331" s="7">
        <f>прил.6!T1010</f>
        <v>0</v>
      </c>
      <c r="T331" s="35">
        <f t="shared" si="71"/>
        <v>2970.3</v>
      </c>
    </row>
    <row r="332" spans="1:20" ht="33.75" customHeight="1">
      <c r="A332" s="61" t="str">
        <f ca="1">IF(ISERROR(MATCH(B332,Код_КЦСР,0)),"",INDIRECT(ADDRESS(MATCH(B332,Код_КЦСР,0)+1,2,,,"КЦСР")))</f>
        <v>Библиографическая обработка документов и организация  каталогов</v>
      </c>
      <c r="B332" s="43" t="s">
        <v>491</v>
      </c>
      <c r="C332" s="8"/>
      <c r="D332" s="1"/>
      <c r="E332" s="104"/>
      <c r="F332" s="7">
        <f t="shared" ref="F332:S336" si="83">F333</f>
        <v>4912.1000000000004</v>
      </c>
      <c r="G332" s="7">
        <f t="shared" si="83"/>
        <v>0</v>
      </c>
      <c r="H332" s="35">
        <f t="shared" si="81"/>
        <v>4912.1000000000004</v>
      </c>
      <c r="I332" s="7">
        <f t="shared" si="83"/>
        <v>0</v>
      </c>
      <c r="J332" s="35">
        <f t="shared" si="79"/>
        <v>4912.1000000000004</v>
      </c>
      <c r="K332" s="7">
        <f t="shared" si="83"/>
        <v>-1.2</v>
      </c>
      <c r="L332" s="35">
        <f t="shared" si="76"/>
        <v>4910.9000000000005</v>
      </c>
      <c r="M332" s="7">
        <f t="shared" si="83"/>
        <v>0</v>
      </c>
      <c r="N332" s="35">
        <f t="shared" si="77"/>
        <v>4910.9000000000005</v>
      </c>
      <c r="O332" s="7">
        <f t="shared" si="83"/>
        <v>0</v>
      </c>
      <c r="P332" s="35">
        <f t="shared" si="73"/>
        <v>4910.9000000000005</v>
      </c>
      <c r="Q332" s="7">
        <f t="shared" si="83"/>
        <v>0</v>
      </c>
      <c r="R332" s="35">
        <f t="shared" si="74"/>
        <v>4910.9000000000005</v>
      </c>
      <c r="S332" s="7">
        <f t="shared" si="83"/>
        <v>0</v>
      </c>
      <c r="T332" s="35">
        <f t="shared" si="71"/>
        <v>4910.9000000000005</v>
      </c>
    </row>
    <row r="333" spans="1:20" ht="19.5" customHeight="1">
      <c r="A333" s="61" t="str">
        <f ca="1">IF(ISERROR(MATCH(C333,Код_Раздел,0)),"",INDIRECT(ADDRESS(MATCH(C333,Код_Раздел,0)+1,2,,,"Раздел")))</f>
        <v>Культура, кинематография</v>
      </c>
      <c r="B333" s="43" t="s">
        <v>491</v>
      </c>
      <c r="C333" s="8" t="s">
        <v>222</v>
      </c>
      <c r="D333" s="1"/>
      <c r="E333" s="104"/>
      <c r="F333" s="7">
        <f t="shared" si="83"/>
        <v>4912.1000000000004</v>
      </c>
      <c r="G333" s="7">
        <f t="shared" si="83"/>
        <v>0</v>
      </c>
      <c r="H333" s="35">
        <f t="shared" si="81"/>
        <v>4912.1000000000004</v>
      </c>
      <c r="I333" s="7">
        <f t="shared" si="83"/>
        <v>0</v>
      </c>
      <c r="J333" s="35">
        <f t="shared" si="79"/>
        <v>4912.1000000000004</v>
      </c>
      <c r="K333" s="7">
        <f t="shared" si="83"/>
        <v>-1.2</v>
      </c>
      <c r="L333" s="35">
        <f t="shared" si="76"/>
        <v>4910.9000000000005</v>
      </c>
      <c r="M333" s="7">
        <f t="shared" si="83"/>
        <v>0</v>
      </c>
      <c r="N333" s="35">
        <f t="shared" si="77"/>
        <v>4910.9000000000005</v>
      </c>
      <c r="O333" s="7">
        <f t="shared" si="83"/>
        <v>0</v>
      </c>
      <c r="P333" s="35">
        <f t="shared" si="73"/>
        <v>4910.9000000000005</v>
      </c>
      <c r="Q333" s="7">
        <f t="shared" si="83"/>
        <v>0</v>
      </c>
      <c r="R333" s="35">
        <f t="shared" si="74"/>
        <v>4910.9000000000005</v>
      </c>
      <c r="S333" s="7">
        <f t="shared" si="83"/>
        <v>0</v>
      </c>
      <c r="T333" s="35">
        <f t="shared" si="71"/>
        <v>4910.9000000000005</v>
      </c>
    </row>
    <row r="334" spans="1:20" ht="19.5" customHeight="1">
      <c r="A334" s="12" t="s">
        <v>184</v>
      </c>
      <c r="B334" s="43" t="s">
        <v>491</v>
      </c>
      <c r="C334" s="8" t="s">
        <v>222</v>
      </c>
      <c r="D334" s="1" t="s">
        <v>213</v>
      </c>
      <c r="E334" s="104"/>
      <c r="F334" s="7">
        <f t="shared" si="83"/>
        <v>4912.1000000000004</v>
      </c>
      <c r="G334" s="7">
        <f t="shared" si="83"/>
        <v>0</v>
      </c>
      <c r="H334" s="35">
        <f t="shared" si="81"/>
        <v>4912.1000000000004</v>
      </c>
      <c r="I334" s="7">
        <f t="shared" si="83"/>
        <v>0</v>
      </c>
      <c r="J334" s="35">
        <f t="shared" si="79"/>
        <v>4912.1000000000004</v>
      </c>
      <c r="K334" s="7">
        <f t="shared" si="83"/>
        <v>-1.2</v>
      </c>
      <c r="L334" s="35">
        <f t="shared" si="76"/>
        <v>4910.9000000000005</v>
      </c>
      <c r="M334" s="7">
        <f t="shared" si="83"/>
        <v>0</v>
      </c>
      <c r="N334" s="35">
        <f t="shared" si="77"/>
        <v>4910.9000000000005</v>
      </c>
      <c r="O334" s="7">
        <f t="shared" si="83"/>
        <v>0</v>
      </c>
      <c r="P334" s="35">
        <f t="shared" si="73"/>
        <v>4910.9000000000005</v>
      </c>
      <c r="Q334" s="7">
        <f t="shared" si="83"/>
        <v>0</v>
      </c>
      <c r="R334" s="35">
        <f t="shared" si="74"/>
        <v>4910.9000000000005</v>
      </c>
      <c r="S334" s="7">
        <f t="shared" si="83"/>
        <v>0</v>
      </c>
      <c r="T334" s="35">
        <f t="shared" si="71"/>
        <v>4910.9000000000005</v>
      </c>
    </row>
    <row r="335" spans="1:20" ht="36.75" customHeight="1">
      <c r="A335" s="61" t="str">
        <f ca="1">IF(ISERROR(MATCH(E335,Код_КВР,0)),"",INDIRECT(ADDRESS(MATCH(E335,Код_КВР,0)+1,2,,,"КВР")))</f>
        <v>Предоставление субсидий бюджетным, автономным учреждениям и иным некоммерческим организациям</v>
      </c>
      <c r="B335" s="43" t="s">
        <v>491</v>
      </c>
      <c r="C335" s="8" t="s">
        <v>222</v>
      </c>
      <c r="D335" s="1" t="s">
        <v>213</v>
      </c>
      <c r="E335" s="104">
        <v>600</v>
      </c>
      <c r="F335" s="7">
        <f t="shared" si="83"/>
        <v>4912.1000000000004</v>
      </c>
      <c r="G335" s="7">
        <f t="shared" si="83"/>
        <v>0</v>
      </c>
      <c r="H335" s="35">
        <f t="shared" si="81"/>
        <v>4912.1000000000004</v>
      </c>
      <c r="I335" s="7">
        <f t="shared" si="83"/>
        <v>0</v>
      </c>
      <c r="J335" s="35">
        <f t="shared" si="79"/>
        <v>4912.1000000000004</v>
      </c>
      <c r="K335" s="7">
        <f t="shared" si="83"/>
        <v>-1.2</v>
      </c>
      <c r="L335" s="35">
        <f t="shared" si="76"/>
        <v>4910.9000000000005</v>
      </c>
      <c r="M335" s="7">
        <f t="shared" si="83"/>
        <v>0</v>
      </c>
      <c r="N335" s="35">
        <f t="shared" si="77"/>
        <v>4910.9000000000005</v>
      </c>
      <c r="O335" s="7">
        <f t="shared" si="83"/>
        <v>0</v>
      </c>
      <c r="P335" s="35">
        <f t="shared" si="73"/>
        <v>4910.9000000000005</v>
      </c>
      <c r="Q335" s="7">
        <f t="shared" si="83"/>
        <v>0</v>
      </c>
      <c r="R335" s="35">
        <f t="shared" si="74"/>
        <v>4910.9000000000005</v>
      </c>
      <c r="S335" s="7">
        <f t="shared" si="83"/>
        <v>0</v>
      </c>
      <c r="T335" s="35">
        <f t="shared" si="71"/>
        <v>4910.9000000000005</v>
      </c>
    </row>
    <row r="336" spans="1:20" ht="21" customHeight="1">
      <c r="A336" s="61" t="str">
        <f ca="1">IF(ISERROR(MATCH(E336,Код_КВР,0)),"",INDIRECT(ADDRESS(MATCH(E336,Код_КВР,0)+1,2,,,"КВР")))</f>
        <v>Субсидии бюджетным учреждениям</v>
      </c>
      <c r="B336" s="43" t="s">
        <v>491</v>
      </c>
      <c r="C336" s="8" t="s">
        <v>222</v>
      </c>
      <c r="D336" s="1" t="s">
        <v>213</v>
      </c>
      <c r="E336" s="104">
        <v>610</v>
      </c>
      <c r="F336" s="7">
        <f t="shared" si="83"/>
        <v>4912.1000000000004</v>
      </c>
      <c r="G336" s="7">
        <f t="shared" si="83"/>
        <v>0</v>
      </c>
      <c r="H336" s="35">
        <f t="shared" si="81"/>
        <v>4912.1000000000004</v>
      </c>
      <c r="I336" s="7">
        <f t="shared" si="83"/>
        <v>0</v>
      </c>
      <c r="J336" s="35">
        <f t="shared" si="79"/>
        <v>4912.1000000000004</v>
      </c>
      <c r="K336" s="7">
        <f t="shared" si="83"/>
        <v>-1.2</v>
      </c>
      <c r="L336" s="35">
        <f t="shared" si="76"/>
        <v>4910.9000000000005</v>
      </c>
      <c r="M336" s="7">
        <f t="shared" si="83"/>
        <v>0</v>
      </c>
      <c r="N336" s="35">
        <f t="shared" si="77"/>
        <v>4910.9000000000005</v>
      </c>
      <c r="O336" s="7">
        <f t="shared" si="83"/>
        <v>0</v>
      </c>
      <c r="P336" s="35">
        <f t="shared" si="73"/>
        <v>4910.9000000000005</v>
      </c>
      <c r="Q336" s="7">
        <f t="shared" si="83"/>
        <v>0</v>
      </c>
      <c r="R336" s="35">
        <f t="shared" si="74"/>
        <v>4910.9000000000005</v>
      </c>
      <c r="S336" s="7">
        <f t="shared" si="83"/>
        <v>0</v>
      </c>
      <c r="T336" s="35">
        <f t="shared" si="71"/>
        <v>4910.9000000000005</v>
      </c>
    </row>
    <row r="337" spans="1:20" ht="52.7" customHeight="1">
      <c r="A337" s="61" t="str">
        <f ca="1">IF(ISERROR(MATCH(E337,Код_КВР,0)),"",INDIRECT(ADDRESS(MATCH(E337,Код_КВР,0)+1,2,,,"КВР")))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37" s="43" t="s">
        <v>491</v>
      </c>
      <c r="C337" s="8" t="s">
        <v>222</v>
      </c>
      <c r="D337" s="1" t="s">
        <v>213</v>
      </c>
      <c r="E337" s="104">
        <v>611</v>
      </c>
      <c r="F337" s="7">
        <f>прил.6!G1014</f>
        <v>4912.1000000000004</v>
      </c>
      <c r="G337" s="7">
        <f>прил.6!H1014</f>
        <v>0</v>
      </c>
      <c r="H337" s="35">
        <f t="shared" si="81"/>
        <v>4912.1000000000004</v>
      </c>
      <c r="I337" s="7">
        <f>прил.6!J1014</f>
        <v>0</v>
      </c>
      <c r="J337" s="35">
        <f t="shared" si="79"/>
        <v>4912.1000000000004</v>
      </c>
      <c r="K337" s="7">
        <f>прил.6!L1014</f>
        <v>-1.2</v>
      </c>
      <c r="L337" s="35">
        <f t="shared" si="76"/>
        <v>4910.9000000000005</v>
      </c>
      <c r="M337" s="7">
        <f>прил.6!N1014</f>
        <v>0</v>
      </c>
      <c r="N337" s="35">
        <f t="shared" si="77"/>
        <v>4910.9000000000005</v>
      </c>
      <c r="O337" s="7">
        <f>прил.6!P1014</f>
        <v>0</v>
      </c>
      <c r="P337" s="35">
        <f t="shared" si="73"/>
        <v>4910.9000000000005</v>
      </c>
      <c r="Q337" s="7">
        <f>прил.6!R1014</f>
        <v>0</v>
      </c>
      <c r="R337" s="35">
        <f t="shared" si="74"/>
        <v>4910.9000000000005</v>
      </c>
      <c r="S337" s="7">
        <f>прил.6!T1014</f>
        <v>0</v>
      </c>
      <c r="T337" s="35">
        <f t="shared" si="71"/>
        <v>4910.9000000000005</v>
      </c>
    </row>
    <row r="338" spans="1:20" ht="35.25" customHeight="1">
      <c r="A338" s="61" t="str">
        <f ca="1">IF(ISERROR(MATCH(B338,Код_КЦСР,0)),"",INDIRECT(ADDRESS(MATCH(B338,Код_КЦСР,0)+1,2,,,"КЦСР")))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338" s="43" t="s">
        <v>671</v>
      </c>
      <c r="C338" s="8"/>
      <c r="D338" s="1"/>
      <c r="E338" s="128"/>
      <c r="F338" s="7"/>
      <c r="G338" s="7"/>
      <c r="H338" s="35"/>
      <c r="I338" s="7"/>
      <c r="J338" s="35"/>
      <c r="K338" s="7"/>
      <c r="L338" s="35"/>
      <c r="M338" s="7"/>
      <c r="N338" s="35"/>
      <c r="O338" s="7"/>
      <c r="P338" s="35"/>
      <c r="Q338" s="7">
        <f>Q339</f>
        <v>13039.6</v>
      </c>
      <c r="R338" s="35">
        <f t="shared" si="74"/>
        <v>13039.6</v>
      </c>
      <c r="S338" s="7">
        <f>S339</f>
        <v>-1043.2</v>
      </c>
      <c r="T338" s="35">
        <f t="shared" si="71"/>
        <v>11996.4</v>
      </c>
    </row>
    <row r="339" spans="1:20" ht="26.25" customHeight="1">
      <c r="A339" s="61" t="str">
        <f ca="1">IF(ISERROR(MATCH(C339,Код_Раздел,0)),"",INDIRECT(ADDRESS(MATCH(C339,Код_Раздел,0)+1,2,,,"Раздел")))</f>
        <v>Культура, кинематография</v>
      </c>
      <c r="B339" s="43" t="s">
        <v>671</v>
      </c>
      <c r="C339" s="8" t="s">
        <v>222</v>
      </c>
      <c r="D339" s="1"/>
      <c r="E339" s="128"/>
      <c r="F339" s="7"/>
      <c r="G339" s="7"/>
      <c r="H339" s="35"/>
      <c r="I339" s="7"/>
      <c r="J339" s="35"/>
      <c r="K339" s="7"/>
      <c r="L339" s="35"/>
      <c r="M339" s="7"/>
      <c r="N339" s="35"/>
      <c r="O339" s="7"/>
      <c r="P339" s="35"/>
      <c r="Q339" s="7">
        <f>Q340</f>
        <v>13039.6</v>
      </c>
      <c r="R339" s="35">
        <f t="shared" si="74"/>
        <v>13039.6</v>
      </c>
      <c r="S339" s="7">
        <f>S340</f>
        <v>-1043.2</v>
      </c>
      <c r="T339" s="35">
        <f t="shared" si="71"/>
        <v>11996.4</v>
      </c>
    </row>
    <row r="340" spans="1:20" ht="18.75" customHeight="1">
      <c r="A340" s="12" t="s">
        <v>184</v>
      </c>
      <c r="B340" s="43" t="s">
        <v>671</v>
      </c>
      <c r="C340" s="8" t="s">
        <v>222</v>
      </c>
      <c r="D340" s="1" t="s">
        <v>213</v>
      </c>
      <c r="E340" s="128"/>
      <c r="F340" s="7"/>
      <c r="G340" s="7"/>
      <c r="H340" s="35"/>
      <c r="I340" s="7"/>
      <c r="J340" s="35"/>
      <c r="K340" s="7"/>
      <c r="L340" s="35"/>
      <c r="M340" s="7"/>
      <c r="N340" s="35"/>
      <c r="O340" s="7"/>
      <c r="P340" s="35"/>
      <c r="Q340" s="7">
        <f>Q341</f>
        <v>13039.6</v>
      </c>
      <c r="R340" s="35">
        <f t="shared" si="74"/>
        <v>13039.6</v>
      </c>
      <c r="S340" s="7">
        <f>S341</f>
        <v>-1043.2</v>
      </c>
      <c r="T340" s="35">
        <f t="shared" si="71"/>
        <v>11996.4</v>
      </c>
    </row>
    <row r="341" spans="1:20" ht="38.25" customHeight="1">
      <c r="A341" s="61" t="str">
        <f ca="1">IF(ISERROR(MATCH(E341,Код_КВР,0)),"",INDIRECT(ADDRESS(MATCH(E341,Код_КВР,0)+1,2,,,"КВР")))</f>
        <v>Предоставление субсидий бюджетным, автономным учреждениям и иным некоммерческим организациям</v>
      </c>
      <c r="B341" s="43" t="s">
        <v>671</v>
      </c>
      <c r="C341" s="8" t="s">
        <v>222</v>
      </c>
      <c r="D341" s="1" t="s">
        <v>213</v>
      </c>
      <c r="E341" s="128">
        <v>600</v>
      </c>
      <c r="F341" s="7"/>
      <c r="G341" s="7"/>
      <c r="H341" s="35"/>
      <c r="I341" s="7"/>
      <c r="J341" s="35"/>
      <c r="K341" s="7"/>
      <c r="L341" s="35"/>
      <c r="M341" s="7"/>
      <c r="N341" s="35"/>
      <c r="O341" s="7"/>
      <c r="P341" s="35"/>
      <c r="Q341" s="7">
        <f>Q342</f>
        <v>13039.6</v>
      </c>
      <c r="R341" s="35">
        <f t="shared" si="74"/>
        <v>13039.6</v>
      </c>
      <c r="S341" s="7">
        <f>S342</f>
        <v>-1043.2</v>
      </c>
      <c r="T341" s="35">
        <f t="shared" si="71"/>
        <v>11996.4</v>
      </c>
    </row>
    <row r="342" spans="1:20" ht="24.75" customHeight="1">
      <c r="A342" s="61" t="str">
        <f ca="1">IF(ISERROR(MATCH(E342,Код_КВР,0)),"",INDIRECT(ADDRESS(MATCH(E342,Код_КВР,0)+1,2,,,"КВР")))</f>
        <v>Субсидии бюджетным учреждениям</v>
      </c>
      <c r="B342" s="43" t="s">
        <v>671</v>
      </c>
      <c r="C342" s="8" t="s">
        <v>222</v>
      </c>
      <c r="D342" s="1" t="s">
        <v>213</v>
      </c>
      <c r="E342" s="128">
        <v>610</v>
      </c>
      <c r="F342" s="7"/>
      <c r="G342" s="7"/>
      <c r="H342" s="35"/>
      <c r="I342" s="7"/>
      <c r="J342" s="35"/>
      <c r="K342" s="7"/>
      <c r="L342" s="35"/>
      <c r="M342" s="7"/>
      <c r="N342" s="35"/>
      <c r="O342" s="7"/>
      <c r="P342" s="35"/>
      <c r="Q342" s="7">
        <f>Q343</f>
        <v>13039.6</v>
      </c>
      <c r="R342" s="35">
        <f t="shared" si="74"/>
        <v>13039.6</v>
      </c>
      <c r="S342" s="7">
        <f>S343</f>
        <v>-1043.2</v>
      </c>
      <c r="T342" s="35">
        <f t="shared" si="71"/>
        <v>11996.4</v>
      </c>
    </row>
    <row r="343" spans="1:20" ht="52.7" customHeight="1">
      <c r="A343" s="61" t="str">
        <f ca="1">IF(ISERROR(MATCH(E343,Код_КВР,0)),"",INDIRECT(ADDRESS(MATCH(E343,Код_КВР,0)+1,2,,,"КВР")))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43" s="43" t="s">
        <v>671</v>
      </c>
      <c r="C343" s="8" t="s">
        <v>222</v>
      </c>
      <c r="D343" s="1" t="s">
        <v>213</v>
      </c>
      <c r="E343" s="128">
        <v>611</v>
      </c>
      <c r="F343" s="7"/>
      <c r="G343" s="7"/>
      <c r="H343" s="35"/>
      <c r="I343" s="7"/>
      <c r="J343" s="35"/>
      <c r="K343" s="7"/>
      <c r="L343" s="35"/>
      <c r="M343" s="7"/>
      <c r="N343" s="35"/>
      <c r="O343" s="7"/>
      <c r="P343" s="35"/>
      <c r="Q343" s="7">
        <f>прил.6!R1018</f>
        <v>13039.6</v>
      </c>
      <c r="R343" s="35">
        <f t="shared" si="74"/>
        <v>13039.6</v>
      </c>
      <c r="S343" s="7">
        <f>прил.6!T1018</f>
        <v>-1043.2</v>
      </c>
      <c r="T343" s="35">
        <f t="shared" si="71"/>
        <v>11996.4</v>
      </c>
    </row>
    <row r="344" spans="1:20">
      <c r="A344" s="61" t="str">
        <f ca="1">IF(ISERROR(MATCH(B344,Код_КЦСР,0)),"",INDIRECT(ADDRESS(MATCH(B344,Код_КЦСР,0)+1,2,,,"КЦСР")))</f>
        <v>Совершенствование культурно-досуговой деятельности</v>
      </c>
      <c r="B344" s="43" t="s">
        <v>493</v>
      </c>
      <c r="C344" s="8"/>
      <c r="D344" s="1"/>
      <c r="E344" s="104"/>
      <c r="F344" s="7">
        <f>F345+F351+F362+F368</f>
        <v>41179.599999999999</v>
      </c>
      <c r="G344" s="7">
        <f>G345+G351+G362+G368</f>
        <v>0</v>
      </c>
      <c r="H344" s="35">
        <f t="shared" si="81"/>
        <v>41179.599999999999</v>
      </c>
      <c r="I344" s="7">
        <f>I345+I351+I362+I368</f>
        <v>0</v>
      </c>
      <c r="J344" s="35">
        <f t="shared" si="79"/>
        <v>41179.599999999999</v>
      </c>
      <c r="K344" s="7">
        <f>K345+K351+K362+K368</f>
        <v>-61.7</v>
      </c>
      <c r="L344" s="35">
        <f t="shared" si="76"/>
        <v>41117.9</v>
      </c>
      <c r="M344" s="7">
        <f>M345+M351+M362+M368</f>
        <v>0</v>
      </c>
      <c r="N344" s="35">
        <f t="shared" si="77"/>
        <v>41117.9</v>
      </c>
      <c r="O344" s="7">
        <f>O345+O351+O362+O368</f>
        <v>0</v>
      </c>
      <c r="P344" s="35">
        <f t="shared" si="73"/>
        <v>41117.9</v>
      </c>
      <c r="Q344" s="7">
        <f>Q345+Q351+Q362+Q368+Q374</f>
        <v>-839</v>
      </c>
      <c r="R344" s="35">
        <f t="shared" si="74"/>
        <v>40278.9</v>
      </c>
      <c r="S344" s="7">
        <f>S345+S351+S362+S368+S374</f>
        <v>2638.1</v>
      </c>
      <c r="T344" s="35">
        <f t="shared" si="71"/>
        <v>42917</v>
      </c>
    </row>
    <row r="345" spans="1:20" ht="72" customHeight="1">
      <c r="A345" s="61" t="str">
        <f ca="1">IF(ISERROR(MATCH(B345,Код_КЦСР,0)),"",INDIRECT(ADDRESS(MATCH(B345,Код_КЦСР,0)+1,2,,,"КЦСР")))</f>
        <v>Ведомственная целевая программа «Отрасль 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v>
      </c>
      <c r="B345" s="43" t="s">
        <v>495</v>
      </c>
      <c r="C345" s="8"/>
      <c r="D345" s="1"/>
      <c r="E345" s="104"/>
      <c r="F345" s="7">
        <f t="shared" ref="F345:S349" si="84">F346</f>
        <v>450</v>
      </c>
      <c r="G345" s="7">
        <f t="shared" si="84"/>
        <v>0</v>
      </c>
      <c r="H345" s="35">
        <f t="shared" si="81"/>
        <v>450</v>
      </c>
      <c r="I345" s="7">
        <f t="shared" si="84"/>
        <v>0</v>
      </c>
      <c r="J345" s="35">
        <f t="shared" si="79"/>
        <v>450</v>
      </c>
      <c r="K345" s="7">
        <f t="shared" si="84"/>
        <v>0</v>
      </c>
      <c r="L345" s="35">
        <f t="shared" si="76"/>
        <v>450</v>
      </c>
      <c r="M345" s="7">
        <f t="shared" si="84"/>
        <v>0</v>
      </c>
      <c r="N345" s="35">
        <f t="shared" si="77"/>
        <v>450</v>
      </c>
      <c r="O345" s="7">
        <f t="shared" si="84"/>
        <v>0</v>
      </c>
      <c r="P345" s="35">
        <f t="shared" si="73"/>
        <v>450</v>
      </c>
      <c r="Q345" s="7">
        <f t="shared" si="84"/>
        <v>0</v>
      </c>
      <c r="R345" s="35">
        <f t="shared" si="74"/>
        <v>450</v>
      </c>
      <c r="S345" s="7">
        <f t="shared" si="84"/>
        <v>0</v>
      </c>
      <c r="T345" s="35">
        <f t="shared" si="71"/>
        <v>450</v>
      </c>
    </row>
    <row r="346" spans="1:20">
      <c r="A346" s="61" t="str">
        <f ca="1">IF(ISERROR(MATCH(C346,Код_Раздел,0)),"",INDIRECT(ADDRESS(MATCH(C346,Код_Раздел,0)+1,2,,,"Раздел")))</f>
        <v>Культура, кинематография</v>
      </c>
      <c r="B346" s="43" t="s">
        <v>495</v>
      </c>
      <c r="C346" s="8" t="s">
        <v>222</v>
      </c>
      <c r="D346" s="1"/>
      <c r="E346" s="104"/>
      <c r="F346" s="7">
        <f t="shared" si="84"/>
        <v>450</v>
      </c>
      <c r="G346" s="7">
        <f t="shared" si="84"/>
        <v>0</v>
      </c>
      <c r="H346" s="35">
        <f t="shared" si="81"/>
        <v>450</v>
      </c>
      <c r="I346" s="7">
        <f t="shared" si="84"/>
        <v>0</v>
      </c>
      <c r="J346" s="35">
        <f t="shared" si="79"/>
        <v>450</v>
      </c>
      <c r="K346" s="7">
        <f t="shared" si="84"/>
        <v>0</v>
      </c>
      <c r="L346" s="35">
        <f t="shared" si="76"/>
        <v>450</v>
      </c>
      <c r="M346" s="7">
        <f t="shared" si="84"/>
        <v>0</v>
      </c>
      <c r="N346" s="35">
        <f t="shared" si="77"/>
        <v>450</v>
      </c>
      <c r="O346" s="7">
        <f t="shared" si="84"/>
        <v>0</v>
      </c>
      <c r="P346" s="35">
        <f t="shared" si="73"/>
        <v>450</v>
      </c>
      <c r="Q346" s="7">
        <f t="shared" si="84"/>
        <v>0</v>
      </c>
      <c r="R346" s="35">
        <f t="shared" si="74"/>
        <v>450</v>
      </c>
      <c r="S346" s="7">
        <f t="shared" si="84"/>
        <v>0</v>
      </c>
      <c r="T346" s="35">
        <f t="shared" si="71"/>
        <v>450</v>
      </c>
    </row>
    <row r="347" spans="1:20">
      <c r="A347" s="12" t="s">
        <v>163</v>
      </c>
      <c r="B347" s="43" t="s">
        <v>495</v>
      </c>
      <c r="C347" s="8" t="s">
        <v>222</v>
      </c>
      <c r="D347" s="1" t="s">
        <v>216</v>
      </c>
      <c r="E347" s="104"/>
      <c r="F347" s="7">
        <f t="shared" si="84"/>
        <v>450</v>
      </c>
      <c r="G347" s="7">
        <f t="shared" si="84"/>
        <v>0</v>
      </c>
      <c r="H347" s="35">
        <f t="shared" si="81"/>
        <v>450</v>
      </c>
      <c r="I347" s="7">
        <f t="shared" si="84"/>
        <v>0</v>
      </c>
      <c r="J347" s="35">
        <f t="shared" si="79"/>
        <v>450</v>
      </c>
      <c r="K347" s="7">
        <f t="shared" si="84"/>
        <v>0</v>
      </c>
      <c r="L347" s="35">
        <f t="shared" si="76"/>
        <v>450</v>
      </c>
      <c r="M347" s="7">
        <f t="shared" si="84"/>
        <v>0</v>
      </c>
      <c r="N347" s="35">
        <f t="shared" si="77"/>
        <v>450</v>
      </c>
      <c r="O347" s="7">
        <f t="shared" si="84"/>
        <v>0</v>
      </c>
      <c r="P347" s="35">
        <f t="shared" si="73"/>
        <v>450</v>
      </c>
      <c r="Q347" s="7">
        <f t="shared" si="84"/>
        <v>0</v>
      </c>
      <c r="R347" s="35">
        <f t="shared" si="74"/>
        <v>450</v>
      </c>
      <c r="S347" s="7">
        <f t="shared" si="84"/>
        <v>0</v>
      </c>
      <c r="T347" s="35">
        <f t="shared" si="71"/>
        <v>450</v>
      </c>
    </row>
    <row r="348" spans="1:20" ht="33">
      <c r="A348" s="61" t="str">
        <f ca="1">IF(ISERROR(MATCH(E348,Код_КВР,0)),"",INDIRECT(ADDRESS(MATCH(E348,Код_КВР,0)+1,2,,,"КВР")))</f>
        <v>Предоставление субсидий бюджетным, автономным учреждениям и иным некоммерческим организациям</v>
      </c>
      <c r="B348" s="43" t="s">
        <v>495</v>
      </c>
      <c r="C348" s="8" t="s">
        <v>222</v>
      </c>
      <c r="D348" s="1" t="s">
        <v>216</v>
      </c>
      <c r="E348" s="104">
        <v>600</v>
      </c>
      <c r="F348" s="7">
        <f t="shared" si="84"/>
        <v>450</v>
      </c>
      <c r="G348" s="7">
        <f t="shared" si="84"/>
        <v>0</v>
      </c>
      <c r="H348" s="35">
        <f t="shared" si="81"/>
        <v>450</v>
      </c>
      <c r="I348" s="7">
        <f t="shared" si="84"/>
        <v>0</v>
      </c>
      <c r="J348" s="35">
        <f t="shared" si="79"/>
        <v>450</v>
      </c>
      <c r="K348" s="7">
        <f t="shared" si="84"/>
        <v>0</v>
      </c>
      <c r="L348" s="35">
        <f t="shared" si="76"/>
        <v>450</v>
      </c>
      <c r="M348" s="7">
        <f t="shared" si="84"/>
        <v>0</v>
      </c>
      <c r="N348" s="35">
        <f t="shared" si="77"/>
        <v>450</v>
      </c>
      <c r="O348" s="7">
        <f t="shared" si="84"/>
        <v>0</v>
      </c>
      <c r="P348" s="35">
        <f t="shared" si="73"/>
        <v>450</v>
      </c>
      <c r="Q348" s="7">
        <f t="shared" si="84"/>
        <v>0</v>
      </c>
      <c r="R348" s="35">
        <f t="shared" si="74"/>
        <v>450</v>
      </c>
      <c r="S348" s="7">
        <f t="shared" si="84"/>
        <v>0</v>
      </c>
      <c r="T348" s="35">
        <f t="shared" ref="T348:T411" si="85">R348+S348</f>
        <v>450</v>
      </c>
    </row>
    <row r="349" spans="1:20">
      <c r="A349" s="61" t="str">
        <f ca="1">IF(ISERROR(MATCH(E349,Код_КВР,0)),"",INDIRECT(ADDRESS(MATCH(E349,Код_КВР,0)+1,2,,,"КВР")))</f>
        <v>Субсидии бюджетным учреждениям</v>
      </c>
      <c r="B349" s="43" t="s">
        <v>495</v>
      </c>
      <c r="C349" s="8" t="s">
        <v>222</v>
      </c>
      <c r="D349" s="1" t="s">
        <v>216</v>
      </c>
      <c r="E349" s="104">
        <v>610</v>
      </c>
      <c r="F349" s="7">
        <f t="shared" si="84"/>
        <v>450</v>
      </c>
      <c r="G349" s="7">
        <f t="shared" si="84"/>
        <v>0</v>
      </c>
      <c r="H349" s="35">
        <f t="shared" si="81"/>
        <v>450</v>
      </c>
      <c r="I349" s="7">
        <f t="shared" si="84"/>
        <v>0</v>
      </c>
      <c r="J349" s="35">
        <f t="shared" si="79"/>
        <v>450</v>
      </c>
      <c r="K349" s="7">
        <f t="shared" si="84"/>
        <v>0</v>
      </c>
      <c r="L349" s="35">
        <f t="shared" si="76"/>
        <v>450</v>
      </c>
      <c r="M349" s="7">
        <f t="shared" si="84"/>
        <v>0</v>
      </c>
      <c r="N349" s="35">
        <f t="shared" si="77"/>
        <v>450</v>
      </c>
      <c r="O349" s="7">
        <f t="shared" si="84"/>
        <v>0</v>
      </c>
      <c r="P349" s="35">
        <f t="shared" si="73"/>
        <v>450</v>
      </c>
      <c r="Q349" s="7">
        <f t="shared" si="84"/>
        <v>0</v>
      </c>
      <c r="R349" s="35">
        <f t="shared" si="74"/>
        <v>450</v>
      </c>
      <c r="S349" s="7">
        <f t="shared" si="84"/>
        <v>0</v>
      </c>
      <c r="T349" s="35">
        <f t="shared" si="85"/>
        <v>450</v>
      </c>
    </row>
    <row r="350" spans="1:20">
      <c r="A350" s="61" t="str">
        <f ca="1">IF(ISERROR(MATCH(E350,Код_КВР,0)),"",INDIRECT(ADDRESS(MATCH(E350,Код_КВР,0)+1,2,,,"КВР")))</f>
        <v>Субсидии бюджетным учреждениям на иные цели</v>
      </c>
      <c r="B350" s="43" t="s">
        <v>495</v>
      </c>
      <c r="C350" s="8" t="s">
        <v>222</v>
      </c>
      <c r="D350" s="1" t="s">
        <v>216</v>
      </c>
      <c r="E350" s="104">
        <v>612</v>
      </c>
      <c r="F350" s="7">
        <f>прил.6!G1092</f>
        <v>450</v>
      </c>
      <c r="G350" s="7">
        <f>прил.6!H1092</f>
        <v>0</v>
      </c>
      <c r="H350" s="35">
        <f t="shared" si="81"/>
        <v>450</v>
      </c>
      <c r="I350" s="7">
        <f>прил.6!J1092</f>
        <v>0</v>
      </c>
      <c r="J350" s="35">
        <f t="shared" si="79"/>
        <v>450</v>
      </c>
      <c r="K350" s="7">
        <f>прил.6!L1092</f>
        <v>0</v>
      </c>
      <c r="L350" s="35">
        <f t="shared" si="76"/>
        <v>450</v>
      </c>
      <c r="M350" s="7">
        <f>прил.6!N1092</f>
        <v>0</v>
      </c>
      <c r="N350" s="35">
        <f t="shared" si="77"/>
        <v>450</v>
      </c>
      <c r="O350" s="7">
        <f>прил.6!P1092</f>
        <v>0</v>
      </c>
      <c r="P350" s="35">
        <f t="shared" si="73"/>
        <v>450</v>
      </c>
      <c r="Q350" s="7">
        <f>прил.6!R1092</f>
        <v>0</v>
      </c>
      <c r="R350" s="35">
        <f t="shared" si="74"/>
        <v>450</v>
      </c>
      <c r="S350" s="7">
        <f>прил.6!T1092</f>
        <v>0</v>
      </c>
      <c r="T350" s="35">
        <f t="shared" si="85"/>
        <v>450</v>
      </c>
    </row>
    <row r="351" spans="1:20" ht="97.5" customHeight="1">
      <c r="A351" s="61" t="str">
        <f ca="1">IF(ISERROR(MATCH(B351,Код_КЦСР,0)),"",INDIRECT(ADDRESS(MATCH(B351,Код_КЦСР,0)+1,2,,,"КЦСР")))</f>
        <v>Ведомственная целевая программа «Отрасль «Культура города Череповца» (2012-2014 годы) (Приобщение населения города к народным традициям, старинному быту и обычаям русского народа, организация и проведение конкурсов, фестивалей и смотров самодеятельного художественного творчества, выставок)</v>
      </c>
      <c r="B351" s="43" t="s">
        <v>499</v>
      </c>
      <c r="C351" s="8"/>
      <c r="D351" s="1"/>
      <c r="E351" s="104"/>
      <c r="F351" s="7">
        <f>F352+F357</f>
        <v>183</v>
      </c>
      <c r="G351" s="7">
        <f>G352+G357</f>
        <v>0</v>
      </c>
      <c r="H351" s="35">
        <f t="shared" si="81"/>
        <v>183</v>
      </c>
      <c r="I351" s="7">
        <f>I352+I357</f>
        <v>0</v>
      </c>
      <c r="J351" s="35">
        <f t="shared" si="79"/>
        <v>183</v>
      </c>
      <c r="K351" s="7">
        <f>K352+K357</f>
        <v>0</v>
      </c>
      <c r="L351" s="35">
        <f t="shared" si="76"/>
        <v>183</v>
      </c>
      <c r="M351" s="7">
        <f>M352+M357</f>
        <v>0</v>
      </c>
      <c r="N351" s="35">
        <f t="shared" si="77"/>
        <v>183</v>
      </c>
      <c r="O351" s="7">
        <f>O352+O357</f>
        <v>0</v>
      </c>
      <c r="P351" s="35">
        <f t="shared" si="73"/>
        <v>183</v>
      </c>
      <c r="Q351" s="7">
        <f>Q352+Q357</f>
        <v>0</v>
      </c>
      <c r="R351" s="35">
        <f t="shared" si="74"/>
        <v>183</v>
      </c>
      <c r="S351" s="7">
        <f>S352+S357</f>
        <v>0</v>
      </c>
      <c r="T351" s="35">
        <f t="shared" si="85"/>
        <v>183</v>
      </c>
    </row>
    <row r="352" spans="1:20" ht="20.25" customHeight="1">
      <c r="A352" s="61" t="str">
        <f ca="1">IF(ISERROR(MATCH(C352,Код_Раздел,0)),"",INDIRECT(ADDRESS(MATCH(C352,Код_Раздел,0)+1,2,,,"Раздел")))</f>
        <v>Образование</v>
      </c>
      <c r="B352" s="43" t="s">
        <v>499</v>
      </c>
      <c r="C352" s="8" t="s">
        <v>195</v>
      </c>
      <c r="D352" s="1"/>
      <c r="E352" s="104"/>
      <c r="F352" s="7">
        <f t="shared" ref="F352:S355" si="86">F353</f>
        <v>76</v>
      </c>
      <c r="G352" s="7">
        <f t="shared" si="86"/>
        <v>0</v>
      </c>
      <c r="H352" s="35">
        <f t="shared" si="81"/>
        <v>76</v>
      </c>
      <c r="I352" s="7">
        <f t="shared" si="86"/>
        <v>0</v>
      </c>
      <c r="J352" s="35">
        <f t="shared" si="79"/>
        <v>76</v>
      </c>
      <c r="K352" s="7">
        <f t="shared" si="86"/>
        <v>0</v>
      </c>
      <c r="L352" s="35">
        <f t="shared" si="76"/>
        <v>76</v>
      </c>
      <c r="M352" s="7">
        <f t="shared" si="86"/>
        <v>0</v>
      </c>
      <c r="N352" s="35">
        <f t="shared" si="77"/>
        <v>76</v>
      </c>
      <c r="O352" s="7">
        <f t="shared" si="86"/>
        <v>0</v>
      </c>
      <c r="P352" s="35">
        <f t="shared" si="73"/>
        <v>76</v>
      </c>
      <c r="Q352" s="7">
        <f t="shared" si="86"/>
        <v>0</v>
      </c>
      <c r="R352" s="35">
        <f t="shared" si="74"/>
        <v>76</v>
      </c>
      <c r="S352" s="7">
        <f t="shared" si="86"/>
        <v>0</v>
      </c>
      <c r="T352" s="35">
        <f t="shared" si="85"/>
        <v>76</v>
      </c>
    </row>
    <row r="353" spans="1:20" ht="19.5" customHeight="1">
      <c r="A353" s="12" t="s">
        <v>251</v>
      </c>
      <c r="B353" s="43" t="s">
        <v>499</v>
      </c>
      <c r="C353" s="8" t="s">
        <v>195</v>
      </c>
      <c r="D353" s="1" t="s">
        <v>219</v>
      </c>
      <c r="E353" s="104"/>
      <c r="F353" s="7">
        <f t="shared" si="86"/>
        <v>76</v>
      </c>
      <c r="G353" s="7">
        <f t="shared" si="86"/>
        <v>0</v>
      </c>
      <c r="H353" s="35">
        <f t="shared" si="81"/>
        <v>76</v>
      </c>
      <c r="I353" s="7">
        <f t="shared" si="86"/>
        <v>0</v>
      </c>
      <c r="J353" s="35">
        <f t="shared" si="79"/>
        <v>76</v>
      </c>
      <c r="K353" s="7">
        <f t="shared" si="86"/>
        <v>0</v>
      </c>
      <c r="L353" s="35">
        <f t="shared" si="76"/>
        <v>76</v>
      </c>
      <c r="M353" s="7">
        <f t="shared" si="86"/>
        <v>0</v>
      </c>
      <c r="N353" s="35">
        <f t="shared" si="77"/>
        <v>76</v>
      </c>
      <c r="O353" s="7">
        <f t="shared" si="86"/>
        <v>0</v>
      </c>
      <c r="P353" s="35">
        <f t="shared" si="73"/>
        <v>76</v>
      </c>
      <c r="Q353" s="7">
        <f t="shared" si="86"/>
        <v>0</v>
      </c>
      <c r="R353" s="35">
        <f t="shared" si="74"/>
        <v>76</v>
      </c>
      <c r="S353" s="7">
        <f t="shared" si="86"/>
        <v>0</v>
      </c>
      <c r="T353" s="35">
        <f t="shared" si="85"/>
        <v>76</v>
      </c>
    </row>
    <row r="354" spans="1:20" ht="35.25" customHeight="1">
      <c r="A354" s="61" t="str">
        <f ca="1">IF(ISERROR(MATCH(E354,Код_КВР,0)),"",INDIRECT(ADDRESS(MATCH(E354,Код_КВР,0)+1,2,,,"КВР")))</f>
        <v>Предоставление субсидий бюджетным, автономным учреждениям и иным некоммерческим организациям</v>
      </c>
      <c r="B354" s="43" t="s">
        <v>499</v>
      </c>
      <c r="C354" s="8" t="s">
        <v>195</v>
      </c>
      <c r="D354" s="1" t="s">
        <v>219</v>
      </c>
      <c r="E354" s="104">
        <v>600</v>
      </c>
      <c r="F354" s="7">
        <f t="shared" si="86"/>
        <v>76</v>
      </c>
      <c r="G354" s="7">
        <f t="shared" si="86"/>
        <v>0</v>
      </c>
      <c r="H354" s="35">
        <f t="shared" si="81"/>
        <v>76</v>
      </c>
      <c r="I354" s="7">
        <f t="shared" si="86"/>
        <v>0</v>
      </c>
      <c r="J354" s="35">
        <f t="shared" si="79"/>
        <v>76</v>
      </c>
      <c r="K354" s="7">
        <f t="shared" si="86"/>
        <v>0</v>
      </c>
      <c r="L354" s="35">
        <f t="shared" si="76"/>
        <v>76</v>
      </c>
      <c r="M354" s="7">
        <f t="shared" si="86"/>
        <v>0</v>
      </c>
      <c r="N354" s="35">
        <f t="shared" si="77"/>
        <v>76</v>
      </c>
      <c r="O354" s="7">
        <f t="shared" si="86"/>
        <v>0</v>
      </c>
      <c r="P354" s="35">
        <f t="shared" si="73"/>
        <v>76</v>
      </c>
      <c r="Q354" s="7">
        <f t="shared" si="86"/>
        <v>0</v>
      </c>
      <c r="R354" s="35">
        <f t="shared" si="74"/>
        <v>76</v>
      </c>
      <c r="S354" s="7">
        <f t="shared" si="86"/>
        <v>0</v>
      </c>
      <c r="T354" s="35">
        <f t="shared" si="85"/>
        <v>76</v>
      </c>
    </row>
    <row r="355" spans="1:20" ht="19.5" customHeight="1">
      <c r="A355" s="61" t="str">
        <f ca="1">IF(ISERROR(MATCH(E355,Код_КВР,0)),"",INDIRECT(ADDRESS(MATCH(E355,Код_КВР,0)+1,2,,,"КВР")))</f>
        <v>Субсидии бюджетным учреждениям</v>
      </c>
      <c r="B355" s="43" t="s">
        <v>499</v>
      </c>
      <c r="C355" s="8" t="s">
        <v>195</v>
      </c>
      <c r="D355" s="1" t="s">
        <v>219</v>
      </c>
      <c r="E355" s="104">
        <v>610</v>
      </c>
      <c r="F355" s="7">
        <f t="shared" si="86"/>
        <v>76</v>
      </c>
      <c r="G355" s="7">
        <f t="shared" si="86"/>
        <v>0</v>
      </c>
      <c r="H355" s="35">
        <f t="shared" si="81"/>
        <v>76</v>
      </c>
      <c r="I355" s="7">
        <f t="shared" si="86"/>
        <v>0</v>
      </c>
      <c r="J355" s="35">
        <f t="shared" si="79"/>
        <v>76</v>
      </c>
      <c r="K355" s="7">
        <f t="shared" si="86"/>
        <v>0</v>
      </c>
      <c r="L355" s="35">
        <f t="shared" si="76"/>
        <v>76</v>
      </c>
      <c r="M355" s="7">
        <f t="shared" si="86"/>
        <v>0</v>
      </c>
      <c r="N355" s="35">
        <f t="shared" si="77"/>
        <v>76</v>
      </c>
      <c r="O355" s="7">
        <f t="shared" si="86"/>
        <v>0</v>
      </c>
      <c r="P355" s="35">
        <f t="shared" si="73"/>
        <v>76</v>
      </c>
      <c r="Q355" s="7">
        <f t="shared" si="86"/>
        <v>0</v>
      </c>
      <c r="R355" s="35">
        <f t="shared" si="74"/>
        <v>76</v>
      </c>
      <c r="S355" s="7">
        <f t="shared" si="86"/>
        <v>0</v>
      </c>
      <c r="T355" s="35">
        <f t="shared" si="85"/>
        <v>76</v>
      </c>
    </row>
    <row r="356" spans="1:20" ht="19.5" customHeight="1">
      <c r="A356" s="61" t="str">
        <f ca="1">IF(ISERROR(MATCH(E356,Код_КВР,0)),"",INDIRECT(ADDRESS(MATCH(E356,Код_КВР,0)+1,2,,,"КВР")))</f>
        <v>Субсидии бюджетным учреждениям на иные цели</v>
      </c>
      <c r="B356" s="43" t="s">
        <v>499</v>
      </c>
      <c r="C356" s="8" t="s">
        <v>195</v>
      </c>
      <c r="D356" s="1" t="s">
        <v>219</v>
      </c>
      <c r="E356" s="104">
        <v>612</v>
      </c>
      <c r="F356" s="7">
        <f>прил.6!G946</f>
        <v>76</v>
      </c>
      <c r="G356" s="7">
        <f>прил.6!H946</f>
        <v>0</v>
      </c>
      <c r="H356" s="35">
        <f t="shared" si="81"/>
        <v>76</v>
      </c>
      <c r="I356" s="7">
        <f>прил.6!J946</f>
        <v>0</v>
      </c>
      <c r="J356" s="35">
        <f t="shared" si="79"/>
        <v>76</v>
      </c>
      <c r="K356" s="7">
        <f>прил.6!L946</f>
        <v>0</v>
      </c>
      <c r="L356" s="35">
        <f t="shared" si="76"/>
        <v>76</v>
      </c>
      <c r="M356" s="7">
        <f>прил.6!N946</f>
        <v>0</v>
      </c>
      <c r="N356" s="35">
        <f t="shared" si="77"/>
        <v>76</v>
      </c>
      <c r="O356" s="7">
        <f>прил.6!P946</f>
        <v>0</v>
      </c>
      <c r="P356" s="35">
        <f t="shared" si="73"/>
        <v>76</v>
      </c>
      <c r="Q356" s="7">
        <f>прил.6!R946</f>
        <v>0</v>
      </c>
      <c r="R356" s="35">
        <f t="shared" si="74"/>
        <v>76</v>
      </c>
      <c r="S356" s="7">
        <f>прил.6!T946</f>
        <v>0</v>
      </c>
      <c r="T356" s="35">
        <f t="shared" si="85"/>
        <v>76</v>
      </c>
    </row>
    <row r="357" spans="1:20" ht="20.25" customHeight="1">
      <c r="A357" s="61" t="str">
        <f ca="1">IF(ISERROR(MATCH(C357,Код_Раздел,0)),"",INDIRECT(ADDRESS(MATCH(C357,Код_Раздел,0)+1,2,,,"Раздел")))</f>
        <v>Культура, кинематография</v>
      </c>
      <c r="B357" s="43" t="s">
        <v>499</v>
      </c>
      <c r="C357" s="8" t="s">
        <v>222</v>
      </c>
      <c r="D357" s="1"/>
      <c r="E357" s="104"/>
      <c r="F357" s="7">
        <f t="shared" ref="F357:S360" si="87">F358</f>
        <v>107</v>
      </c>
      <c r="G357" s="7">
        <f t="shared" si="87"/>
        <v>0</v>
      </c>
      <c r="H357" s="35">
        <f t="shared" si="81"/>
        <v>107</v>
      </c>
      <c r="I357" s="7">
        <f t="shared" si="87"/>
        <v>0</v>
      </c>
      <c r="J357" s="35">
        <f t="shared" si="79"/>
        <v>107</v>
      </c>
      <c r="K357" s="7">
        <f t="shared" si="87"/>
        <v>0</v>
      </c>
      <c r="L357" s="35">
        <f t="shared" si="76"/>
        <v>107</v>
      </c>
      <c r="M357" s="7">
        <f t="shared" si="87"/>
        <v>0</v>
      </c>
      <c r="N357" s="35">
        <f t="shared" si="77"/>
        <v>107</v>
      </c>
      <c r="O357" s="7">
        <f t="shared" si="87"/>
        <v>0</v>
      </c>
      <c r="P357" s="35">
        <f t="shared" si="73"/>
        <v>107</v>
      </c>
      <c r="Q357" s="7">
        <f t="shared" si="87"/>
        <v>0</v>
      </c>
      <c r="R357" s="35">
        <f t="shared" si="74"/>
        <v>107</v>
      </c>
      <c r="S357" s="7">
        <f t="shared" si="87"/>
        <v>0</v>
      </c>
      <c r="T357" s="35">
        <f t="shared" si="85"/>
        <v>107</v>
      </c>
    </row>
    <row r="358" spans="1:20" ht="18.75" customHeight="1">
      <c r="A358" s="12" t="s">
        <v>163</v>
      </c>
      <c r="B358" s="43" t="s">
        <v>499</v>
      </c>
      <c r="C358" s="8" t="s">
        <v>222</v>
      </c>
      <c r="D358" s="1" t="s">
        <v>216</v>
      </c>
      <c r="E358" s="104"/>
      <c r="F358" s="7">
        <f t="shared" si="87"/>
        <v>107</v>
      </c>
      <c r="G358" s="7">
        <f t="shared" si="87"/>
        <v>0</v>
      </c>
      <c r="H358" s="35">
        <f t="shared" si="81"/>
        <v>107</v>
      </c>
      <c r="I358" s="7">
        <f t="shared" si="87"/>
        <v>0</v>
      </c>
      <c r="J358" s="35">
        <f t="shared" si="79"/>
        <v>107</v>
      </c>
      <c r="K358" s="7">
        <f t="shared" si="87"/>
        <v>0</v>
      </c>
      <c r="L358" s="35">
        <f t="shared" si="76"/>
        <v>107</v>
      </c>
      <c r="M358" s="7">
        <f t="shared" si="87"/>
        <v>0</v>
      </c>
      <c r="N358" s="35">
        <f t="shared" si="77"/>
        <v>107</v>
      </c>
      <c r="O358" s="7">
        <f t="shared" si="87"/>
        <v>0</v>
      </c>
      <c r="P358" s="35">
        <f t="shared" si="73"/>
        <v>107</v>
      </c>
      <c r="Q358" s="7">
        <f t="shared" si="87"/>
        <v>0</v>
      </c>
      <c r="R358" s="35">
        <f t="shared" si="74"/>
        <v>107</v>
      </c>
      <c r="S358" s="7">
        <f t="shared" si="87"/>
        <v>0</v>
      </c>
      <c r="T358" s="35">
        <f t="shared" si="85"/>
        <v>107</v>
      </c>
    </row>
    <row r="359" spans="1:20" ht="35.25" customHeight="1">
      <c r="A359" s="61" t="str">
        <f ca="1">IF(ISERROR(MATCH(E359,Код_КВР,0)),"",INDIRECT(ADDRESS(MATCH(E359,Код_КВР,0)+1,2,,,"КВР")))</f>
        <v>Предоставление субсидий бюджетным, автономным учреждениям и иным некоммерческим организациям</v>
      </c>
      <c r="B359" s="43" t="s">
        <v>499</v>
      </c>
      <c r="C359" s="8" t="s">
        <v>222</v>
      </c>
      <c r="D359" s="1" t="s">
        <v>216</v>
      </c>
      <c r="E359" s="104">
        <v>600</v>
      </c>
      <c r="F359" s="7">
        <f t="shared" si="87"/>
        <v>107</v>
      </c>
      <c r="G359" s="7">
        <f t="shared" si="87"/>
        <v>0</v>
      </c>
      <c r="H359" s="35">
        <f t="shared" si="81"/>
        <v>107</v>
      </c>
      <c r="I359" s="7">
        <f t="shared" si="87"/>
        <v>0</v>
      </c>
      <c r="J359" s="35">
        <f t="shared" si="79"/>
        <v>107</v>
      </c>
      <c r="K359" s="7">
        <f t="shared" si="87"/>
        <v>0</v>
      </c>
      <c r="L359" s="35">
        <f t="shared" si="76"/>
        <v>107</v>
      </c>
      <c r="M359" s="7">
        <f t="shared" si="87"/>
        <v>0</v>
      </c>
      <c r="N359" s="35">
        <f t="shared" si="77"/>
        <v>107</v>
      </c>
      <c r="O359" s="7">
        <f t="shared" si="87"/>
        <v>0</v>
      </c>
      <c r="P359" s="35">
        <f t="shared" si="73"/>
        <v>107</v>
      </c>
      <c r="Q359" s="7">
        <f t="shared" si="87"/>
        <v>0</v>
      </c>
      <c r="R359" s="35">
        <f t="shared" si="74"/>
        <v>107</v>
      </c>
      <c r="S359" s="7">
        <f t="shared" si="87"/>
        <v>0</v>
      </c>
      <c r="T359" s="35">
        <f t="shared" si="85"/>
        <v>107</v>
      </c>
    </row>
    <row r="360" spans="1:20" ht="18.75" customHeight="1">
      <c r="A360" s="61" t="str">
        <f ca="1">IF(ISERROR(MATCH(E360,Код_КВР,0)),"",INDIRECT(ADDRESS(MATCH(E360,Код_КВР,0)+1,2,,,"КВР")))</f>
        <v>Субсидии бюджетным учреждениям</v>
      </c>
      <c r="B360" s="43" t="s">
        <v>499</v>
      </c>
      <c r="C360" s="8" t="s">
        <v>222</v>
      </c>
      <c r="D360" s="1" t="s">
        <v>216</v>
      </c>
      <c r="E360" s="104">
        <v>610</v>
      </c>
      <c r="F360" s="7">
        <f t="shared" si="87"/>
        <v>107</v>
      </c>
      <c r="G360" s="7">
        <f t="shared" si="87"/>
        <v>0</v>
      </c>
      <c r="H360" s="35">
        <f t="shared" si="81"/>
        <v>107</v>
      </c>
      <c r="I360" s="7">
        <f t="shared" si="87"/>
        <v>0</v>
      </c>
      <c r="J360" s="35">
        <f t="shared" si="79"/>
        <v>107</v>
      </c>
      <c r="K360" s="7">
        <f t="shared" si="87"/>
        <v>0</v>
      </c>
      <c r="L360" s="35">
        <f t="shared" si="76"/>
        <v>107</v>
      </c>
      <c r="M360" s="7">
        <f t="shared" si="87"/>
        <v>0</v>
      </c>
      <c r="N360" s="35">
        <f t="shared" si="77"/>
        <v>107</v>
      </c>
      <c r="O360" s="7">
        <f t="shared" si="87"/>
        <v>0</v>
      </c>
      <c r="P360" s="35">
        <f t="shared" si="73"/>
        <v>107</v>
      </c>
      <c r="Q360" s="7">
        <f t="shared" si="87"/>
        <v>0</v>
      </c>
      <c r="R360" s="35">
        <f t="shared" si="74"/>
        <v>107</v>
      </c>
      <c r="S360" s="7">
        <f t="shared" si="87"/>
        <v>0</v>
      </c>
      <c r="T360" s="35">
        <f t="shared" si="85"/>
        <v>107</v>
      </c>
    </row>
    <row r="361" spans="1:20" ht="21" customHeight="1">
      <c r="A361" s="61" t="str">
        <f ca="1">IF(ISERROR(MATCH(E361,Код_КВР,0)),"",INDIRECT(ADDRESS(MATCH(E361,Код_КВР,0)+1,2,,,"КВР")))</f>
        <v>Субсидии бюджетным учреждениям на иные цели</v>
      </c>
      <c r="B361" s="43" t="s">
        <v>499</v>
      </c>
      <c r="C361" s="8" t="s">
        <v>222</v>
      </c>
      <c r="D361" s="1" t="s">
        <v>216</v>
      </c>
      <c r="E361" s="104">
        <v>612</v>
      </c>
      <c r="F361" s="7">
        <f>прил.6!G1096</f>
        <v>107</v>
      </c>
      <c r="G361" s="7">
        <f>прил.6!H1096</f>
        <v>0</v>
      </c>
      <c r="H361" s="35">
        <f t="shared" si="81"/>
        <v>107</v>
      </c>
      <c r="I361" s="7">
        <f>прил.6!J1096</f>
        <v>0</v>
      </c>
      <c r="J361" s="35">
        <f t="shared" si="79"/>
        <v>107</v>
      </c>
      <c r="K361" s="7">
        <f>прил.6!L1096</f>
        <v>0</v>
      </c>
      <c r="L361" s="35">
        <f t="shared" si="76"/>
        <v>107</v>
      </c>
      <c r="M361" s="7">
        <f>прил.6!N1096</f>
        <v>0</v>
      </c>
      <c r="N361" s="35">
        <f t="shared" si="77"/>
        <v>107</v>
      </c>
      <c r="O361" s="7">
        <f>прил.6!P1096</f>
        <v>0</v>
      </c>
      <c r="P361" s="35">
        <f t="shared" si="73"/>
        <v>107</v>
      </c>
      <c r="Q361" s="7">
        <f>прил.6!R1096</f>
        <v>0</v>
      </c>
      <c r="R361" s="35">
        <f t="shared" si="74"/>
        <v>107</v>
      </c>
      <c r="S361" s="7">
        <f>прил.6!T1096</f>
        <v>0</v>
      </c>
      <c r="T361" s="35">
        <f t="shared" si="85"/>
        <v>107</v>
      </c>
    </row>
    <row r="362" spans="1:20" ht="19.5" customHeight="1">
      <c r="A362" s="61" t="str">
        <f ca="1">IF(ISERROR(MATCH(B362,Код_КЦСР,0)),"",INDIRECT(ADDRESS(MATCH(B362,Код_КЦСР,0)+1,2,,,"КЦСР")))</f>
        <v>Оказание муниципальных услуг</v>
      </c>
      <c r="B362" s="43" t="s">
        <v>500</v>
      </c>
      <c r="C362" s="8"/>
      <c r="D362" s="1"/>
      <c r="E362" s="104"/>
      <c r="F362" s="7">
        <f t="shared" ref="F362:S366" si="88">F363</f>
        <v>37417.199999999997</v>
      </c>
      <c r="G362" s="7">
        <f t="shared" si="88"/>
        <v>0</v>
      </c>
      <c r="H362" s="35">
        <f t="shared" si="81"/>
        <v>37417.199999999997</v>
      </c>
      <c r="I362" s="7">
        <f t="shared" si="88"/>
        <v>0</v>
      </c>
      <c r="J362" s="35">
        <f t="shared" si="79"/>
        <v>37417.199999999997</v>
      </c>
      <c r="K362" s="7">
        <f t="shared" si="88"/>
        <v>-59.5</v>
      </c>
      <c r="L362" s="35">
        <f t="shared" si="76"/>
        <v>37357.699999999997</v>
      </c>
      <c r="M362" s="7">
        <f t="shared" si="88"/>
        <v>0</v>
      </c>
      <c r="N362" s="35">
        <f t="shared" si="77"/>
        <v>37357.699999999997</v>
      </c>
      <c r="O362" s="7">
        <f t="shared" si="88"/>
        <v>0</v>
      </c>
      <c r="P362" s="35">
        <f t="shared" si="73"/>
        <v>37357.699999999997</v>
      </c>
      <c r="Q362" s="7">
        <f t="shared" si="88"/>
        <v>-1463.7</v>
      </c>
      <c r="R362" s="35">
        <f t="shared" si="74"/>
        <v>35894</v>
      </c>
      <c r="S362" s="7">
        <f t="shared" si="88"/>
        <v>0</v>
      </c>
      <c r="T362" s="35">
        <f t="shared" si="85"/>
        <v>35894</v>
      </c>
    </row>
    <row r="363" spans="1:20" ht="18.75" customHeight="1">
      <c r="A363" s="61" t="str">
        <f ca="1">IF(ISERROR(MATCH(C363,Код_Раздел,0)),"",INDIRECT(ADDRESS(MATCH(C363,Код_Раздел,0)+1,2,,,"Раздел")))</f>
        <v>Культура, кинематография</v>
      </c>
      <c r="B363" s="43" t="s">
        <v>500</v>
      </c>
      <c r="C363" s="8" t="s">
        <v>222</v>
      </c>
      <c r="D363" s="1"/>
      <c r="E363" s="104"/>
      <c r="F363" s="7">
        <f t="shared" si="88"/>
        <v>37417.199999999997</v>
      </c>
      <c r="G363" s="7">
        <f t="shared" si="88"/>
        <v>0</v>
      </c>
      <c r="H363" s="35">
        <f t="shared" si="81"/>
        <v>37417.199999999997</v>
      </c>
      <c r="I363" s="7">
        <f t="shared" si="88"/>
        <v>0</v>
      </c>
      <c r="J363" s="35">
        <f t="shared" si="79"/>
        <v>37417.199999999997</v>
      </c>
      <c r="K363" s="7">
        <f t="shared" si="88"/>
        <v>-59.5</v>
      </c>
      <c r="L363" s="35">
        <f t="shared" si="76"/>
        <v>37357.699999999997</v>
      </c>
      <c r="M363" s="7">
        <f t="shared" si="88"/>
        <v>0</v>
      </c>
      <c r="N363" s="35">
        <f t="shared" si="77"/>
        <v>37357.699999999997</v>
      </c>
      <c r="O363" s="7">
        <f t="shared" si="88"/>
        <v>0</v>
      </c>
      <c r="P363" s="35">
        <f t="shared" si="73"/>
        <v>37357.699999999997</v>
      </c>
      <c r="Q363" s="7">
        <f t="shared" si="88"/>
        <v>-1463.7</v>
      </c>
      <c r="R363" s="35">
        <f t="shared" si="74"/>
        <v>35894</v>
      </c>
      <c r="S363" s="7">
        <f t="shared" si="88"/>
        <v>0</v>
      </c>
      <c r="T363" s="35">
        <f t="shared" si="85"/>
        <v>35894</v>
      </c>
    </row>
    <row r="364" spans="1:20" ht="18.75" customHeight="1">
      <c r="A364" s="12" t="s">
        <v>184</v>
      </c>
      <c r="B364" s="43" t="s">
        <v>500</v>
      </c>
      <c r="C364" s="8" t="s">
        <v>222</v>
      </c>
      <c r="D364" s="1" t="s">
        <v>213</v>
      </c>
      <c r="E364" s="104"/>
      <c r="F364" s="7">
        <f t="shared" si="88"/>
        <v>37417.199999999997</v>
      </c>
      <c r="G364" s="7">
        <f t="shared" si="88"/>
        <v>0</v>
      </c>
      <c r="H364" s="35">
        <f t="shared" si="81"/>
        <v>37417.199999999997</v>
      </c>
      <c r="I364" s="7">
        <f t="shared" si="88"/>
        <v>0</v>
      </c>
      <c r="J364" s="35">
        <f t="shared" si="79"/>
        <v>37417.199999999997</v>
      </c>
      <c r="K364" s="7">
        <f t="shared" si="88"/>
        <v>-59.5</v>
      </c>
      <c r="L364" s="35">
        <f t="shared" si="76"/>
        <v>37357.699999999997</v>
      </c>
      <c r="M364" s="7">
        <f t="shared" si="88"/>
        <v>0</v>
      </c>
      <c r="N364" s="35">
        <f t="shared" si="77"/>
        <v>37357.699999999997</v>
      </c>
      <c r="O364" s="7">
        <f t="shared" si="88"/>
        <v>0</v>
      </c>
      <c r="P364" s="35">
        <f t="shared" si="73"/>
        <v>37357.699999999997</v>
      </c>
      <c r="Q364" s="7">
        <f t="shared" si="88"/>
        <v>-1463.7</v>
      </c>
      <c r="R364" s="35">
        <f t="shared" si="74"/>
        <v>35894</v>
      </c>
      <c r="S364" s="7">
        <f t="shared" si="88"/>
        <v>0</v>
      </c>
      <c r="T364" s="35">
        <f t="shared" si="85"/>
        <v>35894</v>
      </c>
    </row>
    <row r="365" spans="1:20" ht="35.25" customHeight="1">
      <c r="A365" s="61" t="str">
        <f ca="1">IF(ISERROR(MATCH(E365,Код_КВР,0)),"",INDIRECT(ADDRESS(MATCH(E365,Код_КВР,0)+1,2,,,"КВР")))</f>
        <v>Предоставление субсидий бюджетным, автономным учреждениям и иным некоммерческим организациям</v>
      </c>
      <c r="B365" s="43" t="s">
        <v>500</v>
      </c>
      <c r="C365" s="8" t="s">
        <v>222</v>
      </c>
      <c r="D365" s="1" t="s">
        <v>213</v>
      </c>
      <c r="E365" s="104">
        <v>600</v>
      </c>
      <c r="F365" s="7">
        <f t="shared" si="88"/>
        <v>37417.199999999997</v>
      </c>
      <c r="G365" s="7">
        <f t="shared" si="88"/>
        <v>0</v>
      </c>
      <c r="H365" s="35">
        <f t="shared" si="81"/>
        <v>37417.199999999997</v>
      </c>
      <c r="I365" s="7">
        <f t="shared" si="88"/>
        <v>0</v>
      </c>
      <c r="J365" s="35">
        <f t="shared" si="79"/>
        <v>37417.199999999997</v>
      </c>
      <c r="K365" s="7">
        <f t="shared" si="88"/>
        <v>-59.5</v>
      </c>
      <c r="L365" s="35">
        <f t="shared" si="76"/>
        <v>37357.699999999997</v>
      </c>
      <c r="M365" s="7">
        <f t="shared" si="88"/>
        <v>0</v>
      </c>
      <c r="N365" s="35">
        <f t="shared" si="77"/>
        <v>37357.699999999997</v>
      </c>
      <c r="O365" s="7">
        <f t="shared" si="88"/>
        <v>0</v>
      </c>
      <c r="P365" s="35">
        <f t="shared" si="73"/>
        <v>37357.699999999997</v>
      </c>
      <c r="Q365" s="7">
        <f t="shared" si="88"/>
        <v>-1463.7</v>
      </c>
      <c r="R365" s="35">
        <f t="shared" si="74"/>
        <v>35894</v>
      </c>
      <c r="S365" s="7">
        <f t="shared" si="88"/>
        <v>0</v>
      </c>
      <c r="T365" s="35">
        <f t="shared" si="85"/>
        <v>35894</v>
      </c>
    </row>
    <row r="366" spans="1:20" ht="20.25" customHeight="1">
      <c r="A366" s="61" t="str">
        <f ca="1">IF(ISERROR(MATCH(E366,Код_КВР,0)),"",INDIRECT(ADDRESS(MATCH(E366,Код_КВР,0)+1,2,,,"КВР")))</f>
        <v>Субсидии бюджетным учреждениям</v>
      </c>
      <c r="B366" s="43" t="s">
        <v>500</v>
      </c>
      <c r="C366" s="8" t="s">
        <v>222</v>
      </c>
      <c r="D366" s="1" t="s">
        <v>213</v>
      </c>
      <c r="E366" s="104">
        <v>610</v>
      </c>
      <c r="F366" s="7">
        <f t="shared" si="88"/>
        <v>37417.199999999997</v>
      </c>
      <c r="G366" s="7">
        <f t="shared" si="88"/>
        <v>0</v>
      </c>
      <c r="H366" s="35">
        <f t="shared" si="81"/>
        <v>37417.199999999997</v>
      </c>
      <c r="I366" s="7">
        <f t="shared" si="88"/>
        <v>0</v>
      </c>
      <c r="J366" s="35">
        <f t="shared" si="79"/>
        <v>37417.199999999997</v>
      </c>
      <c r="K366" s="7">
        <f t="shared" si="88"/>
        <v>-59.5</v>
      </c>
      <c r="L366" s="35">
        <f t="shared" si="76"/>
        <v>37357.699999999997</v>
      </c>
      <c r="M366" s="7">
        <f t="shared" si="88"/>
        <v>0</v>
      </c>
      <c r="N366" s="35">
        <f t="shared" si="77"/>
        <v>37357.699999999997</v>
      </c>
      <c r="O366" s="7">
        <f t="shared" si="88"/>
        <v>0</v>
      </c>
      <c r="P366" s="35">
        <f t="shared" si="73"/>
        <v>37357.699999999997</v>
      </c>
      <c r="Q366" s="7">
        <f t="shared" si="88"/>
        <v>-1463.7</v>
      </c>
      <c r="R366" s="35">
        <f t="shared" si="74"/>
        <v>35894</v>
      </c>
      <c r="S366" s="7">
        <f t="shared" si="88"/>
        <v>0</v>
      </c>
      <c r="T366" s="35">
        <f t="shared" si="85"/>
        <v>35894</v>
      </c>
    </row>
    <row r="367" spans="1:20" ht="53.25" customHeight="1">
      <c r="A367" s="61" t="str">
        <f ca="1">IF(ISERROR(MATCH(E367,Код_КВР,0)),"",INDIRECT(ADDRESS(MATCH(E367,Код_КВР,0)+1,2,,,"КВР")))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67" s="43" t="s">
        <v>500</v>
      </c>
      <c r="C367" s="8" t="s">
        <v>222</v>
      </c>
      <c r="D367" s="1" t="s">
        <v>213</v>
      </c>
      <c r="E367" s="104">
        <v>611</v>
      </c>
      <c r="F367" s="7">
        <f>прил.6!G1023</f>
        <v>37417.199999999997</v>
      </c>
      <c r="G367" s="7">
        <f>прил.6!H1023</f>
        <v>0</v>
      </c>
      <c r="H367" s="35">
        <f t="shared" si="81"/>
        <v>37417.199999999997</v>
      </c>
      <c r="I367" s="7">
        <f>прил.6!J1023</f>
        <v>0</v>
      </c>
      <c r="J367" s="35">
        <f t="shared" si="79"/>
        <v>37417.199999999997</v>
      </c>
      <c r="K367" s="7">
        <f>прил.6!L1023</f>
        <v>-59.5</v>
      </c>
      <c r="L367" s="35">
        <f t="shared" si="76"/>
        <v>37357.699999999997</v>
      </c>
      <c r="M367" s="7">
        <f>прил.6!N1023</f>
        <v>0</v>
      </c>
      <c r="N367" s="35">
        <f t="shared" si="77"/>
        <v>37357.699999999997</v>
      </c>
      <c r="O367" s="7">
        <f>прил.6!P1023</f>
        <v>0</v>
      </c>
      <c r="P367" s="35">
        <f t="shared" si="73"/>
        <v>37357.699999999997</v>
      </c>
      <c r="Q367" s="7">
        <f>прил.6!R1023</f>
        <v>-1463.7</v>
      </c>
      <c r="R367" s="35">
        <f t="shared" si="74"/>
        <v>35894</v>
      </c>
      <c r="S367" s="7">
        <f>прил.6!T1023</f>
        <v>0</v>
      </c>
      <c r="T367" s="35">
        <f t="shared" si="85"/>
        <v>35894</v>
      </c>
    </row>
    <row r="368" spans="1:20" ht="36.75" customHeight="1">
      <c r="A368" s="61" t="str">
        <f ca="1">IF(ISERROR(MATCH(B368,Код_КЦСР,0)),"",INDIRECT(ADDRESS(MATCH(B368,Код_КЦСР,0)+1,2,,,"КЦСР")))</f>
        <v>Сохранение нематериального культурного наследия народов традиционной народной культуры</v>
      </c>
      <c r="B368" s="43" t="s">
        <v>501</v>
      </c>
      <c r="C368" s="8"/>
      <c r="D368" s="1"/>
      <c r="E368" s="104"/>
      <c r="F368" s="7">
        <f t="shared" ref="F368:S372" si="89">F369</f>
        <v>3129.4</v>
      </c>
      <c r="G368" s="7">
        <f t="shared" si="89"/>
        <v>0</v>
      </c>
      <c r="H368" s="35">
        <f t="shared" si="81"/>
        <v>3129.4</v>
      </c>
      <c r="I368" s="7">
        <f t="shared" si="89"/>
        <v>0</v>
      </c>
      <c r="J368" s="35">
        <f t="shared" si="79"/>
        <v>3129.4</v>
      </c>
      <c r="K368" s="7">
        <f t="shared" si="89"/>
        <v>-2.2000000000000002</v>
      </c>
      <c r="L368" s="35">
        <f t="shared" si="76"/>
        <v>3127.2000000000003</v>
      </c>
      <c r="M368" s="7">
        <f t="shared" si="89"/>
        <v>0</v>
      </c>
      <c r="N368" s="35">
        <f t="shared" si="77"/>
        <v>3127.2000000000003</v>
      </c>
      <c r="O368" s="7">
        <f t="shared" si="89"/>
        <v>0</v>
      </c>
      <c r="P368" s="35">
        <f t="shared" si="73"/>
        <v>3127.2000000000003</v>
      </c>
      <c r="Q368" s="7">
        <f t="shared" si="89"/>
        <v>0</v>
      </c>
      <c r="R368" s="35">
        <f t="shared" si="74"/>
        <v>3127.2000000000003</v>
      </c>
      <c r="S368" s="7">
        <f t="shared" si="89"/>
        <v>0</v>
      </c>
      <c r="T368" s="35">
        <f t="shared" si="85"/>
        <v>3127.2000000000003</v>
      </c>
    </row>
    <row r="369" spans="1:20" ht="19.5" customHeight="1">
      <c r="A369" s="61" t="str">
        <f ca="1">IF(ISERROR(MATCH(C369,Код_Раздел,0)),"",INDIRECT(ADDRESS(MATCH(C369,Код_Раздел,0)+1,2,,,"Раздел")))</f>
        <v>Культура, кинематография</v>
      </c>
      <c r="B369" s="43" t="s">
        <v>501</v>
      </c>
      <c r="C369" s="8" t="s">
        <v>222</v>
      </c>
      <c r="D369" s="1"/>
      <c r="E369" s="104"/>
      <c r="F369" s="7">
        <f t="shared" si="89"/>
        <v>3129.4</v>
      </c>
      <c r="G369" s="7">
        <f t="shared" si="89"/>
        <v>0</v>
      </c>
      <c r="H369" s="35">
        <f t="shared" si="81"/>
        <v>3129.4</v>
      </c>
      <c r="I369" s="7">
        <f t="shared" si="89"/>
        <v>0</v>
      </c>
      <c r="J369" s="35">
        <f t="shared" si="79"/>
        <v>3129.4</v>
      </c>
      <c r="K369" s="7">
        <f t="shared" si="89"/>
        <v>-2.2000000000000002</v>
      </c>
      <c r="L369" s="35">
        <f t="shared" si="76"/>
        <v>3127.2000000000003</v>
      </c>
      <c r="M369" s="7">
        <f t="shared" si="89"/>
        <v>0</v>
      </c>
      <c r="N369" s="35">
        <f t="shared" si="77"/>
        <v>3127.2000000000003</v>
      </c>
      <c r="O369" s="7">
        <f t="shared" si="89"/>
        <v>0</v>
      </c>
      <c r="P369" s="35">
        <f t="shared" si="73"/>
        <v>3127.2000000000003</v>
      </c>
      <c r="Q369" s="7">
        <f t="shared" si="89"/>
        <v>0</v>
      </c>
      <c r="R369" s="35">
        <f t="shared" si="74"/>
        <v>3127.2000000000003</v>
      </c>
      <c r="S369" s="7">
        <f t="shared" si="89"/>
        <v>0</v>
      </c>
      <c r="T369" s="35">
        <f t="shared" si="85"/>
        <v>3127.2000000000003</v>
      </c>
    </row>
    <row r="370" spans="1:20" ht="22.5" customHeight="1">
      <c r="A370" s="12" t="s">
        <v>184</v>
      </c>
      <c r="B370" s="43" t="s">
        <v>501</v>
      </c>
      <c r="C370" s="8" t="s">
        <v>222</v>
      </c>
      <c r="D370" s="1" t="s">
        <v>213</v>
      </c>
      <c r="E370" s="104"/>
      <c r="F370" s="7">
        <f t="shared" si="89"/>
        <v>3129.4</v>
      </c>
      <c r="G370" s="7">
        <f t="shared" si="89"/>
        <v>0</v>
      </c>
      <c r="H370" s="35">
        <f t="shared" si="81"/>
        <v>3129.4</v>
      </c>
      <c r="I370" s="7">
        <f t="shared" si="89"/>
        <v>0</v>
      </c>
      <c r="J370" s="35">
        <f t="shared" si="79"/>
        <v>3129.4</v>
      </c>
      <c r="K370" s="7">
        <f t="shared" si="89"/>
        <v>-2.2000000000000002</v>
      </c>
      <c r="L370" s="35">
        <f t="shared" si="76"/>
        <v>3127.2000000000003</v>
      </c>
      <c r="M370" s="7">
        <f t="shared" si="89"/>
        <v>0</v>
      </c>
      <c r="N370" s="35">
        <f t="shared" si="77"/>
        <v>3127.2000000000003</v>
      </c>
      <c r="O370" s="7">
        <f t="shared" si="89"/>
        <v>0</v>
      </c>
      <c r="P370" s="35">
        <f t="shared" si="73"/>
        <v>3127.2000000000003</v>
      </c>
      <c r="Q370" s="7">
        <f t="shared" si="89"/>
        <v>0</v>
      </c>
      <c r="R370" s="35">
        <f t="shared" si="74"/>
        <v>3127.2000000000003</v>
      </c>
      <c r="S370" s="7">
        <f t="shared" si="89"/>
        <v>0</v>
      </c>
      <c r="T370" s="35">
        <f t="shared" si="85"/>
        <v>3127.2000000000003</v>
      </c>
    </row>
    <row r="371" spans="1:20" ht="36.75" customHeight="1">
      <c r="A371" s="61" t="str">
        <f ca="1">IF(ISERROR(MATCH(E371,Код_КВР,0)),"",INDIRECT(ADDRESS(MATCH(E371,Код_КВР,0)+1,2,,,"КВР")))</f>
        <v>Предоставление субсидий бюджетным, автономным учреждениям и иным некоммерческим организациям</v>
      </c>
      <c r="B371" s="43" t="s">
        <v>501</v>
      </c>
      <c r="C371" s="8" t="s">
        <v>222</v>
      </c>
      <c r="D371" s="1" t="s">
        <v>213</v>
      </c>
      <c r="E371" s="104">
        <v>600</v>
      </c>
      <c r="F371" s="7">
        <f t="shared" si="89"/>
        <v>3129.4</v>
      </c>
      <c r="G371" s="7">
        <f t="shared" si="89"/>
        <v>0</v>
      </c>
      <c r="H371" s="35">
        <f t="shared" si="81"/>
        <v>3129.4</v>
      </c>
      <c r="I371" s="7">
        <f t="shared" si="89"/>
        <v>0</v>
      </c>
      <c r="J371" s="35">
        <f t="shared" si="79"/>
        <v>3129.4</v>
      </c>
      <c r="K371" s="7">
        <f t="shared" si="89"/>
        <v>-2.2000000000000002</v>
      </c>
      <c r="L371" s="35">
        <f t="shared" si="76"/>
        <v>3127.2000000000003</v>
      </c>
      <c r="M371" s="7">
        <f t="shared" si="89"/>
        <v>0</v>
      </c>
      <c r="N371" s="35">
        <f t="shared" si="77"/>
        <v>3127.2000000000003</v>
      </c>
      <c r="O371" s="7">
        <f t="shared" si="89"/>
        <v>0</v>
      </c>
      <c r="P371" s="35">
        <f t="shared" si="73"/>
        <v>3127.2000000000003</v>
      </c>
      <c r="Q371" s="7">
        <f t="shared" si="89"/>
        <v>0</v>
      </c>
      <c r="R371" s="35">
        <f t="shared" si="74"/>
        <v>3127.2000000000003</v>
      </c>
      <c r="S371" s="7">
        <f t="shared" si="89"/>
        <v>0</v>
      </c>
      <c r="T371" s="35">
        <f t="shared" si="85"/>
        <v>3127.2000000000003</v>
      </c>
    </row>
    <row r="372" spans="1:20" ht="22.5" customHeight="1">
      <c r="A372" s="61" t="str">
        <f ca="1">IF(ISERROR(MATCH(E372,Код_КВР,0)),"",INDIRECT(ADDRESS(MATCH(E372,Код_КВР,0)+1,2,,,"КВР")))</f>
        <v>Субсидии бюджетным учреждениям</v>
      </c>
      <c r="B372" s="43" t="s">
        <v>501</v>
      </c>
      <c r="C372" s="8" t="s">
        <v>222</v>
      </c>
      <c r="D372" s="1" t="s">
        <v>213</v>
      </c>
      <c r="E372" s="104">
        <v>610</v>
      </c>
      <c r="F372" s="7">
        <f t="shared" si="89"/>
        <v>3129.4</v>
      </c>
      <c r="G372" s="7">
        <f t="shared" si="89"/>
        <v>0</v>
      </c>
      <c r="H372" s="35">
        <f t="shared" si="81"/>
        <v>3129.4</v>
      </c>
      <c r="I372" s="7">
        <f t="shared" si="89"/>
        <v>0</v>
      </c>
      <c r="J372" s="35">
        <f t="shared" si="79"/>
        <v>3129.4</v>
      </c>
      <c r="K372" s="7">
        <f t="shared" si="89"/>
        <v>-2.2000000000000002</v>
      </c>
      <c r="L372" s="35">
        <f t="shared" si="76"/>
        <v>3127.2000000000003</v>
      </c>
      <c r="M372" s="7">
        <f t="shared" si="89"/>
        <v>0</v>
      </c>
      <c r="N372" s="35">
        <f t="shared" si="77"/>
        <v>3127.2000000000003</v>
      </c>
      <c r="O372" s="7">
        <f t="shared" si="89"/>
        <v>0</v>
      </c>
      <c r="P372" s="35">
        <f t="shared" si="73"/>
        <v>3127.2000000000003</v>
      </c>
      <c r="Q372" s="7">
        <f t="shared" si="89"/>
        <v>0</v>
      </c>
      <c r="R372" s="35">
        <f t="shared" si="74"/>
        <v>3127.2000000000003</v>
      </c>
      <c r="S372" s="7">
        <f t="shared" si="89"/>
        <v>0</v>
      </c>
      <c r="T372" s="35">
        <f t="shared" si="85"/>
        <v>3127.2000000000003</v>
      </c>
    </row>
    <row r="373" spans="1:20" ht="51.75" customHeight="1">
      <c r="A373" s="61" t="str">
        <f ca="1">IF(ISERROR(MATCH(E373,Код_КВР,0)),"",INDIRECT(ADDRESS(MATCH(E373,Код_КВР,0)+1,2,,,"КВР")))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73" s="43" t="s">
        <v>501</v>
      </c>
      <c r="C373" s="8" t="s">
        <v>222</v>
      </c>
      <c r="D373" s="1" t="s">
        <v>213</v>
      </c>
      <c r="E373" s="104">
        <v>611</v>
      </c>
      <c r="F373" s="7">
        <f>прил.6!G1027</f>
        <v>3129.4</v>
      </c>
      <c r="G373" s="7">
        <f>прил.6!H1027</f>
        <v>0</v>
      </c>
      <c r="H373" s="35">
        <f t="shared" si="81"/>
        <v>3129.4</v>
      </c>
      <c r="I373" s="7">
        <f>прил.6!J1027</f>
        <v>0</v>
      </c>
      <c r="J373" s="35">
        <f t="shared" si="79"/>
        <v>3129.4</v>
      </c>
      <c r="K373" s="7">
        <f>прил.6!L1027</f>
        <v>-2.2000000000000002</v>
      </c>
      <c r="L373" s="35">
        <f t="shared" si="76"/>
        <v>3127.2000000000003</v>
      </c>
      <c r="M373" s="7">
        <f>прил.6!N1027</f>
        <v>0</v>
      </c>
      <c r="N373" s="35">
        <f t="shared" si="77"/>
        <v>3127.2000000000003</v>
      </c>
      <c r="O373" s="7">
        <f>прил.6!P1027</f>
        <v>0</v>
      </c>
      <c r="P373" s="35">
        <f t="shared" si="73"/>
        <v>3127.2000000000003</v>
      </c>
      <c r="Q373" s="7">
        <f>прил.6!R1027</f>
        <v>0</v>
      </c>
      <c r="R373" s="35">
        <f t="shared" si="74"/>
        <v>3127.2000000000003</v>
      </c>
      <c r="S373" s="7">
        <f>прил.6!T1027</f>
        <v>0</v>
      </c>
      <c r="T373" s="35">
        <f t="shared" si="85"/>
        <v>3127.2000000000003</v>
      </c>
    </row>
    <row r="374" spans="1:20" ht="51.75" customHeight="1">
      <c r="A374" s="61" t="str">
        <f ca="1">IF(ISERROR(MATCH(B374,Код_КЦСР,0)),"",INDIRECT(ADDRESS(MATCH(B374,Код_КЦСР,0)+1,2,,,"КЦСР")))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374" s="43" t="s">
        <v>672</v>
      </c>
      <c r="C374" s="8"/>
      <c r="D374" s="1"/>
      <c r="E374" s="128"/>
      <c r="F374" s="7"/>
      <c r="G374" s="7"/>
      <c r="H374" s="35"/>
      <c r="I374" s="7"/>
      <c r="J374" s="35"/>
      <c r="K374" s="7"/>
      <c r="L374" s="35"/>
      <c r="M374" s="7"/>
      <c r="N374" s="35"/>
      <c r="O374" s="7"/>
      <c r="P374" s="35"/>
      <c r="Q374" s="7">
        <f>Q375</f>
        <v>624.70000000000005</v>
      </c>
      <c r="R374" s="35">
        <f t="shared" ref="R374:R379" si="90">P374+Q374</f>
        <v>624.70000000000005</v>
      </c>
      <c r="S374" s="7">
        <f>S375</f>
        <v>2638.1</v>
      </c>
      <c r="T374" s="35">
        <f t="shared" si="85"/>
        <v>3262.8</v>
      </c>
    </row>
    <row r="375" spans="1:20" ht="23.25" customHeight="1">
      <c r="A375" s="61" t="str">
        <f ca="1">IF(ISERROR(MATCH(C375,Код_Раздел,0)),"",INDIRECT(ADDRESS(MATCH(C375,Код_Раздел,0)+1,2,,,"Раздел")))</f>
        <v>Культура, кинематография</v>
      </c>
      <c r="B375" s="43" t="s">
        <v>672</v>
      </c>
      <c r="C375" s="8" t="s">
        <v>222</v>
      </c>
      <c r="D375" s="1"/>
      <c r="E375" s="128"/>
      <c r="F375" s="7"/>
      <c r="G375" s="7"/>
      <c r="H375" s="35"/>
      <c r="I375" s="7"/>
      <c r="J375" s="35"/>
      <c r="K375" s="7"/>
      <c r="L375" s="35"/>
      <c r="M375" s="7"/>
      <c r="N375" s="35"/>
      <c r="O375" s="7"/>
      <c r="P375" s="35"/>
      <c r="Q375" s="7">
        <f>Q376</f>
        <v>624.70000000000005</v>
      </c>
      <c r="R375" s="35">
        <f t="shared" si="90"/>
        <v>624.70000000000005</v>
      </c>
      <c r="S375" s="7">
        <f>S376</f>
        <v>2638.1</v>
      </c>
      <c r="T375" s="35">
        <f t="shared" si="85"/>
        <v>3262.8</v>
      </c>
    </row>
    <row r="376" spans="1:20" ht="19.5" customHeight="1">
      <c r="A376" s="12" t="s">
        <v>184</v>
      </c>
      <c r="B376" s="43" t="s">
        <v>672</v>
      </c>
      <c r="C376" s="8" t="s">
        <v>222</v>
      </c>
      <c r="D376" s="1" t="s">
        <v>213</v>
      </c>
      <c r="E376" s="128"/>
      <c r="F376" s="7"/>
      <c r="G376" s="7"/>
      <c r="H376" s="35"/>
      <c r="I376" s="7"/>
      <c r="J376" s="35"/>
      <c r="K376" s="7"/>
      <c r="L376" s="35"/>
      <c r="M376" s="7"/>
      <c r="N376" s="35"/>
      <c r="O376" s="7"/>
      <c r="P376" s="35"/>
      <c r="Q376" s="7">
        <f>Q377</f>
        <v>624.70000000000005</v>
      </c>
      <c r="R376" s="35">
        <f t="shared" si="90"/>
        <v>624.70000000000005</v>
      </c>
      <c r="S376" s="7">
        <f>S377</f>
        <v>2638.1</v>
      </c>
      <c r="T376" s="35">
        <f t="shared" si="85"/>
        <v>3262.8</v>
      </c>
    </row>
    <row r="377" spans="1:20" ht="32.25" customHeight="1">
      <c r="A377" s="61" t="str">
        <f ca="1">IF(ISERROR(MATCH(E377,Код_КВР,0)),"",INDIRECT(ADDRESS(MATCH(E377,Код_КВР,0)+1,2,,,"КВР")))</f>
        <v>Предоставление субсидий бюджетным, автономным учреждениям и иным некоммерческим организациям</v>
      </c>
      <c r="B377" s="43" t="s">
        <v>672</v>
      </c>
      <c r="C377" s="8" t="s">
        <v>222</v>
      </c>
      <c r="D377" s="1" t="s">
        <v>213</v>
      </c>
      <c r="E377" s="128">
        <v>600</v>
      </c>
      <c r="F377" s="7"/>
      <c r="G377" s="7"/>
      <c r="H377" s="35"/>
      <c r="I377" s="7"/>
      <c r="J377" s="35"/>
      <c r="K377" s="7"/>
      <c r="L377" s="35"/>
      <c r="M377" s="7"/>
      <c r="N377" s="35"/>
      <c r="O377" s="7"/>
      <c r="P377" s="35"/>
      <c r="Q377" s="7">
        <f>Q378</f>
        <v>624.70000000000005</v>
      </c>
      <c r="R377" s="35">
        <f t="shared" si="90"/>
        <v>624.70000000000005</v>
      </c>
      <c r="S377" s="7">
        <f>S378</f>
        <v>2638.1</v>
      </c>
      <c r="T377" s="35">
        <f t="shared" si="85"/>
        <v>3262.8</v>
      </c>
    </row>
    <row r="378" spans="1:20" ht="28.5" customHeight="1">
      <c r="A378" s="61" t="str">
        <f ca="1">IF(ISERROR(MATCH(E378,Код_КВР,0)),"",INDIRECT(ADDRESS(MATCH(E378,Код_КВР,0)+1,2,,,"КВР")))</f>
        <v>Субсидии бюджетным учреждениям</v>
      </c>
      <c r="B378" s="43" t="s">
        <v>672</v>
      </c>
      <c r="C378" s="8" t="s">
        <v>222</v>
      </c>
      <c r="D378" s="1" t="s">
        <v>213</v>
      </c>
      <c r="E378" s="128">
        <v>610</v>
      </c>
      <c r="F378" s="7"/>
      <c r="G378" s="7"/>
      <c r="H378" s="35"/>
      <c r="I378" s="7"/>
      <c r="J378" s="35"/>
      <c r="K378" s="7"/>
      <c r="L378" s="35"/>
      <c r="M378" s="7"/>
      <c r="N378" s="35"/>
      <c r="O378" s="7"/>
      <c r="P378" s="35"/>
      <c r="Q378" s="7">
        <f>Q379</f>
        <v>624.70000000000005</v>
      </c>
      <c r="R378" s="35">
        <f t="shared" si="90"/>
        <v>624.70000000000005</v>
      </c>
      <c r="S378" s="7">
        <f>S379</f>
        <v>2638.1</v>
      </c>
      <c r="T378" s="35">
        <f t="shared" si="85"/>
        <v>3262.8</v>
      </c>
    </row>
    <row r="379" spans="1:20" ht="51.75" customHeight="1">
      <c r="A379" s="61" t="str">
        <f ca="1">IF(ISERROR(MATCH(E379,Код_КВР,0)),"",INDIRECT(ADDRESS(MATCH(E379,Код_КВР,0)+1,2,,,"КВР")))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79" s="43" t="s">
        <v>672</v>
      </c>
      <c r="C379" s="8" t="s">
        <v>222</v>
      </c>
      <c r="D379" s="1" t="s">
        <v>213</v>
      </c>
      <c r="E379" s="128">
        <v>611</v>
      </c>
      <c r="F379" s="7"/>
      <c r="G379" s="7"/>
      <c r="H379" s="35"/>
      <c r="I379" s="7"/>
      <c r="J379" s="35"/>
      <c r="K379" s="7"/>
      <c r="L379" s="35"/>
      <c r="M379" s="7"/>
      <c r="N379" s="35"/>
      <c r="O379" s="7"/>
      <c r="P379" s="35"/>
      <c r="Q379" s="7">
        <f>прил.6!R1031</f>
        <v>624.70000000000005</v>
      </c>
      <c r="R379" s="35">
        <f t="shared" si="90"/>
        <v>624.70000000000005</v>
      </c>
      <c r="S379" s="7">
        <f>прил.6!T1031</f>
        <v>2638.1</v>
      </c>
      <c r="T379" s="35">
        <f t="shared" si="85"/>
        <v>3262.8</v>
      </c>
    </row>
    <row r="380" spans="1:20" ht="21" customHeight="1">
      <c r="A380" s="61" t="str">
        <f ca="1">IF(ISERROR(MATCH(B380,Код_КЦСР,0)),"",INDIRECT(ADDRESS(MATCH(B380,Код_КЦСР,0)+1,2,,,"КЦСР")))</f>
        <v>Развитие исполнительских искусств</v>
      </c>
      <c r="B380" s="43" t="s">
        <v>503</v>
      </c>
      <c r="C380" s="8"/>
      <c r="D380" s="1"/>
      <c r="E380" s="104"/>
      <c r="F380" s="7">
        <f>F381+F387+F395</f>
        <v>102326.7</v>
      </c>
      <c r="G380" s="7">
        <f>G381+G387+G395</f>
        <v>0</v>
      </c>
      <c r="H380" s="35">
        <f t="shared" si="81"/>
        <v>102326.7</v>
      </c>
      <c r="I380" s="7">
        <f>I381+I387+I395</f>
        <v>-512.79999999999995</v>
      </c>
      <c r="J380" s="35">
        <f t="shared" si="79"/>
        <v>101813.9</v>
      </c>
      <c r="K380" s="7">
        <f>K381+K387+K395</f>
        <v>-72.900000000000006</v>
      </c>
      <c r="L380" s="35">
        <f t="shared" si="76"/>
        <v>101741</v>
      </c>
      <c r="M380" s="7">
        <f>M381+M387+M395</f>
        <v>0</v>
      </c>
      <c r="N380" s="35">
        <f t="shared" si="77"/>
        <v>101741</v>
      </c>
      <c r="O380" s="7">
        <f>O381+O387+O395</f>
        <v>140.19999999999999</v>
      </c>
      <c r="P380" s="35">
        <f t="shared" ref="P380:P461" si="91">N380+O380</f>
        <v>101881.2</v>
      </c>
      <c r="Q380" s="7">
        <f>Q381+Q387+Q395+Q403</f>
        <v>-4255.5999999999995</v>
      </c>
      <c r="R380" s="35">
        <f t="shared" ref="R380:R461" si="92">P380+Q380</f>
        <v>97625.599999999991</v>
      </c>
      <c r="S380" s="7">
        <f>S381+S387+S395+S403</f>
        <v>-1109.2</v>
      </c>
      <c r="T380" s="35">
        <f t="shared" si="85"/>
        <v>96516.4</v>
      </c>
    </row>
    <row r="381" spans="1:20" ht="69.75" customHeight="1">
      <c r="A381" s="61" t="str">
        <f ca="1">IF(ISERROR(MATCH(B381,Код_КЦСР,0)),"",INDIRECT(ADDRESS(MATCH(B381,Код_КЦСР,0)+1,2,,,"КЦСР")))</f>
        <v>Ведомственная целевая программа «Отрасль «Культура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v>
      </c>
      <c r="B381" s="43" t="s">
        <v>505</v>
      </c>
      <c r="C381" s="8"/>
      <c r="D381" s="1"/>
      <c r="E381" s="104"/>
      <c r="F381" s="7">
        <f t="shared" ref="F381:S385" si="93">F382</f>
        <v>612</v>
      </c>
      <c r="G381" s="7">
        <f t="shared" si="93"/>
        <v>0</v>
      </c>
      <c r="H381" s="35">
        <f t="shared" si="81"/>
        <v>612</v>
      </c>
      <c r="I381" s="7">
        <f t="shared" si="93"/>
        <v>0</v>
      </c>
      <c r="J381" s="35">
        <f t="shared" si="79"/>
        <v>612</v>
      </c>
      <c r="K381" s="7">
        <f t="shared" si="93"/>
        <v>0</v>
      </c>
      <c r="L381" s="35">
        <f t="shared" si="76"/>
        <v>612</v>
      </c>
      <c r="M381" s="7">
        <f t="shared" si="93"/>
        <v>0</v>
      </c>
      <c r="N381" s="35">
        <f t="shared" si="77"/>
        <v>612</v>
      </c>
      <c r="O381" s="7">
        <f t="shared" si="93"/>
        <v>0</v>
      </c>
      <c r="P381" s="35">
        <f t="shared" si="91"/>
        <v>612</v>
      </c>
      <c r="Q381" s="7">
        <f t="shared" si="93"/>
        <v>0</v>
      </c>
      <c r="R381" s="35">
        <f t="shared" si="92"/>
        <v>612</v>
      </c>
      <c r="S381" s="7">
        <f t="shared" si="93"/>
        <v>0</v>
      </c>
      <c r="T381" s="35">
        <f t="shared" si="85"/>
        <v>612</v>
      </c>
    </row>
    <row r="382" spans="1:20" ht="20.25" customHeight="1">
      <c r="A382" s="61" t="str">
        <f ca="1">IF(ISERROR(MATCH(C382,Код_Раздел,0)),"",INDIRECT(ADDRESS(MATCH(C382,Код_Раздел,0)+1,2,,,"Раздел")))</f>
        <v>Культура, кинематография</v>
      </c>
      <c r="B382" s="43" t="s">
        <v>505</v>
      </c>
      <c r="C382" s="8" t="s">
        <v>222</v>
      </c>
      <c r="D382" s="1"/>
      <c r="E382" s="104"/>
      <c r="F382" s="7">
        <f t="shared" si="93"/>
        <v>612</v>
      </c>
      <c r="G382" s="7">
        <f t="shared" si="93"/>
        <v>0</v>
      </c>
      <c r="H382" s="35">
        <f t="shared" si="81"/>
        <v>612</v>
      </c>
      <c r="I382" s="7">
        <f t="shared" si="93"/>
        <v>0</v>
      </c>
      <c r="J382" s="35">
        <f t="shared" si="79"/>
        <v>612</v>
      </c>
      <c r="K382" s="7">
        <f t="shared" si="93"/>
        <v>0</v>
      </c>
      <c r="L382" s="35">
        <f t="shared" si="76"/>
        <v>612</v>
      </c>
      <c r="M382" s="7">
        <f t="shared" si="93"/>
        <v>0</v>
      </c>
      <c r="N382" s="35">
        <f t="shared" si="77"/>
        <v>612</v>
      </c>
      <c r="O382" s="7">
        <f t="shared" si="93"/>
        <v>0</v>
      </c>
      <c r="P382" s="35">
        <f t="shared" si="91"/>
        <v>612</v>
      </c>
      <c r="Q382" s="7">
        <f t="shared" si="93"/>
        <v>0</v>
      </c>
      <c r="R382" s="35">
        <f t="shared" si="92"/>
        <v>612</v>
      </c>
      <c r="S382" s="7">
        <f t="shared" si="93"/>
        <v>0</v>
      </c>
      <c r="T382" s="35">
        <f t="shared" si="85"/>
        <v>612</v>
      </c>
    </row>
    <row r="383" spans="1:20" ht="18.75" customHeight="1">
      <c r="A383" s="12" t="s">
        <v>163</v>
      </c>
      <c r="B383" s="43" t="s">
        <v>505</v>
      </c>
      <c r="C383" s="8" t="s">
        <v>222</v>
      </c>
      <c r="D383" s="1" t="s">
        <v>216</v>
      </c>
      <c r="E383" s="104"/>
      <c r="F383" s="7">
        <f t="shared" si="93"/>
        <v>612</v>
      </c>
      <c r="G383" s="7">
        <f t="shared" si="93"/>
        <v>0</v>
      </c>
      <c r="H383" s="35">
        <f t="shared" si="81"/>
        <v>612</v>
      </c>
      <c r="I383" s="7">
        <f t="shared" si="93"/>
        <v>0</v>
      </c>
      <c r="J383" s="35">
        <f t="shared" si="79"/>
        <v>612</v>
      </c>
      <c r="K383" s="7">
        <f t="shared" si="93"/>
        <v>0</v>
      </c>
      <c r="L383" s="35">
        <f t="shared" si="76"/>
        <v>612</v>
      </c>
      <c r="M383" s="7">
        <f t="shared" si="93"/>
        <v>0</v>
      </c>
      <c r="N383" s="35">
        <f t="shared" si="77"/>
        <v>612</v>
      </c>
      <c r="O383" s="7">
        <f t="shared" si="93"/>
        <v>0</v>
      </c>
      <c r="P383" s="35">
        <f t="shared" si="91"/>
        <v>612</v>
      </c>
      <c r="Q383" s="7">
        <f t="shared" si="93"/>
        <v>0</v>
      </c>
      <c r="R383" s="35">
        <f t="shared" si="92"/>
        <v>612</v>
      </c>
      <c r="S383" s="7">
        <f t="shared" si="93"/>
        <v>0</v>
      </c>
      <c r="T383" s="35">
        <f t="shared" si="85"/>
        <v>612</v>
      </c>
    </row>
    <row r="384" spans="1:20" ht="35.25" customHeight="1">
      <c r="A384" s="61" t="str">
        <f ca="1">IF(ISERROR(MATCH(E384,Код_КВР,0)),"",INDIRECT(ADDRESS(MATCH(E384,Код_КВР,0)+1,2,,,"КВР")))</f>
        <v>Предоставление субсидий бюджетным, автономным учреждениям и иным некоммерческим организациям</v>
      </c>
      <c r="B384" s="43" t="s">
        <v>505</v>
      </c>
      <c r="C384" s="8" t="s">
        <v>222</v>
      </c>
      <c r="D384" s="1" t="s">
        <v>216</v>
      </c>
      <c r="E384" s="104">
        <v>600</v>
      </c>
      <c r="F384" s="7">
        <f t="shared" si="93"/>
        <v>612</v>
      </c>
      <c r="G384" s="7">
        <f t="shared" si="93"/>
        <v>0</v>
      </c>
      <c r="H384" s="35">
        <f t="shared" si="81"/>
        <v>612</v>
      </c>
      <c r="I384" s="7">
        <f t="shared" si="93"/>
        <v>0</v>
      </c>
      <c r="J384" s="35">
        <f t="shared" si="79"/>
        <v>612</v>
      </c>
      <c r="K384" s="7">
        <f t="shared" si="93"/>
        <v>0</v>
      </c>
      <c r="L384" s="35">
        <f t="shared" si="76"/>
        <v>612</v>
      </c>
      <c r="M384" s="7">
        <f t="shared" si="93"/>
        <v>0</v>
      </c>
      <c r="N384" s="35">
        <f t="shared" si="77"/>
        <v>612</v>
      </c>
      <c r="O384" s="7">
        <f t="shared" si="93"/>
        <v>0</v>
      </c>
      <c r="P384" s="35">
        <f t="shared" si="91"/>
        <v>612</v>
      </c>
      <c r="Q384" s="7">
        <f t="shared" si="93"/>
        <v>0</v>
      </c>
      <c r="R384" s="35">
        <f t="shared" si="92"/>
        <v>612</v>
      </c>
      <c r="S384" s="7">
        <f t="shared" si="93"/>
        <v>0</v>
      </c>
      <c r="T384" s="35">
        <f t="shared" si="85"/>
        <v>612</v>
      </c>
    </row>
    <row r="385" spans="1:20" ht="19.5" customHeight="1">
      <c r="A385" s="61" t="str">
        <f ca="1">IF(ISERROR(MATCH(E385,Код_КВР,0)),"",INDIRECT(ADDRESS(MATCH(E385,Код_КВР,0)+1,2,,,"КВР")))</f>
        <v>Субсидии автономным учреждениям</v>
      </c>
      <c r="B385" s="43" t="s">
        <v>505</v>
      </c>
      <c r="C385" s="8" t="s">
        <v>222</v>
      </c>
      <c r="D385" s="1" t="s">
        <v>216</v>
      </c>
      <c r="E385" s="104">
        <v>620</v>
      </c>
      <c r="F385" s="7">
        <f t="shared" si="93"/>
        <v>612</v>
      </c>
      <c r="G385" s="7">
        <f t="shared" si="93"/>
        <v>0</v>
      </c>
      <c r="H385" s="35">
        <f t="shared" si="81"/>
        <v>612</v>
      </c>
      <c r="I385" s="7">
        <f t="shared" si="93"/>
        <v>0</v>
      </c>
      <c r="J385" s="35">
        <f t="shared" si="79"/>
        <v>612</v>
      </c>
      <c r="K385" s="7">
        <f t="shared" si="93"/>
        <v>0</v>
      </c>
      <c r="L385" s="35">
        <f t="shared" si="76"/>
        <v>612</v>
      </c>
      <c r="M385" s="7">
        <f t="shared" si="93"/>
        <v>0</v>
      </c>
      <c r="N385" s="35">
        <f t="shared" si="77"/>
        <v>612</v>
      </c>
      <c r="O385" s="7">
        <f t="shared" si="93"/>
        <v>0</v>
      </c>
      <c r="P385" s="35">
        <f t="shared" si="91"/>
        <v>612</v>
      </c>
      <c r="Q385" s="7">
        <f t="shared" si="93"/>
        <v>0</v>
      </c>
      <c r="R385" s="35">
        <f t="shared" si="92"/>
        <v>612</v>
      </c>
      <c r="S385" s="7">
        <f t="shared" si="93"/>
        <v>0</v>
      </c>
      <c r="T385" s="35">
        <f t="shared" si="85"/>
        <v>612</v>
      </c>
    </row>
    <row r="386" spans="1:20" ht="20.25" customHeight="1">
      <c r="A386" s="61" t="str">
        <f ca="1">IF(ISERROR(MATCH(E386,Код_КВР,0)),"",INDIRECT(ADDRESS(MATCH(E386,Код_КВР,0)+1,2,,,"КВР")))</f>
        <v>Субсидии автономным учреждениям на иные цели</v>
      </c>
      <c r="B386" s="43" t="s">
        <v>505</v>
      </c>
      <c r="C386" s="8" t="s">
        <v>222</v>
      </c>
      <c r="D386" s="1" t="s">
        <v>216</v>
      </c>
      <c r="E386" s="104">
        <v>622</v>
      </c>
      <c r="F386" s="7">
        <f>прил.6!G1101</f>
        <v>612</v>
      </c>
      <c r="G386" s="7">
        <f>прил.6!H1101</f>
        <v>0</v>
      </c>
      <c r="H386" s="35">
        <f t="shared" si="81"/>
        <v>612</v>
      </c>
      <c r="I386" s="7">
        <f>прил.6!J1101</f>
        <v>0</v>
      </c>
      <c r="J386" s="35">
        <f t="shared" si="79"/>
        <v>612</v>
      </c>
      <c r="K386" s="7">
        <f>прил.6!L1101</f>
        <v>0</v>
      </c>
      <c r="L386" s="35">
        <f t="shared" si="76"/>
        <v>612</v>
      </c>
      <c r="M386" s="7">
        <f>прил.6!N1101</f>
        <v>0</v>
      </c>
      <c r="N386" s="35">
        <f t="shared" si="77"/>
        <v>612</v>
      </c>
      <c r="O386" s="7">
        <f>прил.6!P1101</f>
        <v>0</v>
      </c>
      <c r="P386" s="35">
        <f t="shared" si="91"/>
        <v>612</v>
      </c>
      <c r="Q386" s="7">
        <f>прил.6!R1101</f>
        <v>0</v>
      </c>
      <c r="R386" s="35">
        <f t="shared" si="92"/>
        <v>612</v>
      </c>
      <c r="S386" s="7">
        <f>прил.6!T1101</f>
        <v>0</v>
      </c>
      <c r="T386" s="35">
        <f t="shared" si="85"/>
        <v>612</v>
      </c>
    </row>
    <row r="387" spans="1:20" ht="52.7" customHeight="1">
      <c r="A387" s="61" t="str">
        <f ca="1">IF(ISERROR(MATCH(B387,Код_КЦСР,0)),"",INDIRECT(ADDRESS(MATCH(B387,Код_КЦСР,0)+1,2,,,"КЦСР")))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387" s="43" t="s">
        <v>506</v>
      </c>
      <c r="C387" s="8"/>
      <c r="D387" s="1"/>
      <c r="E387" s="104"/>
      <c r="F387" s="7">
        <f t="shared" ref="F387:S389" si="94">F388</f>
        <v>1300</v>
      </c>
      <c r="G387" s="7">
        <f t="shared" si="94"/>
        <v>0</v>
      </c>
      <c r="H387" s="35">
        <f t="shared" si="81"/>
        <v>1300</v>
      </c>
      <c r="I387" s="7">
        <f t="shared" si="94"/>
        <v>0</v>
      </c>
      <c r="J387" s="35">
        <f t="shared" si="79"/>
        <v>1300</v>
      </c>
      <c r="K387" s="7">
        <f t="shared" si="94"/>
        <v>0</v>
      </c>
      <c r="L387" s="35">
        <f t="shared" si="76"/>
        <v>1300</v>
      </c>
      <c r="M387" s="7">
        <f t="shared" si="94"/>
        <v>0</v>
      </c>
      <c r="N387" s="35">
        <f t="shared" si="77"/>
        <v>1300</v>
      </c>
      <c r="O387" s="7">
        <f t="shared" si="94"/>
        <v>0</v>
      </c>
      <c r="P387" s="35">
        <f t="shared" si="91"/>
        <v>1300</v>
      </c>
      <c r="Q387" s="7">
        <f t="shared" si="94"/>
        <v>0</v>
      </c>
      <c r="R387" s="35">
        <f t="shared" si="92"/>
        <v>1300</v>
      </c>
      <c r="S387" s="7">
        <f t="shared" si="94"/>
        <v>0</v>
      </c>
      <c r="T387" s="35">
        <f t="shared" si="85"/>
        <v>1300</v>
      </c>
    </row>
    <row r="388" spans="1:20" ht="22.5" customHeight="1">
      <c r="A388" s="61" t="str">
        <f ca="1">IF(ISERROR(MATCH(C388,Код_Раздел,0)),"",INDIRECT(ADDRESS(MATCH(C388,Код_Раздел,0)+1,2,,,"Раздел")))</f>
        <v>Культура, кинематография</v>
      </c>
      <c r="B388" s="43" t="s">
        <v>506</v>
      </c>
      <c r="C388" s="8" t="s">
        <v>222</v>
      </c>
      <c r="D388" s="1"/>
      <c r="E388" s="104"/>
      <c r="F388" s="7">
        <f t="shared" si="94"/>
        <v>1300</v>
      </c>
      <c r="G388" s="7">
        <f t="shared" si="94"/>
        <v>0</v>
      </c>
      <c r="H388" s="35">
        <f t="shared" si="81"/>
        <v>1300</v>
      </c>
      <c r="I388" s="7">
        <f t="shared" si="94"/>
        <v>0</v>
      </c>
      <c r="J388" s="35">
        <f t="shared" si="79"/>
        <v>1300</v>
      </c>
      <c r="K388" s="7">
        <f t="shared" si="94"/>
        <v>0</v>
      </c>
      <c r="L388" s="35">
        <f t="shared" ref="L388:L469" si="95">J388+K388</f>
        <v>1300</v>
      </c>
      <c r="M388" s="7">
        <f t="shared" si="94"/>
        <v>0</v>
      </c>
      <c r="N388" s="35">
        <f t="shared" ref="N388:N469" si="96">L388+M388</f>
        <v>1300</v>
      </c>
      <c r="O388" s="7">
        <f t="shared" si="94"/>
        <v>0</v>
      </c>
      <c r="P388" s="35">
        <f t="shared" si="91"/>
        <v>1300</v>
      </c>
      <c r="Q388" s="7">
        <f t="shared" si="94"/>
        <v>0</v>
      </c>
      <c r="R388" s="35">
        <f t="shared" si="92"/>
        <v>1300</v>
      </c>
      <c r="S388" s="7">
        <f t="shared" si="94"/>
        <v>0</v>
      </c>
      <c r="T388" s="35">
        <f t="shared" si="85"/>
        <v>1300</v>
      </c>
    </row>
    <row r="389" spans="1:20" ht="20.25" customHeight="1">
      <c r="A389" s="12" t="s">
        <v>163</v>
      </c>
      <c r="B389" s="43" t="s">
        <v>506</v>
      </c>
      <c r="C389" s="8" t="s">
        <v>222</v>
      </c>
      <c r="D389" s="1" t="s">
        <v>216</v>
      </c>
      <c r="E389" s="104"/>
      <c r="F389" s="7">
        <f t="shared" si="94"/>
        <v>1300</v>
      </c>
      <c r="G389" s="7">
        <f t="shared" si="94"/>
        <v>0</v>
      </c>
      <c r="H389" s="35">
        <f t="shared" si="81"/>
        <v>1300</v>
      </c>
      <c r="I389" s="7">
        <f t="shared" si="94"/>
        <v>0</v>
      </c>
      <c r="J389" s="35">
        <f t="shared" si="79"/>
        <v>1300</v>
      </c>
      <c r="K389" s="7">
        <f t="shared" si="94"/>
        <v>0</v>
      </c>
      <c r="L389" s="35">
        <f t="shared" si="95"/>
        <v>1300</v>
      </c>
      <c r="M389" s="7">
        <f t="shared" si="94"/>
        <v>0</v>
      </c>
      <c r="N389" s="35">
        <f t="shared" si="96"/>
        <v>1300</v>
      </c>
      <c r="O389" s="7">
        <f t="shared" si="94"/>
        <v>0</v>
      </c>
      <c r="P389" s="35">
        <f t="shared" si="91"/>
        <v>1300</v>
      </c>
      <c r="Q389" s="7">
        <f t="shared" si="94"/>
        <v>0</v>
      </c>
      <c r="R389" s="35">
        <f t="shared" si="92"/>
        <v>1300</v>
      </c>
      <c r="S389" s="7">
        <f t="shared" si="94"/>
        <v>0</v>
      </c>
      <c r="T389" s="35">
        <f t="shared" si="85"/>
        <v>1300</v>
      </c>
    </row>
    <row r="390" spans="1:20" ht="33.75" customHeight="1">
      <c r="A390" s="61" t="str">
        <f ca="1">IF(ISERROR(MATCH(E390,Код_КВР,0)),"",INDIRECT(ADDRESS(MATCH(E390,Код_КВР,0)+1,2,,,"КВР")))</f>
        <v>Предоставление субсидий бюджетным, автономным учреждениям и иным некоммерческим организациям</v>
      </c>
      <c r="B390" s="43" t="s">
        <v>506</v>
      </c>
      <c r="C390" s="8" t="s">
        <v>222</v>
      </c>
      <c r="D390" s="1" t="s">
        <v>216</v>
      </c>
      <c r="E390" s="104">
        <v>600</v>
      </c>
      <c r="F390" s="7">
        <f>F391+F393</f>
        <v>1300</v>
      </c>
      <c r="G390" s="7">
        <f>G391+G393</f>
        <v>0</v>
      </c>
      <c r="H390" s="35">
        <f t="shared" si="81"/>
        <v>1300</v>
      </c>
      <c r="I390" s="7">
        <f>I391+I393</f>
        <v>0</v>
      </c>
      <c r="J390" s="35">
        <f t="shared" ref="J390:J471" si="97">H390+I390</f>
        <v>1300</v>
      </c>
      <c r="K390" s="7">
        <f>K391+K393</f>
        <v>0</v>
      </c>
      <c r="L390" s="35">
        <f t="shared" si="95"/>
        <v>1300</v>
      </c>
      <c r="M390" s="7">
        <f>M391+M393</f>
        <v>0</v>
      </c>
      <c r="N390" s="35">
        <f t="shared" si="96"/>
        <v>1300</v>
      </c>
      <c r="O390" s="7">
        <f>O391+O393</f>
        <v>0</v>
      </c>
      <c r="P390" s="35">
        <f t="shared" si="91"/>
        <v>1300</v>
      </c>
      <c r="Q390" s="7">
        <f>Q391+Q393</f>
        <v>0</v>
      </c>
      <c r="R390" s="35">
        <f t="shared" si="92"/>
        <v>1300</v>
      </c>
      <c r="S390" s="7">
        <f>S391+S393</f>
        <v>0</v>
      </c>
      <c r="T390" s="35">
        <f t="shared" si="85"/>
        <v>1300</v>
      </c>
    </row>
    <row r="391" spans="1:20">
      <c r="A391" s="61" t="str">
        <f ca="1">IF(ISERROR(MATCH(E391,Код_КВР,0)),"",INDIRECT(ADDRESS(MATCH(E391,Код_КВР,0)+1,2,,,"КВР")))</f>
        <v>Субсидии бюджетным учреждениям</v>
      </c>
      <c r="B391" s="43" t="s">
        <v>506</v>
      </c>
      <c r="C391" s="8" t="s">
        <v>222</v>
      </c>
      <c r="D391" s="1" t="s">
        <v>216</v>
      </c>
      <c r="E391" s="104">
        <v>610</v>
      </c>
      <c r="F391" s="7">
        <f>F392</f>
        <v>200</v>
      </c>
      <c r="G391" s="7">
        <f>G392</f>
        <v>0</v>
      </c>
      <c r="H391" s="35">
        <f t="shared" si="81"/>
        <v>200</v>
      </c>
      <c r="I391" s="7">
        <f>I392</f>
        <v>0</v>
      </c>
      <c r="J391" s="35">
        <f t="shared" si="97"/>
        <v>200</v>
      </c>
      <c r="K391" s="7">
        <f>K392</f>
        <v>0</v>
      </c>
      <c r="L391" s="35">
        <f t="shared" si="95"/>
        <v>200</v>
      </c>
      <c r="M391" s="7">
        <f>M392</f>
        <v>0</v>
      </c>
      <c r="N391" s="35">
        <f t="shared" si="96"/>
        <v>200</v>
      </c>
      <c r="O391" s="7">
        <f>O392</f>
        <v>0</v>
      </c>
      <c r="P391" s="35">
        <f t="shared" si="91"/>
        <v>200</v>
      </c>
      <c r="Q391" s="7">
        <f>Q392</f>
        <v>0</v>
      </c>
      <c r="R391" s="35">
        <f t="shared" si="92"/>
        <v>200</v>
      </c>
      <c r="S391" s="7">
        <f>S392</f>
        <v>0</v>
      </c>
      <c r="T391" s="35">
        <f t="shared" si="85"/>
        <v>200</v>
      </c>
    </row>
    <row r="392" spans="1:20" ht="19.5" customHeight="1">
      <c r="A392" s="61" t="str">
        <f ca="1">IF(ISERROR(MATCH(E392,Код_КВР,0)),"",INDIRECT(ADDRESS(MATCH(E392,Код_КВР,0)+1,2,,,"КВР")))</f>
        <v>Субсидии бюджетным учреждениям на иные цели</v>
      </c>
      <c r="B392" s="43" t="s">
        <v>506</v>
      </c>
      <c r="C392" s="8" t="s">
        <v>222</v>
      </c>
      <c r="D392" s="1" t="s">
        <v>216</v>
      </c>
      <c r="E392" s="104">
        <v>612</v>
      </c>
      <c r="F392" s="7">
        <f>прил.6!G1105</f>
        <v>200</v>
      </c>
      <c r="G392" s="7">
        <f>прил.6!H1105</f>
        <v>0</v>
      </c>
      <c r="H392" s="35">
        <f t="shared" si="81"/>
        <v>200</v>
      </c>
      <c r="I392" s="7">
        <f>прил.6!J1105</f>
        <v>0</v>
      </c>
      <c r="J392" s="35">
        <f t="shared" si="97"/>
        <v>200</v>
      </c>
      <c r="K392" s="7">
        <f>прил.6!L1105</f>
        <v>0</v>
      </c>
      <c r="L392" s="35">
        <f t="shared" si="95"/>
        <v>200</v>
      </c>
      <c r="M392" s="7">
        <f>прил.6!N1105</f>
        <v>0</v>
      </c>
      <c r="N392" s="35">
        <f t="shared" si="96"/>
        <v>200</v>
      </c>
      <c r="O392" s="7">
        <f>прил.6!P1105</f>
        <v>0</v>
      </c>
      <c r="P392" s="35">
        <f t="shared" si="91"/>
        <v>200</v>
      </c>
      <c r="Q392" s="7">
        <f>прил.6!R1105</f>
        <v>0</v>
      </c>
      <c r="R392" s="35">
        <f t="shared" si="92"/>
        <v>200</v>
      </c>
      <c r="S392" s="7">
        <f>прил.6!T1105</f>
        <v>0</v>
      </c>
      <c r="T392" s="35">
        <f t="shared" si="85"/>
        <v>200</v>
      </c>
    </row>
    <row r="393" spans="1:20" ht="19.5" customHeight="1">
      <c r="A393" s="61" t="str">
        <f ca="1">IF(ISERROR(MATCH(E393,Код_КВР,0)),"",INDIRECT(ADDRESS(MATCH(E393,Код_КВР,0)+1,2,,,"КВР")))</f>
        <v>Субсидии автономным учреждениям</v>
      </c>
      <c r="B393" s="43" t="s">
        <v>506</v>
      </c>
      <c r="C393" s="8" t="s">
        <v>222</v>
      </c>
      <c r="D393" s="1" t="s">
        <v>216</v>
      </c>
      <c r="E393" s="104">
        <v>620</v>
      </c>
      <c r="F393" s="7">
        <f>F394</f>
        <v>1100</v>
      </c>
      <c r="G393" s="7">
        <f>G394</f>
        <v>0</v>
      </c>
      <c r="H393" s="35">
        <f t="shared" si="81"/>
        <v>1100</v>
      </c>
      <c r="I393" s="7">
        <f>I394</f>
        <v>0</v>
      </c>
      <c r="J393" s="35">
        <f t="shared" si="97"/>
        <v>1100</v>
      </c>
      <c r="K393" s="7">
        <f>K394</f>
        <v>0</v>
      </c>
      <c r="L393" s="35">
        <f t="shared" si="95"/>
        <v>1100</v>
      </c>
      <c r="M393" s="7">
        <f>M394</f>
        <v>0</v>
      </c>
      <c r="N393" s="35">
        <f t="shared" si="96"/>
        <v>1100</v>
      </c>
      <c r="O393" s="7">
        <f>O394</f>
        <v>0</v>
      </c>
      <c r="P393" s="35">
        <f t="shared" si="91"/>
        <v>1100</v>
      </c>
      <c r="Q393" s="7">
        <f>Q394</f>
        <v>0</v>
      </c>
      <c r="R393" s="35">
        <f t="shared" si="92"/>
        <v>1100</v>
      </c>
      <c r="S393" s="7">
        <f>S394</f>
        <v>0</v>
      </c>
      <c r="T393" s="35">
        <f t="shared" si="85"/>
        <v>1100</v>
      </c>
    </row>
    <row r="394" spans="1:20" ht="18.75" customHeight="1">
      <c r="A394" s="61" t="str">
        <f ca="1">IF(ISERROR(MATCH(E394,Код_КВР,0)),"",INDIRECT(ADDRESS(MATCH(E394,Код_КВР,0)+1,2,,,"КВР")))</f>
        <v>Субсидии автономным учреждениям на иные цели</v>
      </c>
      <c r="B394" s="43" t="s">
        <v>506</v>
      </c>
      <c r="C394" s="8" t="s">
        <v>222</v>
      </c>
      <c r="D394" s="1" t="s">
        <v>216</v>
      </c>
      <c r="E394" s="104">
        <v>622</v>
      </c>
      <c r="F394" s="7">
        <f>прил.6!G1107</f>
        <v>1100</v>
      </c>
      <c r="G394" s="7">
        <f>прил.6!H1107</f>
        <v>0</v>
      </c>
      <c r="H394" s="35">
        <f t="shared" si="81"/>
        <v>1100</v>
      </c>
      <c r="I394" s="7">
        <f>прил.6!J1107</f>
        <v>0</v>
      </c>
      <c r="J394" s="35">
        <f t="shared" si="97"/>
        <v>1100</v>
      </c>
      <c r="K394" s="7">
        <f>прил.6!L1107</f>
        <v>0</v>
      </c>
      <c r="L394" s="35">
        <f t="shared" si="95"/>
        <v>1100</v>
      </c>
      <c r="M394" s="7">
        <f>прил.6!N1107</f>
        <v>0</v>
      </c>
      <c r="N394" s="35">
        <f t="shared" si="96"/>
        <v>1100</v>
      </c>
      <c r="O394" s="7">
        <f>прил.6!P1107</f>
        <v>0</v>
      </c>
      <c r="P394" s="35">
        <f t="shared" si="91"/>
        <v>1100</v>
      </c>
      <c r="Q394" s="7">
        <f>прил.6!R1107</f>
        <v>0</v>
      </c>
      <c r="R394" s="35">
        <f t="shared" si="92"/>
        <v>1100</v>
      </c>
      <c r="S394" s="7">
        <f>прил.6!T1107</f>
        <v>0</v>
      </c>
      <c r="T394" s="35">
        <f t="shared" si="85"/>
        <v>1100</v>
      </c>
    </row>
    <row r="395" spans="1:20" ht="22.5" customHeight="1">
      <c r="A395" s="61" t="str">
        <f ca="1">IF(ISERROR(MATCH(B395,Код_КЦСР,0)),"",INDIRECT(ADDRESS(MATCH(B395,Код_КЦСР,0)+1,2,,,"КЦСР")))</f>
        <v>Оказание муниципальных услуг</v>
      </c>
      <c r="B395" s="43" t="s">
        <v>507</v>
      </c>
      <c r="C395" s="8"/>
      <c r="D395" s="1"/>
      <c r="E395" s="104"/>
      <c r="F395" s="7">
        <f t="shared" ref="F395:S397" si="98">F396</f>
        <v>100414.7</v>
      </c>
      <c r="G395" s="7">
        <f t="shared" si="98"/>
        <v>0</v>
      </c>
      <c r="H395" s="35">
        <f t="shared" si="81"/>
        <v>100414.7</v>
      </c>
      <c r="I395" s="7">
        <f t="shared" si="98"/>
        <v>-512.79999999999995</v>
      </c>
      <c r="J395" s="35">
        <f t="shared" si="97"/>
        <v>99901.9</v>
      </c>
      <c r="K395" s="7">
        <f t="shared" si="98"/>
        <v>-72.900000000000006</v>
      </c>
      <c r="L395" s="35">
        <f t="shared" si="95"/>
        <v>99829</v>
      </c>
      <c r="M395" s="7">
        <f t="shared" si="98"/>
        <v>0</v>
      </c>
      <c r="N395" s="35">
        <f t="shared" si="96"/>
        <v>99829</v>
      </c>
      <c r="O395" s="7">
        <f t="shared" si="98"/>
        <v>140.19999999999999</v>
      </c>
      <c r="P395" s="35">
        <f t="shared" si="91"/>
        <v>99969.2</v>
      </c>
      <c r="Q395" s="7">
        <f t="shared" si="98"/>
        <v>-8874.4</v>
      </c>
      <c r="R395" s="35">
        <f t="shared" si="92"/>
        <v>91094.8</v>
      </c>
      <c r="S395" s="7">
        <f t="shared" si="98"/>
        <v>0</v>
      </c>
      <c r="T395" s="35">
        <f t="shared" si="85"/>
        <v>91094.8</v>
      </c>
    </row>
    <row r="396" spans="1:20" ht="18.75" customHeight="1">
      <c r="A396" s="61" t="str">
        <f ca="1">IF(ISERROR(MATCH(C396,Код_Раздел,0)),"",INDIRECT(ADDRESS(MATCH(C396,Код_Раздел,0)+1,2,,,"Раздел")))</f>
        <v>Культура, кинематография</v>
      </c>
      <c r="B396" s="43" t="s">
        <v>507</v>
      </c>
      <c r="C396" s="8" t="s">
        <v>222</v>
      </c>
      <c r="D396" s="1"/>
      <c r="E396" s="104"/>
      <c r="F396" s="7">
        <f t="shared" si="98"/>
        <v>100414.7</v>
      </c>
      <c r="G396" s="7">
        <f t="shared" si="98"/>
        <v>0</v>
      </c>
      <c r="H396" s="35">
        <f t="shared" si="81"/>
        <v>100414.7</v>
      </c>
      <c r="I396" s="7">
        <f t="shared" si="98"/>
        <v>-512.79999999999995</v>
      </c>
      <c r="J396" s="35">
        <f t="shared" si="97"/>
        <v>99901.9</v>
      </c>
      <c r="K396" s="7">
        <f t="shared" si="98"/>
        <v>-72.900000000000006</v>
      </c>
      <c r="L396" s="35">
        <f t="shared" si="95"/>
        <v>99829</v>
      </c>
      <c r="M396" s="7">
        <f t="shared" si="98"/>
        <v>0</v>
      </c>
      <c r="N396" s="35">
        <f t="shared" si="96"/>
        <v>99829</v>
      </c>
      <c r="O396" s="7">
        <f t="shared" si="98"/>
        <v>140.19999999999999</v>
      </c>
      <c r="P396" s="35">
        <f t="shared" si="91"/>
        <v>99969.2</v>
      </c>
      <c r="Q396" s="7">
        <f t="shared" si="98"/>
        <v>-8874.4</v>
      </c>
      <c r="R396" s="35">
        <f t="shared" si="92"/>
        <v>91094.8</v>
      </c>
      <c r="S396" s="7">
        <f t="shared" si="98"/>
        <v>0</v>
      </c>
      <c r="T396" s="35">
        <f t="shared" si="85"/>
        <v>91094.8</v>
      </c>
    </row>
    <row r="397" spans="1:20" ht="18.75" customHeight="1">
      <c r="A397" s="12" t="s">
        <v>184</v>
      </c>
      <c r="B397" s="43" t="s">
        <v>507</v>
      </c>
      <c r="C397" s="8" t="s">
        <v>222</v>
      </c>
      <c r="D397" s="1" t="s">
        <v>213</v>
      </c>
      <c r="E397" s="104"/>
      <c r="F397" s="7">
        <f t="shared" si="98"/>
        <v>100414.7</v>
      </c>
      <c r="G397" s="7">
        <f t="shared" si="98"/>
        <v>0</v>
      </c>
      <c r="H397" s="35">
        <f t="shared" si="81"/>
        <v>100414.7</v>
      </c>
      <c r="I397" s="7">
        <f t="shared" si="98"/>
        <v>-512.79999999999995</v>
      </c>
      <c r="J397" s="35">
        <f t="shared" si="97"/>
        <v>99901.9</v>
      </c>
      <c r="K397" s="7">
        <f t="shared" si="98"/>
        <v>-72.900000000000006</v>
      </c>
      <c r="L397" s="35">
        <f t="shared" si="95"/>
        <v>99829</v>
      </c>
      <c r="M397" s="7">
        <f t="shared" si="98"/>
        <v>0</v>
      </c>
      <c r="N397" s="35">
        <f t="shared" si="96"/>
        <v>99829</v>
      </c>
      <c r="O397" s="7">
        <f t="shared" si="98"/>
        <v>140.19999999999999</v>
      </c>
      <c r="P397" s="35">
        <f t="shared" si="91"/>
        <v>99969.2</v>
      </c>
      <c r="Q397" s="7">
        <f t="shared" si="98"/>
        <v>-8874.4</v>
      </c>
      <c r="R397" s="35">
        <f t="shared" si="92"/>
        <v>91094.8</v>
      </c>
      <c r="S397" s="7">
        <f t="shared" si="98"/>
        <v>0</v>
      </c>
      <c r="T397" s="35">
        <f t="shared" si="85"/>
        <v>91094.8</v>
      </c>
    </row>
    <row r="398" spans="1:20" ht="35.25" customHeight="1">
      <c r="A398" s="61" t="str">
        <f ca="1">IF(ISERROR(MATCH(E398,Код_КВР,0)),"",INDIRECT(ADDRESS(MATCH(E398,Код_КВР,0)+1,2,,,"КВР")))</f>
        <v>Предоставление субсидий бюджетным, автономным учреждениям и иным некоммерческим организациям</v>
      </c>
      <c r="B398" s="43" t="s">
        <v>507</v>
      </c>
      <c r="C398" s="8" t="s">
        <v>222</v>
      </c>
      <c r="D398" s="1" t="s">
        <v>213</v>
      </c>
      <c r="E398" s="104">
        <v>600</v>
      </c>
      <c r="F398" s="7">
        <f>F399+F401</f>
        <v>100414.7</v>
      </c>
      <c r="G398" s="7">
        <f>G399+G401</f>
        <v>0</v>
      </c>
      <c r="H398" s="35">
        <f t="shared" ref="H398:H479" si="99">F398+G398</f>
        <v>100414.7</v>
      </c>
      <c r="I398" s="7">
        <f>I399+I401</f>
        <v>-512.79999999999995</v>
      </c>
      <c r="J398" s="35">
        <f t="shared" si="97"/>
        <v>99901.9</v>
      </c>
      <c r="K398" s="7">
        <f>K399+K401</f>
        <v>-72.900000000000006</v>
      </c>
      <c r="L398" s="35">
        <f t="shared" si="95"/>
        <v>99829</v>
      </c>
      <c r="M398" s="7">
        <f>M399+M401</f>
        <v>0</v>
      </c>
      <c r="N398" s="35">
        <f t="shared" si="96"/>
        <v>99829</v>
      </c>
      <c r="O398" s="7">
        <f>O399+O401</f>
        <v>140.19999999999999</v>
      </c>
      <c r="P398" s="35">
        <f t="shared" si="91"/>
        <v>99969.2</v>
      </c>
      <c r="Q398" s="7">
        <f>Q399+Q401</f>
        <v>-8874.4</v>
      </c>
      <c r="R398" s="35">
        <f t="shared" si="92"/>
        <v>91094.8</v>
      </c>
      <c r="S398" s="7">
        <f>S399+S401</f>
        <v>0</v>
      </c>
      <c r="T398" s="35">
        <f t="shared" si="85"/>
        <v>91094.8</v>
      </c>
    </row>
    <row r="399" spans="1:20" ht="21" customHeight="1">
      <c r="A399" s="61" t="str">
        <f ca="1">IF(ISERROR(MATCH(E399,Код_КВР,0)),"",INDIRECT(ADDRESS(MATCH(E399,Код_КВР,0)+1,2,,,"КВР")))</f>
        <v>Субсидии бюджетным учреждениям</v>
      </c>
      <c r="B399" s="43" t="s">
        <v>507</v>
      </c>
      <c r="C399" s="8" t="s">
        <v>222</v>
      </c>
      <c r="D399" s="1" t="s">
        <v>213</v>
      </c>
      <c r="E399" s="104">
        <v>610</v>
      </c>
      <c r="F399" s="7">
        <f>F400</f>
        <v>88342.5</v>
      </c>
      <c r="G399" s="7">
        <f>G400</f>
        <v>0</v>
      </c>
      <c r="H399" s="35">
        <f t="shared" si="99"/>
        <v>88342.5</v>
      </c>
      <c r="I399" s="7">
        <f>I400</f>
        <v>-512.79999999999995</v>
      </c>
      <c r="J399" s="35">
        <f t="shared" si="97"/>
        <v>87829.7</v>
      </c>
      <c r="K399" s="7">
        <f>K400</f>
        <v>-50.9</v>
      </c>
      <c r="L399" s="35">
        <f t="shared" si="95"/>
        <v>87778.8</v>
      </c>
      <c r="M399" s="7">
        <f>M400</f>
        <v>0</v>
      </c>
      <c r="N399" s="35">
        <f t="shared" si="96"/>
        <v>87778.8</v>
      </c>
      <c r="O399" s="7">
        <f>O400</f>
        <v>140.19999999999999</v>
      </c>
      <c r="P399" s="35">
        <f t="shared" si="91"/>
        <v>87919</v>
      </c>
      <c r="Q399" s="7">
        <f>Q400</f>
        <v>-8874.4</v>
      </c>
      <c r="R399" s="35">
        <f t="shared" si="92"/>
        <v>79044.600000000006</v>
      </c>
      <c r="S399" s="7">
        <f>S400</f>
        <v>0</v>
      </c>
      <c r="T399" s="35">
        <f t="shared" si="85"/>
        <v>79044.600000000006</v>
      </c>
    </row>
    <row r="400" spans="1:20" ht="55.5" customHeight="1">
      <c r="A400" s="61" t="str">
        <f ca="1">IF(ISERROR(MATCH(E400,Код_КВР,0)),"",INDIRECT(ADDRESS(MATCH(E400,Код_КВР,0)+1,2,,,"КВР")))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00" s="43" t="s">
        <v>507</v>
      </c>
      <c r="C400" s="8" t="s">
        <v>222</v>
      </c>
      <c r="D400" s="1" t="s">
        <v>213</v>
      </c>
      <c r="E400" s="104">
        <v>611</v>
      </c>
      <c r="F400" s="7">
        <f>прил.6!G1036</f>
        <v>88342.5</v>
      </c>
      <c r="G400" s="7">
        <f>прил.6!H1036</f>
        <v>0</v>
      </c>
      <c r="H400" s="35">
        <f t="shared" si="99"/>
        <v>88342.5</v>
      </c>
      <c r="I400" s="7">
        <f>прил.6!J1036</f>
        <v>-512.79999999999995</v>
      </c>
      <c r="J400" s="35">
        <f t="shared" si="97"/>
        <v>87829.7</v>
      </c>
      <c r="K400" s="7">
        <f>прил.6!L1036</f>
        <v>-50.9</v>
      </c>
      <c r="L400" s="35">
        <f t="shared" si="95"/>
        <v>87778.8</v>
      </c>
      <c r="M400" s="7">
        <f>прил.6!N1036</f>
        <v>0</v>
      </c>
      <c r="N400" s="35">
        <f t="shared" si="96"/>
        <v>87778.8</v>
      </c>
      <c r="O400" s="7">
        <f>прил.6!P1036</f>
        <v>140.19999999999999</v>
      </c>
      <c r="P400" s="35">
        <f t="shared" si="91"/>
        <v>87919</v>
      </c>
      <c r="Q400" s="7">
        <f>прил.6!R1036</f>
        <v>-8874.4</v>
      </c>
      <c r="R400" s="35">
        <f t="shared" si="92"/>
        <v>79044.600000000006</v>
      </c>
      <c r="S400" s="7">
        <f>прил.6!T1036</f>
        <v>0</v>
      </c>
      <c r="T400" s="35">
        <f t="shared" si="85"/>
        <v>79044.600000000006</v>
      </c>
    </row>
    <row r="401" spans="1:20" ht="21" customHeight="1">
      <c r="A401" s="61" t="str">
        <f ca="1">IF(ISERROR(MATCH(E401,Код_КВР,0)),"",INDIRECT(ADDRESS(MATCH(E401,Код_КВР,0)+1,2,,,"КВР")))</f>
        <v>Субсидии автономным учреждениям</v>
      </c>
      <c r="B401" s="43" t="s">
        <v>507</v>
      </c>
      <c r="C401" s="8" t="s">
        <v>222</v>
      </c>
      <c r="D401" s="1" t="s">
        <v>213</v>
      </c>
      <c r="E401" s="104">
        <v>620</v>
      </c>
      <c r="F401" s="7">
        <f>F402</f>
        <v>12072.2</v>
      </c>
      <c r="G401" s="7">
        <f>G402</f>
        <v>0</v>
      </c>
      <c r="H401" s="35">
        <f t="shared" si="99"/>
        <v>12072.2</v>
      </c>
      <c r="I401" s="7">
        <f>I402</f>
        <v>0</v>
      </c>
      <c r="J401" s="35">
        <f t="shared" si="97"/>
        <v>12072.2</v>
      </c>
      <c r="K401" s="7">
        <f>K402</f>
        <v>-22</v>
      </c>
      <c r="L401" s="35">
        <f t="shared" si="95"/>
        <v>12050.2</v>
      </c>
      <c r="M401" s="7">
        <f>M402</f>
        <v>0</v>
      </c>
      <c r="N401" s="35">
        <f t="shared" si="96"/>
        <v>12050.2</v>
      </c>
      <c r="O401" s="7">
        <f>O402</f>
        <v>0</v>
      </c>
      <c r="P401" s="35">
        <f t="shared" si="91"/>
        <v>12050.2</v>
      </c>
      <c r="Q401" s="7">
        <f>Q402</f>
        <v>0</v>
      </c>
      <c r="R401" s="35">
        <f t="shared" si="92"/>
        <v>12050.2</v>
      </c>
      <c r="S401" s="7">
        <f>S402</f>
        <v>0</v>
      </c>
      <c r="T401" s="35">
        <f t="shared" si="85"/>
        <v>12050.2</v>
      </c>
    </row>
    <row r="402" spans="1:20" ht="52.7" customHeight="1">
      <c r="A402" s="61" t="str">
        <f ca="1">IF(ISERROR(MATCH(E402,Код_КВР,0)),"",INDIRECT(ADDRESS(MATCH(E402,Код_КВР,0)+1,2,,,"КВР")))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02" s="43" t="s">
        <v>507</v>
      </c>
      <c r="C402" s="8" t="s">
        <v>222</v>
      </c>
      <c r="D402" s="1" t="s">
        <v>213</v>
      </c>
      <c r="E402" s="104">
        <v>621</v>
      </c>
      <c r="F402" s="7">
        <f>прил.6!G1038</f>
        <v>12072.2</v>
      </c>
      <c r="G402" s="7">
        <f>прил.6!H1038</f>
        <v>0</v>
      </c>
      <c r="H402" s="35">
        <f t="shared" si="99"/>
        <v>12072.2</v>
      </c>
      <c r="I402" s="7">
        <f>прил.6!J1038</f>
        <v>0</v>
      </c>
      <c r="J402" s="35">
        <f t="shared" si="97"/>
        <v>12072.2</v>
      </c>
      <c r="K402" s="7">
        <f>прил.6!L1038</f>
        <v>-22</v>
      </c>
      <c r="L402" s="35">
        <f t="shared" si="95"/>
        <v>12050.2</v>
      </c>
      <c r="M402" s="7">
        <f>прил.6!N1038</f>
        <v>0</v>
      </c>
      <c r="N402" s="35">
        <f t="shared" si="96"/>
        <v>12050.2</v>
      </c>
      <c r="O402" s="7">
        <f>прил.6!P1038</f>
        <v>0</v>
      </c>
      <c r="P402" s="35">
        <f t="shared" si="91"/>
        <v>12050.2</v>
      </c>
      <c r="Q402" s="7">
        <f>прил.6!R1038</f>
        <v>0</v>
      </c>
      <c r="R402" s="35">
        <f t="shared" si="92"/>
        <v>12050.2</v>
      </c>
      <c r="S402" s="7">
        <f>прил.6!T1038</f>
        <v>0</v>
      </c>
      <c r="T402" s="35">
        <f t="shared" si="85"/>
        <v>12050.2</v>
      </c>
    </row>
    <row r="403" spans="1:20" ht="52.7" customHeight="1">
      <c r="A403" s="61" t="str">
        <f ca="1">IF(ISERROR(MATCH(B403,Код_КЦСР,0)),"",INDIRECT(ADDRESS(MATCH(B403,Код_КЦСР,0)+1,2,,,"КЦСР")))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403" s="43" t="s">
        <v>673</v>
      </c>
      <c r="C403" s="8"/>
      <c r="D403" s="1"/>
      <c r="E403" s="128"/>
      <c r="F403" s="7"/>
      <c r="G403" s="7"/>
      <c r="H403" s="35"/>
      <c r="I403" s="7"/>
      <c r="J403" s="35"/>
      <c r="K403" s="7"/>
      <c r="L403" s="35"/>
      <c r="M403" s="7"/>
      <c r="N403" s="35"/>
      <c r="O403" s="7"/>
      <c r="P403" s="35"/>
      <c r="Q403" s="7">
        <f>Q404</f>
        <v>4618.8</v>
      </c>
      <c r="R403" s="35">
        <f t="shared" si="92"/>
        <v>4618.8</v>
      </c>
      <c r="S403" s="7">
        <f>S404</f>
        <v>-1109.2</v>
      </c>
      <c r="T403" s="35">
        <f t="shared" si="85"/>
        <v>3509.6000000000004</v>
      </c>
    </row>
    <row r="404" spans="1:20" ht="16.5" customHeight="1">
      <c r="A404" s="61" t="str">
        <f ca="1">IF(ISERROR(MATCH(C404,Код_Раздел,0)),"",INDIRECT(ADDRESS(MATCH(C404,Код_Раздел,0)+1,2,,,"Раздел")))</f>
        <v>Культура, кинематография</v>
      </c>
      <c r="B404" s="43" t="s">
        <v>673</v>
      </c>
      <c r="C404" s="8" t="s">
        <v>222</v>
      </c>
      <c r="D404" s="1"/>
      <c r="E404" s="128"/>
      <c r="F404" s="7"/>
      <c r="G404" s="7"/>
      <c r="H404" s="35"/>
      <c r="I404" s="7"/>
      <c r="J404" s="35"/>
      <c r="K404" s="7"/>
      <c r="L404" s="35"/>
      <c r="M404" s="7"/>
      <c r="N404" s="35"/>
      <c r="O404" s="7"/>
      <c r="P404" s="35"/>
      <c r="Q404" s="7">
        <f>Q405</f>
        <v>4618.8</v>
      </c>
      <c r="R404" s="35">
        <f t="shared" si="92"/>
        <v>4618.8</v>
      </c>
      <c r="S404" s="7">
        <f>S405</f>
        <v>-1109.2</v>
      </c>
      <c r="T404" s="35">
        <f t="shared" si="85"/>
        <v>3509.6000000000004</v>
      </c>
    </row>
    <row r="405" spans="1:20" ht="21" customHeight="1">
      <c r="A405" s="12" t="s">
        <v>184</v>
      </c>
      <c r="B405" s="43" t="s">
        <v>673</v>
      </c>
      <c r="C405" s="8" t="s">
        <v>222</v>
      </c>
      <c r="D405" s="1" t="s">
        <v>213</v>
      </c>
      <c r="E405" s="128"/>
      <c r="F405" s="7"/>
      <c r="G405" s="7"/>
      <c r="H405" s="35"/>
      <c r="I405" s="7"/>
      <c r="J405" s="35"/>
      <c r="K405" s="7"/>
      <c r="L405" s="35"/>
      <c r="M405" s="7"/>
      <c r="N405" s="35"/>
      <c r="O405" s="7"/>
      <c r="P405" s="35"/>
      <c r="Q405" s="7">
        <f>Q406</f>
        <v>4618.8</v>
      </c>
      <c r="R405" s="35">
        <f t="shared" si="92"/>
        <v>4618.8</v>
      </c>
      <c r="S405" s="7">
        <f>S406</f>
        <v>-1109.2</v>
      </c>
      <c r="T405" s="35">
        <f t="shared" si="85"/>
        <v>3509.6000000000004</v>
      </c>
    </row>
    <row r="406" spans="1:20" ht="36" customHeight="1">
      <c r="A406" s="61" t="str">
        <f ca="1">IF(ISERROR(MATCH(E406,Код_КВР,0)),"",INDIRECT(ADDRESS(MATCH(E406,Код_КВР,0)+1,2,,,"КВР")))</f>
        <v>Предоставление субсидий бюджетным, автономным учреждениям и иным некоммерческим организациям</v>
      </c>
      <c r="B406" s="43" t="s">
        <v>673</v>
      </c>
      <c r="C406" s="8" t="s">
        <v>222</v>
      </c>
      <c r="D406" s="1" t="s">
        <v>213</v>
      </c>
      <c r="E406" s="128">
        <v>600</v>
      </c>
      <c r="F406" s="7"/>
      <c r="G406" s="7"/>
      <c r="H406" s="35"/>
      <c r="I406" s="7"/>
      <c r="J406" s="35"/>
      <c r="K406" s="7"/>
      <c r="L406" s="35"/>
      <c r="M406" s="7"/>
      <c r="N406" s="35"/>
      <c r="O406" s="7"/>
      <c r="P406" s="35"/>
      <c r="Q406" s="7">
        <f>Q407</f>
        <v>4618.8</v>
      </c>
      <c r="R406" s="35">
        <f t="shared" si="92"/>
        <v>4618.8</v>
      </c>
      <c r="S406" s="7">
        <f>S407</f>
        <v>-1109.2</v>
      </c>
      <c r="T406" s="35">
        <f t="shared" si="85"/>
        <v>3509.6000000000004</v>
      </c>
    </row>
    <row r="407" spans="1:20" ht="26.25" customHeight="1">
      <c r="A407" s="61" t="str">
        <f ca="1">IF(ISERROR(MATCH(E407,Код_КВР,0)),"",INDIRECT(ADDRESS(MATCH(E407,Код_КВР,0)+1,2,,,"КВР")))</f>
        <v>Субсидии бюджетным учреждениям</v>
      </c>
      <c r="B407" s="43" t="s">
        <v>673</v>
      </c>
      <c r="C407" s="8" t="s">
        <v>222</v>
      </c>
      <c r="D407" s="1" t="s">
        <v>213</v>
      </c>
      <c r="E407" s="128">
        <v>610</v>
      </c>
      <c r="F407" s="7"/>
      <c r="G407" s="7"/>
      <c r="H407" s="35"/>
      <c r="I407" s="7"/>
      <c r="J407" s="35"/>
      <c r="K407" s="7"/>
      <c r="L407" s="35"/>
      <c r="M407" s="7"/>
      <c r="N407" s="35"/>
      <c r="O407" s="7"/>
      <c r="P407" s="35"/>
      <c r="Q407" s="7">
        <f>Q408</f>
        <v>4618.8</v>
      </c>
      <c r="R407" s="35">
        <f t="shared" si="92"/>
        <v>4618.8</v>
      </c>
      <c r="S407" s="7">
        <f>S408</f>
        <v>-1109.2</v>
      </c>
      <c r="T407" s="35">
        <f t="shared" si="85"/>
        <v>3509.6000000000004</v>
      </c>
    </row>
    <row r="408" spans="1:20" ht="52.7" customHeight="1">
      <c r="A408" s="61" t="str">
        <f ca="1">IF(ISERROR(MATCH(E408,Код_КВР,0)),"",INDIRECT(ADDRESS(MATCH(E408,Код_КВР,0)+1,2,,,"КВР")))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08" s="43" t="s">
        <v>673</v>
      </c>
      <c r="C408" s="8" t="s">
        <v>222</v>
      </c>
      <c r="D408" s="1" t="s">
        <v>213</v>
      </c>
      <c r="E408" s="128">
        <v>611</v>
      </c>
      <c r="F408" s="7"/>
      <c r="G408" s="7"/>
      <c r="H408" s="35"/>
      <c r="I408" s="7"/>
      <c r="J408" s="35"/>
      <c r="K408" s="7"/>
      <c r="L408" s="35"/>
      <c r="M408" s="7"/>
      <c r="N408" s="35"/>
      <c r="O408" s="7"/>
      <c r="P408" s="35"/>
      <c r="Q408" s="7">
        <f>прил.6!R1042</f>
        <v>4618.8</v>
      </c>
      <c r="R408" s="35">
        <f t="shared" si="92"/>
        <v>4618.8</v>
      </c>
      <c r="S408" s="7">
        <f>прил.6!T1042</f>
        <v>-1109.2</v>
      </c>
      <c r="T408" s="35">
        <f t="shared" si="85"/>
        <v>3509.6000000000004</v>
      </c>
    </row>
    <row r="409" spans="1:20" ht="20.25" customHeight="1">
      <c r="A409" s="61" t="str">
        <f ca="1">IF(ISERROR(MATCH(B409,Код_КЦСР,0)),"",INDIRECT(ADDRESS(MATCH(B409,Код_КЦСР,0)+1,2,,,"КЦСР")))</f>
        <v>Формирование постиндустриального образа города Череповца</v>
      </c>
      <c r="B409" s="43" t="s">
        <v>508</v>
      </c>
      <c r="C409" s="8"/>
      <c r="D409" s="1"/>
      <c r="E409" s="104"/>
      <c r="F409" s="7">
        <f>F410+F421+F422</f>
        <v>8113.8</v>
      </c>
      <c r="G409" s="7">
        <f>G410+G421+G422</f>
        <v>0</v>
      </c>
      <c r="H409" s="35">
        <f t="shared" si="99"/>
        <v>8113.8</v>
      </c>
      <c r="I409" s="7">
        <f>I410+I421+I422</f>
        <v>0</v>
      </c>
      <c r="J409" s="35">
        <f t="shared" si="97"/>
        <v>8113.8</v>
      </c>
      <c r="K409" s="7">
        <f>K410+K421+K422</f>
        <v>0</v>
      </c>
      <c r="L409" s="35">
        <f t="shared" si="95"/>
        <v>8113.8</v>
      </c>
      <c r="M409" s="7">
        <f>M410+M421+M422</f>
        <v>0</v>
      </c>
      <c r="N409" s="35">
        <f t="shared" si="96"/>
        <v>8113.8</v>
      </c>
      <c r="O409" s="7">
        <f>O410+O421+O422</f>
        <v>0</v>
      </c>
      <c r="P409" s="35">
        <f t="shared" si="91"/>
        <v>8113.8</v>
      </c>
      <c r="Q409" s="7">
        <f>Q410+Q421+Q422</f>
        <v>0</v>
      </c>
      <c r="R409" s="35">
        <f t="shared" si="92"/>
        <v>8113.8</v>
      </c>
      <c r="S409" s="7">
        <f>S410+S421+S422</f>
        <v>0</v>
      </c>
      <c r="T409" s="35">
        <f t="shared" si="85"/>
        <v>8113.8</v>
      </c>
    </row>
    <row r="410" spans="1:20" ht="87" customHeight="1">
      <c r="A410" s="61" t="str">
        <f ca="1">IF(ISERROR(MATCH(B410,Код_КЦСР,0)),"",INDIRECT(ADDRESS(MATCH(B410,Код_КЦСР,0)+1,2,,,"КЦСР")))</f>
        <v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 и памятными датами, событиями  мировой и отечественной культуры)</v>
      </c>
      <c r="B410" s="43" t="s">
        <v>510</v>
      </c>
      <c r="C410" s="8"/>
      <c r="D410" s="1"/>
      <c r="E410" s="104"/>
      <c r="F410" s="7">
        <f t="shared" ref="F410:S414" si="100">F411</f>
        <v>2570</v>
      </c>
      <c r="G410" s="7">
        <f t="shared" si="100"/>
        <v>0</v>
      </c>
      <c r="H410" s="35">
        <f t="shared" si="99"/>
        <v>2570</v>
      </c>
      <c r="I410" s="7">
        <f t="shared" si="100"/>
        <v>0</v>
      </c>
      <c r="J410" s="35">
        <f t="shared" si="97"/>
        <v>2570</v>
      </c>
      <c r="K410" s="7">
        <f t="shared" si="100"/>
        <v>0</v>
      </c>
      <c r="L410" s="35">
        <f t="shared" si="95"/>
        <v>2570</v>
      </c>
      <c r="M410" s="7">
        <f t="shared" si="100"/>
        <v>0</v>
      </c>
      <c r="N410" s="35">
        <f t="shared" si="96"/>
        <v>2570</v>
      </c>
      <c r="O410" s="7">
        <f t="shared" si="100"/>
        <v>0</v>
      </c>
      <c r="P410" s="35">
        <f t="shared" si="91"/>
        <v>2570</v>
      </c>
      <c r="Q410" s="7">
        <f t="shared" si="100"/>
        <v>0</v>
      </c>
      <c r="R410" s="35">
        <f t="shared" si="92"/>
        <v>2570</v>
      </c>
      <c r="S410" s="7">
        <f t="shared" si="100"/>
        <v>0</v>
      </c>
      <c r="T410" s="35">
        <f t="shared" si="85"/>
        <v>2570</v>
      </c>
    </row>
    <row r="411" spans="1:20" ht="22.5" customHeight="1">
      <c r="A411" s="61" t="str">
        <f ca="1">IF(ISERROR(MATCH(C411,Код_Раздел,0)),"",INDIRECT(ADDRESS(MATCH(C411,Код_Раздел,0)+1,2,,,"Раздел")))</f>
        <v>Культура, кинематография</v>
      </c>
      <c r="B411" s="43" t="s">
        <v>510</v>
      </c>
      <c r="C411" s="8" t="s">
        <v>222</v>
      </c>
      <c r="D411" s="1"/>
      <c r="E411" s="104"/>
      <c r="F411" s="7">
        <f t="shared" si="100"/>
        <v>2570</v>
      </c>
      <c r="G411" s="7">
        <f t="shared" si="100"/>
        <v>0</v>
      </c>
      <c r="H411" s="35">
        <f t="shared" si="99"/>
        <v>2570</v>
      </c>
      <c r="I411" s="7">
        <f t="shared" si="100"/>
        <v>0</v>
      </c>
      <c r="J411" s="35">
        <f t="shared" si="97"/>
        <v>2570</v>
      </c>
      <c r="K411" s="7">
        <f t="shared" si="100"/>
        <v>0</v>
      </c>
      <c r="L411" s="35">
        <f t="shared" si="95"/>
        <v>2570</v>
      </c>
      <c r="M411" s="7">
        <f t="shared" si="100"/>
        <v>0</v>
      </c>
      <c r="N411" s="35">
        <f t="shared" si="96"/>
        <v>2570</v>
      </c>
      <c r="O411" s="7">
        <f t="shared" si="100"/>
        <v>0</v>
      </c>
      <c r="P411" s="35">
        <f t="shared" si="91"/>
        <v>2570</v>
      </c>
      <c r="Q411" s="7">
        <f t="shared" si="100"/>
        <v>0</v>
      </c>
      <c r="R411" s="35">
        <f t="shared" si="92"/>
        <v>2570</v>
      </c>
      <c r="S411" s="7">
        <f t="shared" si="100"/>
        <v>0</v>
      </c>
      <c r="T411" s="35">
        <f t="shared" si="85"/>
        <v>2570</v>
      </c>
    </row>
    <row r="412" spans="1:20" ht="19.5" customHeight="1">
      <c r="A412" s="12" t="s">
        <v>163</v>
      </c>
      <c r="B412" s="43" t="s">
        <v>510</v>
      </c>
      <c r="C412" s="8" t="s">
        <v>222</v>
      </c>
      <c r="D412" s="1" t="s">
        <v>216</v>
      </c>
      <c r="E412" s="104"/>
      <c r="F412" s="7">
        <f t="shared" si="100"/>
        <v>2570</v>
      </c>
      <c r="G412" s="7">
        <f t="shared" si="100"/>
        <v>0</v>
      </c>
      <c r="H412" s="35">
        <f t="shared" si="99"/>
        <v>2570</v>
      </c>
      <c r="I412" s="7">
        <f t="shared" si="100"/>
        <v>0</v>
      </c>
      <c r="J412" s="35">
        <f t="shared" si="97"/>
        <v>2570</v>
      </c>
      <c r="K412" s="7">
        <f t="shared" si="100"/>
        <v>0</v>
      </c>
      <c r="L412" s="35">
        <f t="shared" si="95"/>
        <v>2570</v>
      </c>
      <c r="M412" s="7">
        <f t="shared" si="100"/>
        <v>0</v>
      </c>
      <c r="N412" s="35">
        <f t="shared" si="96"/>
        <v>2570</v>
      </c>
      <c r="O412" s="7">
        <f t="shared" si="100"/>
        <v>0</v>
      </c>
      <c r="P412" s="35">
        <f t="shared" si="91"/>
        <v>2570</v>
      </c>
      <c r="Q412" s="7">
        <f t="shared" si="100"/>
        <v>0</v>
      </c>
      <c r="R412" s="35">
        <f t="shared" si="92"/>
        <v>2570</v>
      </c>
      <c r="S412" s="7">
        <f t="shared" si="100"/>
        <v>0</v>
      </c>
      <c r="T412" s="35">
        <f t="shared" ref="T412:T475" si="101">R412+S412</f>
        <v>2570</v>
      </c>
    </row>
    <row r="413" spans="1:20" ht="37.5" customHeight="1">
      <c r="A413" s="61" t="str">
        <f ca="1">IF(ISERROR(MATCH(E413,Код_КВР,0)),"",INDIRECT(ADDRESS(MATCH(E413,Код_КВР,0)+1,2,,,"КВР")))</f>
        <v>Предоставление субсидий бюджетным, автономным учреждениям и иным некоммерческим организациям</v>
      </c>
      <c r="B413" s="43" t="s">
        <v>510</v>
      </c>
      <c r="C413" s="8" t="s">
        <v>222</v>
      </c>
      <c r="D413" s="1" t="s">
        <v>216</v>
      </c>
      <c r="E413" s="104">
        <v>600</v>
      </c>
      <c r="F413" s="7">
        <f t="shared" si="100"/>
        <v>2570</v>
      </c>
      <c r="G413" s="7">
        <f t="shared" si="100"/>
        <v>0</v>
      </c>
      <c r="H413" s="35">
        <f t="shared" si="99"/>
        <v>2570</v>
      </c>
      <c r="I413" s="7">
        <f t="shared" si="100"/>
        <v>0</v>
      </c>
      <c r="J413" s="35">
        <f t="shared" si="97"/>
        <v>2570</v>
      </c>
      <c r="K413" s="7">
        <f t="shared" si="100"/>
        <v>0</v>
      </c>
      <c r="L413" s="35">
        <f t="shared" si="95"/>
        <v>2570</v>
      </c>
      <c r="M413" s="7">
        <f t="shared" si="100"/>
        <v>0</v>
      </c>
      <c r="N413" s="35">
        <f t="shared" si="96"/>
        <v>2570</v>
      </c>
      <c r="O413" s="7">
        <f t="shared" si="100"/>
        <v>0</v>
      </c>
      <c r="P413" s="35">
        <f t="shared" si="91"/>
        <v>2570</v>
      </c>
      <c r="Q413" s="7">
        <f t="shared" si="100"/>
        <v>0</v>
      </c>
      <c r="R413" s="35">
        <f t="shared" si="92"/>
        <v>2570</v>
      </c>
      <c r="S413" s="7">
        <f t="shared" si="100"/>
        <v>0</v>
      </c>
      <c r="T413" s="35">
        <f t="shared" si="101"/>
        <v>2570</v>
      </c>
    </row>
    <row r="414" spans="1:20" ht="22.5" customHeight="1">
      <c r="A414" s="61" t="str">
        <f ca="1">IF(ISERROR(MATCH(E414,Код_КВР,0)),"",INDIRECT(ADDRESS(MATCH(E414,Код_КВР,0)+1,2,,,"КВР")))</f>
        <v>Субсидии бюджетным учреждениям</v>
      </c>
      <c r="B414" s="43" t="s">
        <v>510</v>
      </c>
      <c r="C414" s="8" t="s">
        <v>222</v>
      </c>
      <c r="D414" s="1" t="s">
        <v>216</v>
      </c>
      <c r="E414" s="104">
        <v>610</v>
      </c>
      <c r="F414" s="7">
        <f t="shared" si="100"/>
        <v>2570</v>
      </c>
      <c r="G414" s="7">
        <f t="shared" si="100"/>
        <v>0</v>
      </c>
      <c r="H414" s="35">
        <f t="shared" si="99"/>
        <v>2570</v>
      </c>
      <c r="I414" s="7">
        <f t="shared" si="100"/>
        <v>0</v>
      </c>
      <c r="J414" s="35">
        <f t="shared" si="97"/>
        <v>2570</v>
      </c>
      <c r="K414" s="7">
        <f t="shared" si="100"/>
        <v>0</v>
      </c>
      <c r="L414" s="35">
        <f t="shared" si="95"/>
        <v>2570</v>
      </c>
      <c r="M414" s="7">
        <f t="shared" si="100"/>
        <v>0</v>
      </c>
      <c r="N414" s="35">
        <f t="shared" si="96"/>
        <v>2570</v>
      </c>
      <c r="O414" s="7">
        <f t="shared" si="100"/>
        <v>0</v>
      </c>
      <c r="P414" s="35">
        <f t="shared" si="91"/>
        <v>2570</v>
      </c>
      <c r="Q414" s="7">
        <f t="shared" si="100"/>
        <v>0</v>
      </c>
      <c r="R414" s="35">
        <f t="shared" si="92"/>
        <v>2570</v>
      </c>
      <c r="S414" s="7">
        <f t="shared" si="100"/>
        <v>0</v>
      </c>
      <c r="T414" s="35">
        <f t="shared" si="101"/>
        <v>2570</v>
      </c>
    </row>
    <row r="415" spans="1:20" ht="22.5" customHeight="1">
      <c r="A415" s="61" t="str">
        <f ca="1">IF(ISERROR(MATCH(E415,Код_КВР,0)),"",INDIRECT(ADDRESS(MATCH(E415,Код_КВР,0)+1,2,,,"КВР")))</f>
        <v>Субсидии бюджетным учреждениям на иные цели</v>
      </c>
      <c r="B415" s="43" t="s">
        <v>510</v>
      </c>
      <c r="C415" s="8" t="s">
        <v>222</v>
      </c>
      <c r="D415" s="1" t="s">
        <v>216</v>
      </c>
      <c r="E415" s="104">
        <v>612</v>
      </c>
      <c r="F415" s="7">
        <f>прил.6!G1112</f>
        <v>2570</v>
      </c>
      <c r="G415" s="7">
        <f>прил.6!H1112</f>
        <v>0</v>
      </c>
      <c r="H415" s="35">
        <f t="shared" si="99"/>
        <v>2570</v>
      </c>
      <c r="I415" s="7">
        <f>прил.6!J1112</f>
        <v>0</v>
      </c>
      <c r="J415" s="35">
        <f t="shared" si="97"/>
        <v>2570</v>
      </c>
      <c r="K415" s="7">
        <f>прил.6!L1112</f>
        <v>0</v>
      </c>
      <c r="L415" s="35">
        <f t="shared" si="95"/>
        <v>2570</v>
      </c>
      <c r="M415" s="7">
        <f>прил.6!N1112</f>
        <v>0</v>
      </c>
      <c r="N415" s="35">
        <f t="shared" si="96"/>
        <v>2570</v>
      </c>
      <c r="O415" s="7">
        <f>прил.6!P1112</f>
        <v>0</v>
      </c>
      <c r="P415" s="35">
        <f t="shared" si="91"/>
        <v>2570</v>
      </c>
      <c r="Q415" s="7">
        <f>прил.6!R1112</f>
        <v>0</v>
      </c>
      <c r="R415" s="35">
        <f t="shared" si="92"/>
        <v>2570</v>
      </c>
      <c r="S415" s="7">
        <f>прил.6!T1112</f>
        <v>0</v>
      </c>
      <c r="T415" s="35">
        <f t="shared" si="101"/>
        <v>2570</v>
      </c>
    </row>
    <row r="416" spans="1:20" ht="90.75" customHeight="1">
      <c r="A416" s="61" t="str">
        <f ca="1">IF(ISERROR(MATCH(B416,Код_КЦСР,0)),"",INDIRECT(ADDRESS(MATCH(B416,Код_КЦСР,0)+1,2,,,"КЦСР")))</f>
        <v>Ведомственная целевая программа «Отрасль «Культура города Череповца» (2012-2014 годы) (Участие творческих коллективов города в международных, всероссийских, региональных мероприятиях, фестивалях, конкурсах в целях поднятия имиджа города как культурного центра и развитие культурных связей)</v>
      </c>
      <c r="B416" s="43" t="s">
        <v>511</v>
      </c>
      <c r="C416" s="8"/>
      <c r="D416" s="1"/>
      <c r="E416" s="104"/>
      <c r="F416" s="7">
        <f t="shared" ref="F416:S420" si="102">F417</f>
        <v>160</v>
      </c>
      <c r="G416" s="7">
        <f t="shared" si="102"/>
        <v>0</v>
      </c>
      <c r="H416" s="35">
        <f t="shared" si="99"/>
        <v>160</v>
      </c>
      <c r="I416" s="7">
        <f t="shared" si="102"/>
        <v>0</v>
      </c>
      <c r="J416" s="35">
        <f t="shared" si="97"/>
        <v>160</v>
      </c>
      <c r="K416" s="7">
        <f t="shared" si="102"/>
        <v>0</v>
      </c>
      <c r="L416" s="35">
        <f t="shared" si="95"/>
        <v>160</v>
      </c>
      <c r="M416" s="7">
        <f t="shared" si="102"/>
        <v>0</v>
      </c>
      <c r="N416" s="35">
        <f t="shared" si="96"/>
        <v>160</v>
      </c>
      <c r="O416" s="7">
        <f t="shared" si="102"/>
        <v>0</v>
      </c>
      <c r="P416" s="35">
        <f t="shared" si="91"/>
        <v>160</v>
      </c>
      <c r="Q416" s="7">
        <f t="shared" si="102"/>
        <v>0</v>
      </c>
      <c r="R416" s="35">
        <f t="shared" si="92"/>
        <v>160</v>
      </c>
      <c r="S416" s="7">
        <f t="shared" si="102"/>
        <v>0</v>
      </c>
      <c r="T416" s="35">
        <f t="shared" si="101"/>
        <v>160</v>
      </c>
    </row>
    <row r="417" spans="1:20">
      <c r="A417" s="61" t="str">
        <f ca="1">IF(ISERROR(MATCH(C417,Код_Раздел,0)),"",INDIRECT(ADDRESS(MATCH(C417,Код_Раздел,0)+1,2,,,"Раздел")))</f>
        <v>Культура, кинематография</v>
      </c>
      <c r="B417" s="43" t="s">
        <v>511</v>
      </c>
      <c r="C417" s="8" t="s">
        <v>222</v>
      </c>
      <c r="D417" s="1"/>
      <c r="E417" s="104"/>
      <c r="F417" s="7">
        <f t="shared" si="102"/>
        <v>160</v>
      </c>
      <c r="G417" s="7">
        <f t="shared" si="102"/>
        <v>0</v>
      </c>
      <c r="H417" s="35">
        <f t="shared" si="99"/>
        <v>160</v>
      </c>
      <c r="I417" s="7">
        <f t="shared" si="102"/>
        <v>0</v>
      </c>
      <c r="J417" s="35">
        <f t="shared" si="97"/>
        <v>160</v>
      </c>
      <c r="K417" s="7">
        <f t="shared" si="102"/>
        <v>0</v>
      </c>
      <c r="L417" s="35">
        <f t="shared" si="95"/>
        <v>160</v>
      </c>
      <c r="M417" s="7">
        <f t="shared" si="102"/>
        <v>0</v>
      </c>
      <c r="N417" s="35">
        <f t="shared" si="96"/>
        <v>160</v>
      </c>
      <c r="O417" s="7">
        <f t="shared" si="102"/>
        <v>0</v>
      </c>
      <c r="P417" s="35">
        <f t="shared" si="91"/>
        <v>160</v>
      </c>
      <c r="Q417" s="7">
        <f t="shared" si="102"/>
        <v>0</v>
      </c>
      <c r="R417" s="35">
        <f t="shared" si="92"/>
        <v>160</v>
      </c>
      <c r="S417" s="7">
        <f t="shared" si="102"/>
        <v>0</v>
      </c>
      <c r="T417" s="35">
        <f t="shared" si="101"/>
        <v>160</v>
      </c>
    </row>
    <row r="418" spans="1:20">
      <c r="A418" s="12" t="s">
        <v>163</v>
      </c>
      <c r="B418" s="43" t="s">
        <v>511</v>
      </c>
      <c r="C418" s="8" t="s">
        <v>222</v>
      </c>
      <c r="D418" s="1" t="s">
        <v>216</v>
      </c>
      <c r="E418" s="104"/>
      <c r="F418" s="7">
        <f t="shared" si="102"/>
        <v>160</v>
      </c>
      <c r="G418" s="7">
        <f t="shared" si="102"/>
        <v>0</v>
      </c>
      <c r="H418" s="35">
        <f t="shared" si="99"/>
        <v>160</v>
      </c>
      <c r="I418" s="7">
        <f t="shared" si="102"/>
        <v>0</v>
      </c>
      <c r="J418" s="35">
        <f t="shared" si="97"/>
        <v>160</v>
      </c>
      <c r="K418" s="7">
        <f t="shared" si="102"/>
        <v>0</v>
      </c>
      <c r="L418" s="35">
        <f t="shared" si="95"/>
        <v>160</v>
      </c>
      <c r="M418" s="7">
        <f t="shared" si="102"/>
        <v>0</v>
      </c>
      <c r="N418" s="35">
        <f t="shared" si="96"/>
        <v>160</v>
      </c>
      <c r="O418" s="7">
        <f t="shared" si="102"/>
        <v>0</v>
      </c>
      <c r="P418" s="35">
        <f t="shared" si="91"/>
        <v>160</v>
      </c>
      <c r="Q418" s="7">
        <f t="shared" si="102"/>
        <v>0</v>
      </c>
      <c r="R418" s="35">
        <f t="shared" si="92"/>
        <v>160</v>
      </c>
      <c r="S418" s="7">
        <f t="shared" si="102"/>
        <v>0</v>
      </c>
      <c r="T418" s="35">
        <f t="shared" si="101"/>
        <v>160</v>
      </c>
    </row>
    <row r="419" spans="1:20" ht="33">
      <c r="A419" s="61" t="str">
        <f ca="1">IF(ISERROR(MATCH(E419,Код_КВР,0)),"",INDIRECT(ADDRESS(MATCH(E419,Код_КВР,0)+1,2,,,"КВР")))</f>
        <v>Предоставление субсидий бюджетным, автономным учреждениям и иным некоммерческим организациям</v>
      </c>
      <c r="B419" s="43" t="s">
        <v>511</v>
      </c>
      <c r="C419" s="8" t="s">
        <v>222</v>
      </c>
      <c r="D419" s="1" t="s">
        <v>216</v>
      </c>
      <c r="E419" s="104">
        <v>600</v>
      </c>
      <c r="F419" s="7">
        <f t="shared" si="102"/>
        <v>160</v>
      </c>
      <c r="G419" s="7">
        <f t="shared" si="102"/>
        <v>0</v>
      </c>
      <c r="H419" s="35">
        <f t="shared" si="99"/>
        <v>160</v>
      </c>
      <c r="I419" s="7">
        <f t="shared" si="102"/>
        <v>0</v>
      </c>
      <c r="J419" s="35">
        <f t="shared" si="97"/>
        <v>160</v>
      </c>
      <c r="K419" s="7">
        <f t="shared" si="102"/>
        <v>0</v>
      </c>
      <c r="L419" s="35">
        <f t="shared" si="95"/>
        <v>160</v>
      </c>
      <c r="M419" s="7">
        <f t="shared" si="102"/>
        <v>0</v>
      </c>
      <c r="N419" s="35">
        <f t="shared" si="96"/>
        <v>160</v>
      </c>
      <c r="O419" s="7">
        <f t="shared" si="102"/>
        <v>0</v>
      </c>
      <c r="P419" s="35">
        <f t="shared" si="91"/>
        <v>160</v>
      </c>
      <c r="Q419" s="7">
        <f t="shared" si="102"/>
        <v>0</v>
      </c>
      <c r="R419" s="35">
        <f t="shared" si="92"/>
        <v>160</v>
      </c>
      <c r="S419" s="7">
        <f t="shared" si="102"/>
        <v>0</v>
      </c>
      <c r="T419" s="35">
        <f t="shared" si="101"/>
        <v>160</v>
      </c>
    </row>
    <row r="420" spans="1:20">
      <c r="A420" s="61" t="str">
        <f ca="1">IF(ISERROR(MATCH(E420,Код_КВР,0)),"",INDIRECT(ADDRESS(MATCH(E420,Код_КВР,0)+1,2,,,"КВР")))</f>
        <v>Субсидии бюджетным учреждениям</v>
      </c>
      <c r="B420" s="43" t="s">
        <v>511</v>
      </c>
      <c r="C420" s="8" t="s">
        <v>222</v>
      </c>
      <c r="D420" s="1" t="s">
        <v>216</v>
      </c>
      <c r="E420" s="104">
        <v>610</v>
      </c>
      <c r="F420" s="7">
        <f t="shared" si="102"/>
        <v>160</v>
      </c>
      <c r="G420" s="7">
        <f t="shared" si="102"/>
        <v>0</v>
      </c>
      <c r="H420" s="35">
        <f t="shared" si="99"/>
        <v>160</v>
      </c>
      <c r="I420" s="7">
        <f t="shared" si="102"/>
        <v>0</v>
      </c>
      <c r="J420" s="35">
        <f t="shared" si="97"/>
        <v>160</v>
      </c>
      <c r="K420" s="7">
        <f t="shared" si="102"/>
        <v>0</v>
      </c>
      <c r="L420" s="35">
        <f t="shared" si="95"/>
        <v>160</v>
      </c>
      <c r="M420" s="7">
        <f t="shared" si="102"/>
        <v>0</v>
      </c>
      <c r="N420" s="35">
        <f t="shared" si="96"/>
        <v>160</v>
      </c>
      <c r="O420" s="7">
        <f t="shared" si="102"/>
        <v>0</v>
      </c>
      <c r="P420" s="35">
        <f t="shared" si="91"/>
        <v>160</v>
      </c>
      <c r="Q420" s="7">
        <f t="shared" si="102"/>
        <v>0</v>
      </c>
      <c r="R420" s="35">
        <f t="shared" si="92"/>
        <v>160</v>
      </c>
      <c r="S420" s="7">
        <f t="shared" si="102"/>
        <v>0</v>
      </c>
      <c r="T420" s="35">
        <f t="shared" si="101"/>
        <v>160</v>
      </c>
    </row>
    <row r="421" spans="1:20">
      <c r="A421" s="61" t="str">
        <f ca="1">IF(ISERROR(MATCH(E421,Код_КВР,0)),"",INDIRECT(ADDRESS(MATCH(E421,Код_КВР,0)+1,2,,,"КВР")))</f>
        <v>Субсидии бюджетным учреждениям на иные цели</v>
      </c>
      <c r="B421" s="43" t="s">
        <v>511</v>
      </c>
      <c r="C421" s="8" t="s">
        <v>222</v>
      </c>
      <c r="D421" s="1" t="s">
        <v>216</v>
      </c>
      <c r="E421" s="104">
        <v>612</v>
      </c>
      <c r="F421" s="7">
        <f>прил.6!G1116</f>
        <v>160</v>
      </c>
      <c r="G421" s="7">
        <f>прил.6!H1116</f>
        <v>0</v>
      </c>
      <c r="H421" s="35">
        <f t="shared" si="99"/>
        <v>160</v>
      </c>
      <c r="I421" s="7">
        <f>прил.6!J1116</f>
        <v>0</v>
      </c>
      <c r="J421" s="35">
        <f t="shared" si="97"/>
        <v>160</v>
      </c>
      <c r="K421" s="7">
        <f>прил.6!L1116</f>
        <v>0</v>
      </c>
      <c r="L421" s="35">
        <f t="shared" si="95"/>
        <v>160</v>
      </c>
      <c r="M421" s="7">
        <f>прил.6!N1116</f>
        <v>0</v>
      </c>
      <c r="N421" s="35">
        <f t="shared" si="96"/>
        <v>160</v>
      </c>
      <c r="O421" s="7">
        <f>прил.6!P1116</f>
        <v>0</v>
      </c>
      <c r="P421" s="35">
        <f t="shared" si="91"/>
        <v>160</v>
      </c>
      <c r="Q421" s="7">
        <f>прил.6!R1116</f>
        <v>0</v>
      </c>
      <c r="R421" s="35">
        <f t="shared" si="92"/>
        <v>160</v>
      </c>
      <c r="S421" s="7">
        <f>прил.6!T1116</f>
        <v>0</v>
      </c>
      <c r="T421" s="35">
        <f t="shared" si="101"/>
        <v>160</v>
      </c>
    </row>
    <row r="422" spans="1:20" ht="33">
      <c r="A422" s="61" t="str">
        <f ca="1">IF(ISERROR(MATCH(B422,Код_КЦСР,0)),"",INDIRECT(ADDRESS(MATCH(B422,Код_КЦСР,0)+1,2,,,"КЦСР")))</f>
        <v xml:space="preserve">Организация и проведение городских культурно- массовых мероприятий </v>
      </c>
      <c r="B422" s="43" t="s">
        <v>512</v>
      </c>
      <c r="C422" s="8"/>
      <c r="D422" s="1"/>
      <c r="E422" s="104"/>
      <c r="F422" s="7">
        <f t="shared" ref="F422:S426" si="103">F423</f>
        <v>5383.8</v>
      </c>
      <c r="G422" s="7">
        <f t="shared" si="103"/>
        <v>0</v>
      </c>
      <c r="H422" s="35">
        <f t="shared" si="99"/>
        <v>5383.8</v>
      </c>
      <c r="I422" s="7">
        <f t="shared" si="103"/>
        <v>0</v>
      </c>
      <c r="J422" s="35">
        <f t="shared" si="97"/>
        <v>5383.8</v>
      </c>
      <c r="K422" s="7">
        <f t="shared" si="103"/>
        <v>0</v>
      </c>
      <c r="L422" s="35">
        <f t="shared" si="95"/>
        <v>5383.8</v>
      </c>
      <c r="M422" s="7">
        <f t="shared" si="103"/>
        <v>0</v>
      </c>
      <c r="N422" s="35">
        <f t="shared" si="96"/>
        <v>5383.8</v>
      </c>
      <c r="O422" s="7">
        <f t="shared" si="103"/>
        <v>0</v>
      </c>
      <c r="P422" s="35">
        <f t="shared" si="91"/>
        <v>5383.8</v>
      </c>
      <c r="Q422" s="7">
        <f t="shared" si="103"/>
        <v>0</v>
      </c>
      <c r="R422" s="35">
        <f t="shared" si="92"/>
        <v>5383.8</v>
      </c>
      <c r="S422" s="7">
        <f t="shared" si="103"/>
        <v>0</v>
      </c>
      <c r="T422" s="35">
        <f t="shared" si="101"/>
        <v>5383.8</v>
      </c>
    </row>
    <row r="423" spans="1:20">
      <c r="A423" s="61" t="str">
        <f ca="1">IF(ISERROR(MATCH(C423,Код_Раздел,0)),"",INDIRECT(ADDRESS(MATCH(C423,Код_Раздел,0)+1,2,,,"Раздел")))</f>
        <v>Культура, кинематография</v>
      </c>
      <c r="B423" s="43" t="s">
        <v>512</v>
      </c>
      <c r="C423" s="8" t="s">
        <v>222</v>
      </c>
      <c r="D423" s="1"/>
      <c r="E423" s="104"/>
      <c r="F423" s="7">
        <f t="shared" si="103"/>
        <v>5383.8</v>
      </c>
      <c r="G423" s="7">
        <f t="shared" si="103"/>
        <v>0</v>
      </c>
      <c r="H423" s="35">
        <f t="shared" si="99"/>
        <v>5383.8</v>
      </c>
      <c r="I423" s="7">
        <f t="shared" si="103"/>
        <v>0</v>
      </c>
      <c r="J423" s="35">
        <f t="shared" si="97"/>
        <v>5383.8</v>
      </c>
      <c r="K423" s="7">
        <f t="shared" si="103"/>
        <v>0</v>
      </c>
      <c r="L423" s="35">
        <f t="shared" si="95"/>
        <v>5383.8</v>
      </c>
      <c r="M423" s="7">
        <f t="shared" si="103"/>
        <v>0</v>
      </c>
      <c r="N423" s="35">
        <f t="shared" si="96"/>
        <v>5383.8</v>
      </c>
      <c r="O423" s="7">
        <f t="shared" si="103"/>
        <v>0</v>
      </c>
      <c r="P423" s="35">
        <f t="shared" si="91"/>
        <v>5383.8</v>
      </c>
      <c r="Q423" s="7">
        <f t="shared" si="103"/>
        <v>0</v>
      </c>
      <c r="R423" s="35">
        <f t="shared" si="92"/>
        <v>5383.8</v>
      </c>
      <c r="S423" s="7">
        <f t="shared" si="103"/>
        <v>0</v>
      </c>
      <c r="T423" s="35">
        <f t="shared" si="101"/>
        <v>5383.8</v>
      </c>
    </row>
    <row r="424" spans="1:20">
      <c r="A424" s="12" t="s">
        <v>184</v>
      </c>
      <c r="B424" s="43" t="s">
        <v>512</v>
      </c>
      <c r="C424" s="8" t="s">
        <v>222</v>
      </c>
      <c r="D424" s="1" t="s">
        <v>213</v>
      </c>
      <c r="E424" s="104"/>
      <c r="F424" s="7">
        <f t="shared" si="103"/>
        <v>5383.8</v>
      </c>
      <c r="G424" s="7">
        <f t="shared" si="103"/>
        <v>0</v>
      </c>
      <c r="H424" s="35">
        <f t="shared" si="99"/>
        <v>5383.8</v>
      </c>
      <c r="I424" s="7">
        <f t="shared" si="103"/>
        <v>0</v>
      </c>
      <c r="J424" s="35">
        <f t="shared" si="97"/>
        <v>5383.8</v>
      </c>
      <c r="K424" s="7">
        <f t="shared" si="103"/>
        <v>0</v>
      </c>
      <c r="L424" s="35">
        <f t="shared" si="95"/>
        <v>5383.8</v>
      </c>
      <c r="M424" s="7">
        <f t="shared" si="103"/>
        <v>0</v>
      </c>
      <c r="N424" s="35">
        <f t="shared" si="96"/>
        <v>5383.8</v>
      </c>
      <c r="O424" s="7">
        <f t="shared" si="103"/>
        <v>0</v>
      </c>
      <c r="P424" s="35">
        <f t="shared" si="91"/>
        <v>5383.8</v>
      </c>
      <c r="Q424" s="7">
        <f t="shared" si="103"/>
        <v>0</v>
      </c>
      <c r="R424" s="35">
        <f t="shared" si="92"/>
        <v>5383.8</v>
      </c>
      <c r="S424" s="7">
        <f t="shared" si="103"/>
        <v>0</v>
      </c>
      <c r="T424" s="35">
        <f t="shared" si="101"/>
        <v>5383.8</v>
      </c>
    </row>
    <row r="425" spans="1:20" ht="33">
      <c r="A425" s="61" t="str">
        <f ca="1">IF(ISERROR(MATCH(E425,Код_КВР,0)),"",INDIRECT(ADDRESS(MATCH(E425,Код_КВР,0)+1,2,,,"КВР")))</f>
        <v>Предоставление субсидий бюджетным, автономным учреждениям и иным некоммерческим организациям</v>
      </c>
      <c r="B425" s="43" t="s">
        <v>512</v>
      </c>
      <c r="C425" s="8" t="s">
        <v>222</v>
      </c>
      <c r="D425" s="1" t="s">
        <v>213</v>
      </c>
      <c r="E425" s="104">
        <v>600</v>
      </c>
      <c r="F425" s="7">
        <f t="shared" si="103"/>
        <v>5383.8</v>
      </c>
      <c r="G425" s="7">
        <f t="shared" si="103"/>
        <v>0</v>
      </c>
      <c r="H425" s="35">
        <f t="shared" si="99"/>
        <v>5383.8</v>
      </c>
      <c r="I425" s="7">
        <f t="shared" si="103"/>
        <v>0</v>
      </c>
      <c r="J425" s="35">
        <f t="shared" si="97"/>
        <v>5383.8</v>
      </c>
      <c r="K425" s="7">
        <f t="shared" si="103"/>
        <v>0</v>
      </c>
      <c r="L425" s="35">
        <f t="shared" si="95"/>
        <v>5383.8</v>
      </c>
      <c r="M425" s="7">
        <f t="shared" si="103"/>
        <v>0</v>
      </c>
      <c r="N425" s="35">
        <f t="shared" si="96"/>
        <v>5383.8</v>
      </c>
      <c r="O425" s="7">
        <f t="shared" si="103"/>
        <v>0</v>
      </c>
      <c r="P425" s="35">
        <f t="shared" si="91"/>
        <v>5383.8</v>
      </c>
      <c r="Q425" s="7">
        <f t="shared" si="103"/>
        <v>0</v>
      </c>
      <c r="R425" s="35">
        <f t="shared" si="92"/>
        <v>5383.8</v>
      </c>
      <c r="S425" s="7">
        <f t="shared" si="103"/>
        <v>0</v>
      </c>
      <c r="T425" s="35">
        <f t="shared" si="101"/>
        <v>5383.8</v>
      </c>
    </row>
    <row r="426" spans="1:20">
      <c r="A426" s="61" t="str">
        <f ca="1">IF(ISERROR(MATCH(E426,Код_КВР,0)),"",INDIRECT(ADDRESS(MATCH(E426,Код_КВР,0)+1,2,,,"КВР")))</f>
        <v>Субсидии бюджетным учреждениям</v>
      </c>
      <c r="B426" s="43" t="s">
        <v>512</v>
      </c>
      <c r="C426" s="8" t="s">
        <v>222</v>
      </c>
      <c r="D426" s="1" t="s">
        <v>213</v>
      </c>
      <c r="E426" s="104">
        <v>610</v>
      </c>
      <c r="F426" s="7">
        <f t="shared" si="103"/>
        <v>5383.8</v>
      </c>
      <c r="G426" s="7">
        <f t="shared" si="103"/>
        <v>0</v>
      </c>
      <c r="H426" s="35">
        <f t="shared" si="99"/>
        <v>5383.8</v>
      </c>
      <c r="I426" s="7">
        <f t="shared" si="103"/>
        <v>0</v>
      </c>
      <c r="J426" s="35">
        <f t="shared" si="97"/>
        <v>5383.8</v>
      </c>
      <c r="K426" s="7">
        <f t="shared" si="103"/>
        <v>0</v>
      </c>
      <c r="L426" s="35">
        <f t="shared" si="95"/>
        <v>5383.8</v>
      </c>
      <c r="M426" s="7">
        <f t="shared" si="103"/>
        <v>0</v>
      </c>
      <c r="N426" s="35">
        <f t="shared" si="96"/>
        <v>5383.8</v>
      </c>
      <c r="O426" s="7">
        <f t="shared" si="103"/>
        <v>0</v>
      </c>
      <c r="P426" s="35">
        <f t="shared" si="91"/>
        <v>5383.8</v>
      </c>
      <c r="Q426" s="7">
        <f t="shared" si="103"/>
        <v>0</v>
      </c>
      <c r="R426" s="35">
        <f t="shared" si="92"/>
        <v>5383.8</v>
      </c>
      <c r="S426" s="7">
        <f t="shared" si="103"/>
        <v>0</v>
      </c>
      <c r="T426" s="35">
        <f t="shared" si="101"/>
        <v>5383.8</v>
      </c>
    </row>
    <row r="427" spans="1:20" ht="49.5">
      <c r="A427" s="61" t="str">
        <f ca="1">IF(ISERROR(MATCH(E427,Код_КВР,0)),"",INDIRECT(ADDRESS(MATCH(E427,Код_КВР,0)+1,2,,,"КВР")))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27" s="43" t="s">
        <v>512</v>
      </c>
      <c r="C427" s="8" t="s">
        <v>222</v>
      </c>
      <c r="D427" s="1" t="s">
        <v>213</v>
      </c>
      <c r="E427" s="104">
        <v>611</v>
      </c>
      <c r="F427" s="7">
        <f>прил.6!G1047</f>
        <v>5383.8</v>
      </c>
      <c r="G427" s="7">
        <f>прил.6!H1047</f>
        <v>0</v>
      </c>
      <c r="H427" s="35">
        <f t="shared" si="99"/>
        <v>5383.8</v>
      </c>
      <c r="I427" s="7">
        <f>прил.6!J1047</f>
        <v>0</v>
      </c>
      <c r="J427" s="35">
        <f t="shared" si="97"/>
        <v>5383.8</v>
      </c>
      <c r="K427" s="7">
        <f>прил.6!L1047</f>
        <v>0</v>
      </c>
      <c r="L427" s="35">
        <f t="shared" si="95"/>
        <v>5383.8</v>
      </c>
      <c r="M427" s="7">
        <f>прил.6!N1047</f>
        <v>0</v>
      </c>
      <c r="N427" s="35">
        <f t="shared" si="96"/>
        <v>5383.8</v>
      </c>
      <c r="O427" s="7">
        <f>прил.6!P1047</f>
        <v>0</v>
      </c>
      <c r="P427" s="35">
        <f t="shared" si="91"/>
        <v>5383.8</v>
      </c>
      <c r="Q427" s="7">
        <f>прил.6!R1047</f>
        <v>0</v>
      </c>
      <c r="R427" s="35">
        <f t="shared" si="92"/>
        <v>5383.8</v>
      </c>
      <c r="S427" s="7">
        <f>прил.6!T1047</f>
        <v>0</v>
      </c>
      <c r="T427" s="35">
        <f t="shared" si="101"/>
        <v>5383.8</v>
      </c>
    </row>
    <row r="428" spans="1:20" ht="18.75" customHeight="1">
      <c r="A428" s="61" t="str">
        <f ca="1">IF(ISERROR(MATCH(B428,Код_КЦСР,0)),"",INDIRECT(ADDRESS(MATCH(B428,Код_КЦСР,0)+1,2,,,"КЦСР")))</f>
        <v xml:space="preserve">Индустрия отдыха на территориях парков культуры и отдыха </v>
      </c>
      <c r="B428" s="43" t="s">
        <v>514</v>
      </c>
      <c r="C428" s="8"/>
      <c r="D428" s="1"/>
      <c r="E428" s="104"/>
      <c r="F428" s="7">
        <f t="shared" ref="F428:S433" si="104">F429</f>
        <v>4501.2</v>
      </c>
      <c r="G428" s="7">
        <f t="shared" si="104"/>
        <v>0</v>
      </c>
      <c r="H428" s="35">
        <f t="shared" si="99"/>
        <v>4501.2</v>
      </c>
      <c r="I428" s="7">
        <f t="shared" si="104"/>
        <v>0</v>
      </c>
      <c r="J428" s="35">
        <f t="shared" si="97"/>
        <v>4501.2</v>
      </c>
      <c r="K428" s="7">
        <f t="shared" si="104"/>
        <v>0</v>
      </c>
      <c r="L428" s="35">
        <f t="shared" si="95"/>
        <v>4501.2</v>
      </c>
      <c r="M428" s="7">
        <f t="shared" si="104"/>
        <v>0</v>
      </c>
      <c r="N428" s="35">
        <f t="shared" si="96"/>
        <v>4501.2</v>
      </c>
      <c r="O428" s="7">
        <f t="shared" si="104"/>
        <v>0</v>
      </c>
      <c r="P428" s="35">
        <f t="shared" si="91"/>
        <v>4501.2</v>
      </c>
      <c r="Q428" s="7">
        <f t="shared" si="104"/>
        <v>0</v>
      </c>
      <c r="R428" s="35">
        <f t="shared" si="92"/>
        <v>4501.2</v>
      </c>
      <c r="S428" s="7">
        <f t="shared" si="104"/>
        <v>0</v>
      </c>
      <c r="T428" s="35">
        <f t="shared" si="101"/>
        <v>4501.2</v>
      </c>
    </row>
    <row r="429" spans="1:20" ht="35.25" customHeight="1">
      <c r="A429" s="61" t="str">
        <f ca="1">IF(ISERROR(MATCH(B429,Код_КЦСР,0)),"",INDIRECT(ADDRESS(MATCH(B429,Код_КЦСР,0)+1,2,,,"КЦСР")))</f>
        <v>Работа по организации досуга населения на базе парков культуры и отдыха</v>
      </c>
      <c r="B429" s="43" t="s">
        <v>516</v>
      </c>
      <c r="C429" s="8"/>
      <c r="D429" s="1"/>
      <c r="E429" s="104"/>
      <c r="F429" s="7">
        <f t="shared" si="104"/>
        <v>4501.2</v>
      </c>
      <c r="G429" s="7">
        <f t="shared" si="104"/>
        <v>0</v>
      </c>
      <c r="H429" s="35">
        <f t="shared" si="99"/>
        <v>4501.2</v>
      </c>
      <c r="I429" s="7">
        <f t="shared" si="104"/>
        <v>0</v>
      </c>
      <c r="J429" s="35">
        <f t="shared" si="97"/>
        <v>4501.2</v>
      </c>
      <c r="K429" s="7">
        <f t="shared" si="104"/>
        <v>0</v>
      </c>
      <c r="L429" s="35">
        <f t="shared" si="95"/>
        <v>4501.2</v>
      </c>
      <c r="M429" s="7">
        <f t="shared" si="104"/>
        <v>0</v>
      </c>
      <c r="N429" s="35">
        <f t="shared" si="96"/>
        <v>4501.2</v>
      </c>
      <c r="O429" s="7">
        <f t="shared" si="104"/>
        <v>0</v>
      </c>
      <c r="P429" s="35">
        <f t="shared" si="91"/>
        <v>4501.2</v>
      </c>
      <c r="Q429" s="7">
        <f t="shared" si="104"/>
        <v>0</v>
      </c>
      <c r="R429" s="35">
        <f t="shared" si="92"/>
        <v>4501.2</v>
      </c>
      <c r="S429" s="7">
        <f t="shared" si="104"/>
        <v>0</v>
      </c>
      <c r="T429" s="35">
        <f t="shared" si="101"/>
        <v>4501.2</v>
      </c>
    </row>
    <row r="430" spans="1:20" ht="19.5" customHeight="1">
      <c r="A430" s="61" t="str">
        <f ca="1">IF(ISERROR(MATCH(C430,Код_Раздел,0)),"",INDIRECT(ADDRESS(MATCH(C430,Код_Раздел,0)+1,2,,,"Раздел")))</f>
        <v>Культура, кинематография</v>
      </c>
      <c r="B430" s="43" t="s">
        <v>516</v>
      </c>
      <c r="C430" s="8" t="s">
        <v>222</v>
      </c>
      <c r="D430" s="1"/>
      <c r="E430" s="104"/>
      <c r="F430" s="7">
        <f t="shared" si="104"/>
        <v>4501.2</v>
      </c>
      <c r="G430" s="7">
        <f t="shared" si="104"/>
        <v>0</v>
      </c>
      <c r="H430" s="35">
        <f t="shared" si="99"/>
        <v>4501.2</v>
      </c>
      <c r="I430" s="7">
        <f t="shared" si="104"/>
        <v>0</v>
      </c>
      <c r="J430" s="35">
        <f t="shared" si="97"/>
        <v>4501.2</v>
      </c>
      <c r="K430" s="7">
        <f t="shared" si="104"/>
        <v>0</v>
      </c>
      <c r="L430" s="35">
        <f t="shared" si="95"/>
        <v>4501.2</v>
      </c>
      <c r="M430" s="7">
        <f t="shared" si="104"/>
        <v>0</v>
      </c>
      <c r="N430" s="35">
        <f t="shared" si="96"/>
        <v>4501.2</v>
      </c>
      <c r="O430" s="7">
        <f t="shared" si="104"/>
        <v>0</v>
      </c>
      <c r="P430" s="35">
        <f t="shared" si="91"/>
        <v>4501.2</v>
      </c>
      <c r="Q430" s="7">
        <f t="shared" si="104"/>
        <v>0</v>
      </c>
      <c r="R430" s="35">
        <f t="shared" si="92"/>
        <v>4501.2</v>
      </c>
      <c r="S430" s="7">
        <f t="shared" si="104"/>
        <v>0</v>
      </c>
      <c r="T430" s="35">
        <f t="shared" si="101"/>
        <v>4501.2</v>
      </c>
    </row>
    <row r="431" spans="1:20" ht="19.5" customHeight="1">
      <c r="A431" s="12" t="s">
        <v>184</v>
      </c>
      <c r="B431" s="43" t="s">
        <v>516</v>
      </c>
      <c r="C431" s="8" t="s">
        <v>222</v>
      </c>
      <c r="D431" s="1" t="s">
        <v>213</v>
      </c>
      <c r="E431" s="104"/>
      <c r="F431" s="7">
        <f t="shared" si="104"/>
        <v>4501.2</v>
      </c>
      <c r="G431" s="7">
        <f t="shared" si="104"/>
        <v>0</v>
      </c>
      <c r="H431" s="35">
        <f t="shared" si="99"/>
        <v>4501.2</v>
      </c>
      <c r="I431" s="7">
        <f t="shared" si="104"/>
        <v>0</v>
      </c>
      <c r="J431" s="35">
        <f t="shared" si="97"/>
        <v>4501.2</v>
      </c>
      <c r="K431" s="7">
        <f t="shared" si="104"/>
        <v>0</v>
      </c>
      <c r="L431" s="35">
        <f t="shared" si="95"/>
        <v>4501.2</v>
      </c>
      <c r="M431" s="7">
        <f t="shared" si="104"/>
        <v>0</v>
      </c>
      <c r="N431" s="35">
        <f t="shared" si="96"/>
        <v>4501.2</v>
      </c>
      <c r="O431" s="7">
        <f t="shared" si="104"/>
        <v>0</v>
      </c>
      <c r="P431" s="35">
        <f t="shared" si="91"/>
        <v>4501.2</v>
      </c>
      <c r="Q431" s="7">
        <f t="shared" si="104"/>
        <v>0</v>
      </c>
      <c r="R431" s="35">
        <f t="shared" si="92"/>
        <v>4501.2</v>
      </c>
      <c r="S431" s="7">
        <f t="shared" si="104"/>
        <v>0</v>
      </c>
      <c r="T431" s="35">
        <f t="shared" si="101"/>
        <v>4501.2</v>
      </c>
    </row>
    <row r="432" spans="1:20" ht="35.25" customHeight="1">
      <c r="A432" s="61" t="str">
        <f ca="1">IF(ISERROR(MATCH(E432,Код_КВР,0)),"",INDIRECT(ADDRESS(MATCH(E432,Код_КВР,0)+1,2,,,"КВР")))</f>
        <v>Предоставление субсидий бюджетным, автономным учреждениям и иным некоммерческим организациям</v>
      </c>
      <c r="B432" s="43" t="s">
        <v>516</v>
      </c>
      <c r="C432" s="8" t="s">
        <v>222</v>
      </c>
      <c r="D432" s="1" t="s">
        <v>213</v>
      </c>
      <c r="E432" s="104">
        <v>600</v>
      </c>
      <c r="F432" s="7">
        <f t="shared" si="104"/>
        <v>4501.2</v>
      </c>
      <c r="G432" s="7">
        <f t="shared" si="104"/>
        <v>0</v>
      </c>
      <c r="H432" s="35">
        <f t="shared" si="99"/>
        <v>4501.2</v>
      </c>
      <c r="I432" s="7">
        <f t="shared" si="104"/>
        <v>0</v>
      </c>
      <c r="J432" s="35">
        <f t="shared" si="97"/>
        <v>4501.2</v>
      </c>
      <c r="K432" s="7">
        <f t="shared" si="104"/>
        <v>0</v>
      </c>
      <c r="L432" s="35">
        <f t="shared" si="95"/>
        <v>4501.2</v>
      </c>
      <c r="M432" s="7">
        <f t="shared" si="104"/>
        <v>0</v>
      </c>
      <c r="N432" s="35">
        <f t="shared" si="96"/>
        <v>4501.2</v>
      </c>
      <c r="O432" s="7">
        <f t="shared" si="104"/>
        <v>0</v>
      </c>
      <c r="P432" s="35">
        <f t="shared" si="91"/>
        <v>4501.2</v>
      </c>
      <c r="Q432" s="7">
        <f t="shared" si="104"/>
        <v>0</v>
      </c>
      <c r="R432" s="35">
        <f t="shared" si="92"/>
        <v>4501.2</v>
      </c>
      <c r="S432" s="7">
        <f t="shared" si="104"/>
        <v>0</v>
      </c>
      <c r="T432" s="35">
        <f t="shared" si="101"/>
        <v>4501.2</v>
      </c>
    </row>
    <row r="433" spans="1:20" ht="19.5" customHeight="1">
      <c r="A433" s="61" t="str">
        <f ca="1">IF(ISERROR(MATCH(E433,Код_КВР,0)),"",INDIRECT(ADDRESS(MATCH(E433,Код_КВР,0)+1,2,,,"КВР")))</f>
        <v>Субсидии автономным учреждениям</v>
      </c>
      <c r="B433" s="43" t="s">
        <v>516</v>
      </c>
      <c r="C433" s="8" t="s">
        <v>222</v>
      </c>
      <c r="D433" s="1" t="s">
        <v>213</v>
      </c>
      <c r="E433" s="104">
        <v>620</v>
      </c>
      <c r="F433" s="7">
        <f t="shared" si="104"/>
        <v>4501.2</v>
      </c>
      <c r="G433" s="7">
        <f t="shared" si="104"/>
        <v>0</v>
      </c>
      <c r="H433" s="35">
        <f t="shared" si="99"/>
        <v>4501.2</v>
      </c>
      <c r="I433" s="7">
        <f t="shared" si="104"/>
        <v>0</v>
      </c>
      <c r="J433" s="35">
        <f t="shared" si="97"/>
        <v>4501.2</v>
      </c>
      <c r="K433" s="7">
        <f t="shared" si="104"/>
        <v>0</v>
      </c>
      <c r="L433" s="35">
        <f t="shared" si="95"/>
        <v>4501.2</v>
      </c>
      <c r="M433" s="7">
        <f t="shared" si="104"/>
        <v>0</v>
      </c>
      <c r="N433" s="35">
        <f t="shared" si="96"/>
        <v>4501.2</v>
      </c>
      <c r="O433" s="7">
        <f t="shared" si="104"/>
        <v>0</v>
      </c>
      <c r="P433" s="35">
        <f t="shared" si="91"/>
        <v>4501.2</v>
      </c>
      <c r="Q433" s="7">
        <f t="shared" si="104"/>
        <v>0</v>
      </c>
      <c r="R433" s="35">
        <f t="shared" si="92"/>
        <v>4501.2</v>
      </c>
      <c r="S433" s="7">
        <f t="shared" si="104"/>
        <v>0</v>
      </c>
      <c r="T433" s="35">
        <f t="shared" si="101"/>
        <v>4501.2</v>
      </c>
    </row>
    <row r="434" spans="1:20" ht="52.7" customHeight="1">
      <c r="A434" s="61" t="str">
        <f ca="1">IF(ISERROR(MATCH(E434,Код_КВР,0)),"",INDIRECT(ADDRESS(MATCH(E434,Код_КВР,0)+1,2,,,"КВР")))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34" s="43" t="s">
        <v>516</v>
      </c>
      <c r="C434" s="8" t="s">
        <v>222</v>
      </c>
      <c r="D434" s="1" t="s">
        <v>213</v>
      </c>
      <c r="E434" s="104">
        <v>621</v>
      </c>
      <c r="F434" s="7">
        <f>прил.6!G1052</f>
        <v>4501.2</v>
      </c>
      <c r="G434" s="7">
        <f>прил.6!H1052</f>
        <v>0</v>
      </c>
      <c r="H434" s="35">
        <f t="shared" si="99"/>
        <v>4501.2</v>
      </c>
      <c r="I434" s="7">
        <f>прил.6!J1052</f>
        <v>0</v>
      </c>
      <c r="J434" s="35">
        <f t="shared" si="97"/>
        <v>4501.2</v>
      </c>
      <c r="K434" s="7">
        <f>прил.6!L1052</f>
        <v>0</v>
      </c>
      <c r="L434" s="35">
        <f t="shared" si="95"/>
        <v>4501.2</v>
      </c>
      <c r="M434" s="7">
        <f>прил.6!N1052</f>
        <v>0</v>
      </c>
      <c r="N434" s="35">
        <f t="shared" si="96"/>
        <v>4501.2</v>
      </c>
      <c r="O434" s="7">
        <f>прил.6!P1052</f>
        <v>0</v>
      </c>
      <c r="P434" s="35">
        <f t="shared" si="91"/>
        <v>4501.2</v>
      </c>
      <c r="Q434" s="7">
        <f>прил.6!R1052</f>
        <v>0</v>
      </c>
      <c r="R434" s="35">
        <f t="shared" si="92"/>
        <v>4501.2</v>
      </c>
      <c r="S434" s="7">
        <f>прил.6!T1052</f>
        <v>0</v>
      </c>
      <c r="T434" s="35">
        <f t="shared" si="101"/>
        <v>4501.2</v>
      </c>
    </row>
    <row r="435" spans="1:20" ht="33">
      <c r="A435" s="61" t="str">
        <f ca="1">IF(ISERROR(MATCH(B435,Код_КЦСР,0)),"",INDIRECT(ADDRESS(MATCH(B435,Код_КЦСР,0)+1,2,,,"КЦСР")))</f>
        <v>Дополнительное образование в сфере культуры и искусства, поддержка юных дарований</v>
      </c>
      <c r="B435" s="43" t="s">
        <v>518</v>
      </c>
      <c r="C435" s="8"/>
      <c r="D435" s="1"/>
      <c r="E435" s="104"/>
      <c r="F435" s="7">
        <f>F442</f>
        <v>60888.1</v>
      </c>
      <c r="G435" s="7">
        <f>G442</f>
        <v>0</v>
      </c>
      <c r="H435" s="35">
        <f t="shared" si="99"/>
        <v>60888.1</v>
      </c>
      <c r="I435" s="7">
        <f>I442</f>
        <v>0</v>
      </c>
      <c r="J435" s="35">
        <f t="shared" si="97"/>
        <v>60888.1</v>
      </c>
      <c r="K435" s="7">
        <f>K442</f>
        <v>-50.9</v>
      </c>
      <c r="L435" s="35">
        <f t="shared" si="95"/>
        <v>60837.2</v>
      </c>
      <c r="M435" s="7">
        <f>M442</f>
        <v>0</v>
      </c>
      <c r="N435" s="35">
        <f t="shared" si="96"/>
        <v>60837.2</v>
      </c>
      <c r="O435" s="7">
        <f>O442</f>
        <v>0</v>
      </c>
      <c r="P435" s="35">
        <f t="shared" si="91"/>
        <v>60837.2</v>
      </c>
      <c r="Q435" s="7">
        <f>Q442+Q448+Q436</f>
        <v>488.5</v>
      </c>
      <c r="R435" s="35">
        <f t="shared" si="92"/>
        <v>61325.7</v>
      </c>
      <c r="S435" s="7">
        <f>S442+S448+S436</f>
        <v>216.9</v>
      </c>
      <c r="T435" s="35">
        <f t="shared" si="101"/>
        <v>61542.6</v>
      </c>
    </row>
    <row r="436" spans="1:20" ht="55.5" customHeight="1">
      <c r="A436" s="61" t="str">
        <f ca="1">IF(ISERROR(MATCH(B436,Код_КЦСР,0)),"",INDIRECT(ADDRESS(MATCH(B436,Код_КЦСР,0)+1,2,,,"КЦСР")))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436" s="43" t="s">
        <v>520</v>
      </c>
      <c r="C436" s="8"/>
      <c r="D436" s="1"/>
      <c r="E436" s="117"/>
      <c r="F436" s="7"/>
      <c r="G436" s="7"/>
      <c r="H436" s="35"/>
      <c r="I436" s="7"/>
      <c r="J436" s="35"/>
      <c r="K436" s="7"/>
      <c r="L436" s="35"/>
      <c r="M436" s="7"/>
      <c r="N436" s="35"/>
      <c r="O436" s="7"/>
      <c r="P436" s="35"/>
      <c r="Q436" s="7">
        <f>Q437</f>
        <v>7.9</v>
      </c>
      <c r="R436" s="35">
        <f t="shared" si="92"/>
        <v>7.9</v>
      </c>
      <c r="S436" s="7">
        <f>S437</f>
        <v>0</v>
      </c>
      <c r="T436" s="35">
        <f t="shared" si="101"/>
        <v>7.9</v>
      </c>
    </row>
    <row r="437" spans="1:20">
      <c r="A437" s="61" t="str">
        <f ca="1">IF(ISERROR(MATCH(C437,Код_Раздел,0)),"",INDIRECT(ADDRESS(MATCH(C437,Код_Раздел,0)+1,2,,,"Раздел")))</f>
        <v>Образование</v>
      </c>
      <c r="B437" s="43" t="s">
        <v>520</v>
      </c>
      <c r="C437" s="8" t="s">
        <v>195</v>
      </c>
      <c r="D437" s="1"/>
      <c r="E437" s="117"/>
      <c r="F437" s="7"/>
      <c r="G437" s="7"/>
      <c r="H437" s="35"/>
      <c r="I437" s="7"/>
      <c r="J437" s="35"/>
      <c r="K437" s="7"/>
      <c r="L437" s="35"/>
      <c r="M437" s="7"/>
      <c r="N437" s="35"/>
      <c r="O437" s="7"/>
      <c r="P437" s="35"/>
      <c r="Q437" s="7">
        <f>Q438</f>
        <v>7.9</v>
      </c>
      <c r="R437" s="35">
        <f t="shared" si="92"/>
        <v>7.9</v>
      </c>
      <c r="S437" s="7">
        <f>S438</f>
        <v>0</v>
      </c>
      <c r="T437" s="35">
        <f t="shared" si="101"/>
        <v>7.9</v>
      </c>
    </row>
    <row r="438" spans="1:20">
      <c r="A438" s="12" t="s">
        <v>251</v>
      </c>
      <c r="B438" s="43" t="s">
        <v>520</v>
      </c>
      <c r="C438" s="8" t="s">
        <v>195</v>
      </c>
      <c r="D438" s="1" t="s">
        <v>219</v>
      </c>
      <c r="E438" s="117"/>
      <c r="F438" s="7"/>
      <c r="G438" s="7"/>
      <c r="H438" s="35"/>
      <c r="I438" s="7"/>
      <c r="J438" s="35"/>
      <c r="K438" s="7"/>
      <c r="L438" s="35"/>
      <c r="M438" s="7"/>
      <c r="N438" s="35"/>
      <c r="O438" s="7"/>
      <c r="P438" s="35"/>
      <c r="Q438" s="7">
        <f>Q439</f>
        <v>7.9</v>
      </c>
      <c r="R438" s="35">
        <f t="shared" si="92"/>
        <v>7.9</v>
      </c>
      <c r="S438" s="7">
        <f>S439</f>
        <v>0</v>
      </c>
      <c r="T438" s="35">
        <f t="shared" si="101"/>
        <v>7.9</v>
      </c>
    </row>
    <row r="439" spans="1:20" ht="33">
      <c r="A439" s="61" t="str">
        <f ca="1">IF(ISERROR(MATCH(E439,Код_КВР,0)),"",INDIRECT(ADDRESS(MATCH(E439,Код_КВР,0)+1,2,,,"КВР")))</f>
        <v>Предоставление субсидий бюджетным, автономным учреждениям и иным некоммерческим организациям</v>
      </c>
      <c r="B439" s="43" t="s">
        <v>520</v>
      </c>
      <c r="C439" s="8" t="s">
        <v>195</v>
      </c>
      <c r="D439" s="1" t="s">
        <v>219</v>
      </c>
      <c r="E439" s="117">
        <v>600</v>
      </c>
      <c r="F439" s="7"/>
      <c r="G439" s="7"/>
      <c r="H439" s="35"/>
      <c r="I439" s="7"/>
      <c r="J439" s="35"/>
      <c r="K439" s="7"/>
      <c r="L439" s="35"/>
      <c r="M439" s="7"/>
      <c r="N439" s="35"/>
      <c r="O439" s="7"/>
      <c r="P439" s="35"/>
      <c r="Q439" s="7">
        <f>Q440</f>
        <v>7.9</v>
      </c>
      <c r="R439" s="35">
        <f t="shared" si="92"/>
        <v>7.9</v>
      </c>
      <c r="S439" s="7">
        <f>S440</f>
        <v>0</v>
      </c>
      <c r="T439" s="35">
        <f t="shared" si="101"/>
        <v>7.9</v>
      </c>
    </row>
    <row r="440" spans="1:20">
      <c r="A440" s="61" t="str">
        <f ca="1">IF(ISERROR(MATCH(E440,Код_КВР,0)),"",INDIRECT(ADDRESS(MATCH(E440,Код_КВР,0)+1,2,,,"КВР")))</f>
        <v>Субсидии бюджетным учреждениям</v>
      </c>
      <c r="B440" s="43" t="s">
        <v>520</v>
      </c>
      <c r="C440" s="8" t="s">
        <v>195</v>
      </c>
      <c r="D440" s="1" t="s">
        <v>219</v>
      </c>
      <c r="E440" s="117">
        <v>610</v>
      </c>
      <c r="F440" s="7"/>
      <c r="G440" s="7"/>
      <c r="H440" s="35"/>
      <c r="I440" s="7"/>
      <c r="J440" s="35"/>
      <c r="K440" s="7"/>
      <c r="L440" s="35"/>
      <c r="M440" s="7"/>
      <c r="N440" s="35"/>
      <c r="O440" s="7"/>
      <c r="P440" s="35"/>
      <c r="Q440" s="7">
        <f>Q441</f>
        <v>7.9</v>
      </c>
      <c r="R440" s="35">
        <f t="shared" si="92"/>
        <v>7.9</v>
      </c>
      <c r="S440" s="7">
        <f>S441</f>
        <v>0</v>
      </c>
      <c r="T440" s="35">
        <f t="shared" si="101"/>
        <v>7.9</v>
      </c>
    </row>
    <row r="441" spans="1:20">
      <c r="A441" s="61" t="str">
        <f ca="1">IF(ISERROR(MATCH(E441,Код_КВР,0)),"",INDIRECT(ADDRESS(MATCH(E441,Код_КВР,0)+1,2,,,"КВР")))</f>
        <v>Субсидии бюджетным учреждениям на иные цели</v>
      </c>
      <c r="B441" s="43" t="s">
        <v>520</v>
      </c>
      <c r="C441" s="8" t="s">
        <v>195</v>
      </c>
      <c r="D441" s="1" t="s">
        <v>219</v>
      </c>
      <c r="E441" s="117">
        <v>612</v>
      </c>
      <c r="F441" s="7"/>
      <c r="G441" s="7"/>
      <c r="H441" s="35"/>
      <c r="I441" s="7"/>
      <c r="J441" s="35"/>
      <c r="K441" s="7"/>
      <c r="L441" s="35"/>
      <c r="M441" s="7"/>
      <c r="N441" s="35"/>
      <c r="O441" s="7"/>
      <c r="P441" s="35"/>
      <c r="Q441" s="7">
        <f>прил.6!R951</f>
        <v>7.9</v>
      </c>
      <c r="R441" s="35">
        <f t="shared" si="92"/>
        <v>7.9</v>
      </c>
      <c r="S441" s="7">
        <f>прил.6!T951</f>
        <v>0</v>
      </c>
      <c r="T441" s="35">
        <f t="shared" si="101"/>
        <v>7.9</v>
      </c>
    </row>
    <row r="442" spans="1:20" ht="19.5" customHeight="1">
      <c r="A442" s="61" t="str">
        <f ca="1">IF(ISERROR(MATCH(B442,Код_КЦСР,0)),"",INDIRECT(ADDRESS(MATCH(B442,Код_КЦСР,0)+1,2,,,"КЦСР")))</f>
        <v>Оказание муниципальных услуг</v>
      </c>
      <c r="B442" s="43" t="s">
        <v>521</v>
      </c>
      <c r="C442" s="8"/>
      <c r="D442" s="1"/>
      <c r="E442" s="104"/>
      <c r="F442" s="7">
        <f t="shared" ref="F442:S446" si="105">F443</f>
        <v>60888.1</v>
      </c>
      <c r="G442" s="7">
        <f t="shared" si="105"/>
        <v>0</v>
      </c>
      <c r="H442" s="35">
        <f t="shared" si="99"/>
        <v>60888.1</v>
      </c>
      <c r="I442" s="7">
        <f t="shared" si="105"/>
        <v>0</v>
      </c>
      <c r="J442" s="35">
        <f t="shared" si="97"/>
        <v>60888.1</v>
      </c>
      <c r="K442" s="7">
        <f t="shared" si="105"/>
        <v>-50.9</v>
      </c>
      <c r="L442" s="35">
        <f t="shared" si="95"/>
        <v>60837.2</v>
      </c>
      <c r="M442" s="7">
        <f t="shared" si="105"/>
        <v>0</v>
      </c>
      <c r="N442" s="35">
        <f t="shared" si="96"/>
        <v>60837.2</v>
      </c>
      <c r="O442" s="7">
        <f t="shared" si="105"/>
        <v>0</v>
      </c>
      <c r="P442" s="35">
        <f t="shared" si="91"/>
        <v>60837.2</v>
      </c>
      <c r="Q442" s="7">
        <f t="shared" si="105"/>
        <v>330.6</v>
      </c>
      <c r="R442" s="35">
        <f t="shared" si="92"/>
        <v>61167.799999999996</v>
      </c>
      <c r="S442" s="7">
        <f t="shared" si="105"/>
        <v>216.9</v>
      </c>
      <c r="T442" s="35">
        <f t="shared" si="101"/>
        <v>61384.7</v>
      </c>
    </row>
    <row r="443" spans="1:20" ht="17.25" customHeight="1">
      <c r="A443" s="61" t="str">
        <f ca="1">IF(ISERROR(MATCH(C443,Код_Раздел,0)),"",INDIRECT(ADDRESS(MATCH(C443,Код_Раздел,0)+1,2,,,"Раздел")))</f>
        <v>Образование</v>
      </c>
      <c r="B443" s="43" t="s">
        <v>521</v>
      </c>
      <c r="C443" s="8" t="s">
        <v>195</v>
      </c>
      <c r="D443" s="1"/>
      <c r="E443" s="104"/>
      <c r="F443" s="7">
        <f t="shared" si="105"/>
        <v>60888.1</v>
      </c>
      <c r="G443" s="7">
        <f t="shared" si="105"/>
        <v>0</v>
      </c>
      <c r="H443" s="35">
        <f t="shared" si="99"/>
        <v>60888.1</v>
      </c>
      <c r="I443" s="7">
        <f t="shared" si="105"/>
        <v>0</v>
      </c>
      <c r="J443" s="35">
        <f t="shared" si="97"/>
        <v>60888.1</v>
      </c>
      <c r="K443" s="7">
        <f t="shared" si="105"/>
        <v>-50.9</v>
      </c>
      <c r="L443" s="35">
        <f t="shared" si="95"/>
        <v>60837.2</v>
      </c>
      <c r="M443" s="7">
        <f t="shared" si="105"/>
        <v>0</v>
      </c>
      <c r="N443" s="35">
        <f t="shared" si="96"/>
        <v>60837.2</v>
      </c>
      <c r="O443" s="7">
        <f t="shared" si="105"/>
        <v>0</v>
      </c>
      <c r="P443" s="35">
        <f t="shared" si="91"/>
        <v>60837.2</v>
      </c>
      <c r="Q443" s="7">
        <f t="shared" si="105"/>
        <v>330.6</v>
      </c>
      <c r="R443" s="35">
        <f t="shared" si="92"/>
        <v>61167.799999999996</v>
      </c>
      <c r="S443" s="7">
        <f t="shared" si="105"/>
        <v>216.9</v>
      </c>
      <c r="T443" s="35">
        <f t="shared" si="101"/>
        <v>61384.7</v>
      </c>
    </row>
    <row r="444" spans="1:20" ht="20.25" customHeight="1">
      <c r="A444" s="12" t="s">
        <v>250</v>
      </c>
      <c r="B444" s="43" t="s">
        <v>521</v>
      </c>
      <c r="C444" s="8" t="s">
        <v>195</v>
      </c>
      <c r="D444" s="1" t="s">
        <v>214</v>
      </c>
      <c r="E444" s="104"/>
      <c r="F444" s="7">
        <f t="shared" si="105"/>
        <v>60888.1</v>
      </c>
      <c r="G444" s="7">
        <f t="shared" si="105"/>
        <v>0</v>
      </c>
      <c r="H444" s="35">
        <f t="shared" si="99"/>
        <v>60888.1</v>
      </c>
      <c r="I444" s="7">
        <f t="shared" si="105"/>
        <v>0</v>
      </c>
      <c r="J444" s="35">
        <f t="shared" si="97"/>
        <v>60888.1</v>
      </c>
      <c r="K444" s="7">
        <f t="shared" si="105"/>
        <v>-50.9</v>
      </c>
      <c r="L444" s="35">
        <f t="shared" si="95"/>
        <v>60837.2</v>
      </c>
      <c r="M444" s="7">
        <f t="shared" si="105"/>
        <v>0</v>
      </c>
      <c r="N444" s="35">
        <f t="shared" si="96"/>
        <v>60837.2</v>
      </c>
      <c r="O444" s="7">
        <f t="shared" si="105"/>
        <v>0</v>
      </c>
      <c r="P444" s="35">
        <f t="shared" si="91"/>
        <v>60837.2</v>
      </c>
      <c r="Q444" s="7">
        <f t="shared" si="105"/>
        <v>330.6</v>
      </c>
      <c r="R444" s="35">
        <f t="shared" si="92"/>
        <v>61167.799999999996</v>
      </c>
      <c r="S444" s="7">
        <f t="shared" si="105"/>
        <v>216.9</v>
      </c>
      <c r="T444" s="35">
        <f t="shared" si="101"/>
        <v>61384.7</v>
      </c>
    </row>
    <row r="445" spans="1:20" ht="36" customHeight="1">
      <c r="A445" s="61" t="str">
        <f ca="1">IF(ISERROR(MATCH(E445,Код_КВР,0)),"",INDIRECT(ADDRESS(MATCH(E445,Код_КВР,0)+1,2,,,"КВР")))</f>
        <v>Предоставление субсидий бюджетным, автономным учреждениям и иным некоммерческим организациям</v>
      </c>
      <c r="B445" s="43" t="s">
        <v>521</v>
      </c>
      <c r="C445" s="8" t="s">
        <v>195</v>
      </c>
      <c r="D445" s="1" t="s">
        <v>214</v>
      </c>
      <c r="E445" s="104">
        <v>600</v>
      </c>
      <c r="F445" s="7">
        <f t="shared" si="105"/>
        <v>60888.1</v>
      </c>
      <c r="G445" s="7">
        <f t="shared" si="105"/>
        <v>0</v>
      </c>
      <c r="H445" s="35">
        <f t="shared" si="99"/>
        <v>60888.1</v>
      </c>
      <c r="I445" s="7">
        <f t="shared" si="105"/>
        <v>0</v>
      </c>
      <c r="J445" s="35">
        <f t="shared" si="97"/>
        <v>60888.1</v>
      </c>
      <c r="K445" s="7">
        <f t="shared" si="105"/>
        <v>-50.9</v>
      </c>
      <c r="L445" s="35">
        <f t="shared" si="95"/>
        <v>60837.2</v>
      </c>
      <c r="M445" s="7">
        <f t="shared" si="105"/>
        <v>0</v>
      </c>
      <c r="N445" s="35">
        <f t="shared" si="96"/>
        <v>60837.2</v>
      </c>
      <c r="O445" s="7">
        <f t="shared" si="105"/>
        <v>0</v>
      </c>
      <c r="P445" s="35">
        <f t="shared" si="91"/>
        <v>60837.2</v>
      </c>
      <c r="Q445" s="7">
        <f t="shared" si="105"/>
        <v>330.6</v>
      </c>
      <c r="R445" s="35">
        <f t="shared" si="92"/>
        <v>61167.799999999996</v>
      </c>
      <c r="S445" s="7">
        <f t="shared" si="105"/>
        <v>216.9</v>
      </c>
      <c r="T445" s="35">
        <f t="shared" si="101"/>
        <v>61384.7</v>
      </c>
    </row>
    <row r="446" spans="1:20" ht="20.25" customHeight="1">
      <c r="A446" s="61" t="str">
        <f ca="1">IF(ISERROR(MATCH(E446,Код_КВР,0)),"",INDIRECT(ADDRESS(MATCH(E446,Код_КВР,0)+1,2,,,"КВР")))</f>
        <v>Субсидии бюджетным учреждениям</v>
      </c>
      <c r="B446" s="43" t="s">
        <v>521</v>
      </c>
      <c r="C446" s="8" t="s">
        <v>195</v>
      </c>
      <c r="D446" s="1" t="s">
        <v>214</v>
      </c>
      <c r="E446" s="104">
        <v>610</v>
      </c>
      <c r="F446" s="7">
        <f t="shared" si="105"/>
        <v>60888.1</v>
      </c>
      <c r="G446" s="7">
        <f t="shared" si="105"/>
        <v>0</v>
      </c>
      <c r="H446" s="35">
        <f t="shared" si="99"/>
        <v>60888.1</v>
      </c>
      <c r="I446" s="7">
        <f t="shared" si="105"/>
        <v>0</v>
      </c>
      <c r="J446" s="35">
        <f t="shared" si="97"/>
        <v>60888.1</v>
      </c>
      <c r="K446" s="7">
        <f t="shared" si="105"/>
        <v>-50.9</v>
      </c>
      <c r="L446" s="35">
        <f t="shared" si="95"/>
        <v>60837.2</v>
      </c>
      <c r="M446" s="7">
        <f t="shared" si="105"/>
        <v>0</v>
      </c>
      <c r="N446" s="35">
        <f t="shared" si="96"/>
        <v>60837.2</v>
      </c>
      <c r="O446" s="7">
        <f t="shared" si="105"/>
        <v>0</v>
      </c>
      <c r="P446" s="35">
        <f t="shared" si="91"/>
        <v>60837.2</v>
      </c>
      <c r="Q446" s="7">
        <f t="shared" si="105"/>
        <v>330.6</v>
      </c>
      <c r="R446" s="35">
        <f t="shared" si="92"/>
        <v>61167.799999999996</v>
      </c>
      <c r="S446" s="7">
        <f t="shared" si="105"/>
        <v>216.9</v>
      </c>
      <c r="T446" s="35">
        <f t="shared" si="101"/>
        <v>61384.7</v>
      </c>
    </row>
    <row r="447" spans="1:20" ht="51.75" customHeight="1">
      <c r="A447" s="61" t="str">
        <f ca="1">IF(ISERROR(MATCH(E447,Код_КВР,0)),"",INDIRECT(ADDRESS(MATCH(E447,Код_КВР,0)+1,2,,,"КВР")))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47" s="43" t="s">
        <v>521</v>
      </c>
      <c r="C447" s="8" t="s">
        <v>195</v>
      </c>
      <c r="D447" s="1" t="s">
        <v>214</v>
      </c>
      <c r="E447" s="104">
        <v>611</v>
      </c>
      <c r="F447" s="7">
        <f>прил.6!G929</f>
        <v>60888.1</v>
      </c>
      <c r="G447" s="7">
        <f>прил.6!H929</f>
        <v>0</v>
      </c>
      <c r="H447" s="35">
        <f t="shared" si="99"/>
        <v>60888.1</v>
      </c>
      <c r="I447" s="7">
        <f>прил.6!J929</f>
        <v>0</v>
      </c>
      <c r="J447" s="35">
        <f t="shared" si="97"/>
        <v>60888.1</v>
      </c>
      <c r="K447" s="7">
        <f>прил.6!L929</f>
        <v>-50.9</v>
      </c>
      <c r="L447" s="35">
        <f t="shared" si="95"/>
        <v>60837.2</v>
      </c>
      <c r="M447" s="7">
        <f>прил.6!N929</f>
        <v>0</v>
      </c>
      <c r="N447" s="35">
        <f t="shared" si="96"/>
        <v>60837.2</v>
      </c>
      <c r="O447" s="7">
        <f>прил.6!P929</f>
        <v>0</v>
      </c>
      <c r="P447" s="35">
        <f t="shared" si="91"/>
        <v>60837.2</v>
      </c>
      <c r="Q447" s="7">
        <f>прил.6!R929</f>
        <v>330.6</v>
      </c>
      <c r="R447" s="35">
        <f t="shared" si="92"/>
        <v>61167.799999999996</v>
      </c>
      <c r="S447" s="7">
        <f>прил.6!T929</f>
        <v>216.9</v>
      </c>
      <c r="T447" s="35">
        <f t="shared" si="101"/>
        <v>61384.7</v>
      </c>
    </row>
    <row r="448" spans="1:20" ht="54" customHeight="1">
      <c r="A448" s="61" t="str">
        <f ca="1">IF(ISERROR(MATCH(B448,Код_КЦСР,0)),"",INDIRECT(ADDRESS(MATCH(B448,Код_КЦСР,0)+1,2,,,"КЦСР")))</f>
        <v>Реализация мероприятий федеральной целевой программы «Культура России» (2012-2018 годы) за счет субсидий из федерального бюджета</v>
      </c>
      <c r="B448" s="43" t="s">
        <v>644</v>
      </c>
      <c r="C448" s="8"/>
      <c r="D448" s="1"/>
      <c r="E448" s="112"/>
      <c r="F448" s="7"/>
      <c r="G448" s="7"/>
      <c r="H448" s="35"/>
      <c r="I448" s="7"/>
      <c r="J448" s="35"/>
      <c r="K448" s="7"/>
      <c r="L448" s="35"/>
      <c r="M448" s="7"/>
      <c r="N448" s="35"/>
      <c r="O448" s="7"/>
      <c r="P448" s="35"/>
      <c r="Q448" s="7">
        <f>Q449</f>
        <v>150</v>
      </c>
      <c r="R448" s="35">
        <f t="shared" si="92"/>
        <v>150</v>
      </c>
      <c r="S448" s="7">
        <f>S449</f>
        <v>0</v>
      </c>
      <c r="T448" s="35">
        <f t="shared" si="101"/>
        <v>150</v>
      </c>
    </row>
    <row r="449" spans="1:20">
      <c r="A449" s="61" t="str">
        <f ca="1">IF(ISERROR(MATCH(C449,Код_Раздел,0)),"",INDIRECT(ADDRESS(MATCH(C449,Код_Раздел,0)+1,2,,,"Раздел")))</f>
        <v>Образование</v>
      </c>
      <c r="B449" s="43" t="s">
        <v>644</v>
      </c>
      <c r="C449" s="8" t="s">
        <v>195</v>
      </c>
      <c r="D449" s="1"/>
      <c r="E449" s="112"/>
      <c r="F449" s="7"/>
      <c r="G449" s="7"/>
      <c r="H449" s="35"/>
      <c r="I449" s="7"/>
      <c r="J449" s="35"/>
      <c r="K449" s="7"/>
      <c r="L449" s="35"/>
      <c r="M449" s="7"/>
      <c r="N449" s="35"/>
      <c r="O449" s="7"/>
      <c r="P449" s="35"/>
      <c r="Q449" s="7">
        <f>Q450</f>
        <v>150</v>
      </c>
      <c r="R449" s="35">
        <f t="shared" si="92"/>
        <v>150</v>
      </c>
      <c r="S449" s="7">
        <f>S450</f>
        <v>0</v>
      </c>
      <c r="T449" s="35">
        <f t="shared" si="101"/>
        <v>150</v>
      </c>
    </row>
    <row r="450" spans="1:20">
      <c r="A450" s="12" t="s">
        <v>251</v>
      </c>
      <c r="B450" s="43" t="s">
        <v>644</v>
      </c>
      <c r="C450" s="8" t="s">
        <v>195</v>
      </c>
      <c r="D450" s="1" t="s">
        <v>219</v>
      </c>
      <c r="E450" s="112"/>
      <c r="F450" s="7"/>
      <c r="G450" s="7"/>
      <c r="H450" s="35"/>
      <c r="I450" s="7"/>
      <c r="J450" s="35"/>
      <c r="K450" s="7"/>
      <c r="L450" s="35"/>
      <c r="M450" s="7"/>
      <c r="N450" s="35"/>
      <c r="O450" s="7"/>
      <c r="P450" s="35"/>
      <c r="Q450" s="7">
        <f>Q451</f>
        <v>150</v>
      </c>
      <c r="R450" s="35">
        <f t="shared" si="92"/>
        <v>150</v>
      </c>
      <c r="S450" s="7">
        <f>S451</f>
        <v>0</v>
      </c>
      <c r="T450" s="35">
        <f t="shared" si="101"/>
        <v>150</v>
      </c>
    </row>
    <row r="451" spans="1:20" ht="33">
      <c r="A451" s="61" t="str">
        <f ca="1">IF(ISERROR(MATCH(E451,Код_КВР,0)),"",INDIRECT(ADDRESS(MATCH(E451,Код_КВР,0)+1,2,,,"КВР")))</f>
        <v>Предоставление субсидий бюджетным, автономным учреждениям и иным некоммерческим организациям</v>
      </c>
      <c r="B451" s="43" t="s">
        <v>644</v>
      </c>
      <c r="C451" s="8" t="s">
        <v>195</v>
      </c>
      <c r="D451" s="1" t="s">
        <v>219</v>
      </c>
      <c r="E451" s="112">
        <v>600</v>
      </c>
      <c r="F451" s="7"/>
      <c r="G451" s="7"/>
      <c r="H451" s="35"/>
      <c r="I451" s="7"/>
      <c r="J451" s="35"/>
      <c r="K451" s="7"/>
      <c r="L451" s="35"/>
      <c r="M451" s="7"/>
      <c r="N451" s="35"/>
      <c r="O451" s="7"/>
      <c r="P451" s="35"/>
      <c r="Q451" s="7">
        <f>Q452</f>
        <v>150</v>
      </c>
      <c r="R451" s="35">
        <f t="shared" si="92"/>
        <v>150</v>
      </c>
      <c r="S451" s="7">
        <f>S452</f>
        <v>0</v>
      </c>
      <c r="T451" s="35">
        <f t="shared" si="101"/>
        <v>150</v>
      </c>
    </row>
    <row r="452" spans="1:20">
      <c r="A452" s="61" t="str">
        <f ca="1">IF(ISERROR(MATCH(E452,Код_КВР,0)),"",INDIRECT(ADDRESS(MATCH(E452,Код_КВР,0)+1,2,,,"КВР")))</f>
        <v>Субсидии бюджетным учреждениям</v>
      </c>
      <c r="B452" s="43" t="s">
        <v>644</v>
      </c>
      <c r="C452" s="8" t="s">
        <v>195</v>
      </c>
      <c r="D452" s="1" t="s">
        <v>219</v>
      </c>
      <c r="E452" s="112">
        <v>610</v>
      </c>
      <c r="F452" s="7"/>
      <c r="G452" s="7"/>
      <c r="H452" s="35"/>
      <c r="I452" s="7"/>
      <c r="J452" s="35"/>
      <c r="K452" s="7"/>
      <c r="L452" s="35"/>
      <c r="M452" s="7"/>
      <c r="N452" s="35"/>
      <c r="O452" s="7"/>
      <c r="P452" s="35"/>
      <c r="Q452" s="7">
        <f>Q453</f>
        <v>150</v>
      </c>
      <c r="R452" s="35">
        <f t="shared" si="92"/>
        <v>150</v>
      </c>
      <c r="S452" s="7">
        <f>S453</f>
        <v>0</v>
      </c>
      <c r="T452" s="35">
        <f t="shared" si="101"/>
        <v>150</v>
      </c>
    </row>
    <row r="453" spans="1:20" ht="24" customHeight="1">
      <c r="A453" s="61" t="str">
        <f ca="1">IF(ISERROR(MATCH(E453,Код_КВР,0)),"",INDIRECT(ADDRESS(MATCH(E453,Код_КВР,0)+1,2,,,"КВР")))</f>
        <v>Субсидии бюджетным учреждениям на иные цели</v>
      </c>
      <c r="B453" s="43" t="s">
        <v>644</v>
      </c>
      <c r="C453" s="8" t="s">
        <v>195</v>
      </c>
      <c r="D453" s="1" t="s">
        <v>219</v>
      </c>
      <c r="E453" s="112">
        <v>612</v>
      </c>
      <c r="F453" s="7"/>
      <c r="G453" s="7"/>
      <c r="H453" s="35"/>
      <c r="I453" s="7"/>
      <c r="J453" s="35"/>
      <c r="K453" s="7"/>
      <c r="L453" s="35"/>
      <c r="M453" s="7"/>
      <c r="N453" s="35"/>
      <c r="O453" s="7"/>
      <c r="P453" s="35"/>
      <c r="Q453" s="7">
        <f>прил.6!R955</f>
        <v>150</v>
      </c>
      <c r="R453" s="35">
        <f t="shared" si="92"/>
        <v>150</v>
      </c>
      <c r="S453" s="7">
        <f>прил.6!T955</f>
        <v>0</v>
      </c>
      <c r="T453" s="35">
        <f t="shared" si="101"/>
        <v>150</v>
      </c>
    </row>
    <row r="454" spans="1:20" ht="33">
      <c r="A454" s="61" t="str">
        <f ca="1">IF(ISERROR(MATCH(B454,Код_КЦСР,0)),"",INDIRECT(ADDRESS(MATCH(B454,Код_КЦСР,0)+1,2,,,"КЦСР")))</f>
        <v>Работа по организации и ведению бухгалтерского (бюджетного) учета и отчетности</v>
      </c>
      <c r="B454" s="43" t="s">
        <v>522</v>
      </c>
      <c r="C454" s="8"/>
      <c r="D454" s="1"/>
      <c r="E454" s="104"/>
      <c r="F454" s="7">
        <f t="shared" ref="F454:S458" si="106">F455</f>
        <v>7747.3</v>
      </c>
      <c r="G454" s="7">
        <f t="shared" si="106"/>
        <v>0</v>
      </c>
      <c r="H454" s="35">
        <f t="shared" si="99"/>
        <v>7747.3</v>
      </c>
      <c r="I454" s="7">
        <f t="shared" si="106"/>
        <v>0</v>
      </c>
      <c r="J454" s="35">
        <f t="shared" si="97"/>
        <v>7747.3</v>
      </c>
      <c r="K454" s="7">
        <f t="shared" si="106"/>
        <v>-1.8</v>
      </c>
      <c r="L454" s="35">
        <f t="shared" si="95"/>
        <v>7745.5</v>
      </c>
      <c r="M454" s="7">
        <f t="shared" si="106"/>
        <v>0</v>
      </c>
      <c r="N454" s="35">
        <f t="shared" si="96"/>
        <v>7745.5</v>
      </c>
      <c r="O454" s="7">
        <f t="shared" si="106"/>
        <v>0</v>
      </c>
      <c r="P454" s="35">
        <f t="shared" si="91"/>
        <v>7745.5</v>
      </c>
      <c r="Q454" s="7">
        <f t="shared" si="106"/>
        <v>0</v>
      </c>
      <c r="R454" s="35">
        <f t="shared" si="92"/>
        <v>7745.5</v>
      </c>
      <c r="S454" s="7">
        <f t="shared" si="106"/>
        <v>-141.9</v>
      </c>
      <c r="T454" s="35">
        <f t="shared" si="101"/>
        <v>7603.6</v>
      </c>
    </row>
    <row r="455" spans="1:20">
      <c r="A455" s="61" t="str">
        <f ca="1">IF(ISERROR(MATCH(C455,Код_Раздел,0)),"",INDIRECT(ADDRESS(MATCH(C455,Код_Раздел,0)+1,2,,,"Раздел")))</f>
        <v>Культура, кинематография</v>
      </c>
      <c r="B455" s="43" t="s">
        <v>522</v>
      </c>
      <c r="C455" s="8" t="s">
        <v>222</v>
      </c>
      <c r="D455" s="1"/>
      <c r="E455" s="104"/>
      <c r="F455" s="7">
        <f t="shared" si="106"/>
        <v>7747.3</v>
      </c>
      <c r="G455" s="7">
        <f t="shared" si="106"/>
        <v>0</v>
      </c>
      <c r="H455" s="35">
        <f t="shared" si="99"/>
        <v>7747.3</v>
      </c>
      <c r="I455" s="7">
        <f t="shared" si="106"/>
        <v>0</v>
      </c>
      <c r="J455" s="35">
        <f t="shared" si="97"/>
        <v>7747.3</v>
      </c>
      <c r="K455" s="7">
        <f t="shared" si="106"/>
        <v>-1.8</v>
      </c>
      <c r="L455" s="35">
        <f t="shared" si="95"/>
        <v>7745.5</v>
      </c>
      <c r="M455" s="7">
        <f t="shared" si="106"/>
        <v>0</v>
      </c>
      <c r="N455" s="35">
        <f t="shared" si="96"/>
        <v>7745.5</v>
      </c>
      <c r="O455" s="7">
        <f t="shared" si="106"/>
        <v>0</v>
      </c>
      <c r="P455" s="35">
        <f t="shared" si="91"/>
        <v>7745.5</v>
      </c>
      <c r="Q455" s="7">
        <f t="shared" si="106"/>
        <v>0</v>
      </c>
      <c r="R455" s="35">
        <f t="shared" si="92"/>
        <v>7745.5</v>
      </c>
      <c r="S455" s="7">
        <f t="shared" si="106"/>
        <v>-141.9</v>
      </c>
      <c r="T455" s="35">
        <f t="shared" si="101"/>
        <v>7603.6</v>
      </c>
    </row>
    <row r="456" spans="1:20">
      <c r="A456" s="12" t="s">
        <v>163</v>
      </c>
      <c r="B456" s="43" t="s">
        <v>522</v>
      </c>
      <c r="C456" s="8" t="s">
        <v>222</v>
      </c>
      <c r="D456" s="1" t="s">
        <v>216</v>
      </c>
      <c r="E456" s="104"/>
      <c r="F456" s="7">
        <f t="shared" si="106"/>
        <v>7747.3</v>
      </c>
      <c r="G456" s="7">
        <f t="shared" si="106"/>
        <v>0</v>
      </c>
      <c r="H456" s="35">
        <f t="shared" si="99"/>
        <v>7747.3</v>
      </c>
      <c r="I456" s="7">
        <f t="shared" si="106"/>
        <v>0</v>
      </c>
      <c r="J456" s="35">
        <f t="shared" si="97"/>
        <v>7747.3</v>
      </c>
      <c r="K456" s="7">
        <f t="shared" si="106"/>
        <v>-1.8</v>
      </c>
      <c r="L456" s="35">
        <f t="shared" si="95"/>
        <v>7745.5</v>
      </c>
      <c r="M456" s="7">
        <f t="shared" si="106"/>
        <v>0</v>
      </c>
      <c r="N456" s="35">
        <f t="shared" si="96"/>
        <v>7745.5</v>
      </c>
      <c r="O456" s="7">
        <f t="shared" si="106"/>
        <v>0</v>
      </c>
      <c r="P456" s="35">
        <f t="shared" si="91"/>
        <v>7745.5</v>
      </c>
      <c r="Q456" s="7">
        <f t="shared" si="106"/>
        <v>0</v>
      </c>
      <c r="R456" s="35">
        <f t="shared" si="92"/>
        <v>7745.5</v>
      </c>
      <c r="S456" s="7">
        <f t="shared" si="106"/>
        <v>-141.9</v>
      </c>
      <c r="T456" s="35">
        <f t="shared" si="101"/>
        <v>7603.6</v>
      </c>
    </row>
    <row r="457" spans="1:20" ht="33">
      <c r="A457" s="61" t="str">
        <f ca="1">IF(ISERROR(MATCH(E457,Код_КВР,0)),"",INDIRECT(ADDRESS(MATCH(E457,Код_КВР,0)+1,2,,,"КВР")))</f>
        <v>Предоставление субсидий бюджетным, автономным учреждениям и иным некоммерческим организациям</v>
      </c>
      <c r="B457" s="43" t="s">
        <v>522</v>
      </c>
      <c r="C457" s="8" t="s">
        <v>222</v>
      </c>
      <c r="D457" s="1" t="s">
        <v>216</v>
      </c>
      <c r="E457" s="104">
        <v>600</v>
      </c>
      <c r="F457" s="7">
        <f t="shared" si="106"/>
        <v>7747.3</v>
      </c>
      <c r="G457" s="7">
        <f t="shared" si="106"/>
        <v>0</v>
      </c>
      <c r="H457" s="35">
        <f t="shared" si="99"/>
        <v>7747.3</v>
      </c>
      <c r="I457" s="7">
        <f t="shared" si="106"/>
        <v>0</v>
      </c>
      <c r="J457" s="35">
        <f t="shared" si="97"/>
        <v>7747.3</v>
      </c>
      <c r="K457" s="7">
        <f t="shared" si="106"/>
        <v>-1.8</v>
      </c>
      <c r="L457" s="35">
        <f t="shared" si="95"/>
        <v>7745.5</v>
      </c>
      <c r="M457" s="7">
        <f t="shared" si="106"/>
        <v>0</v>
      </c>
      <c r="N457" s="35">
        <f t="shared" si="96"/>
        <v>7745.5</v>
      </c>
      <c r="O457" s="7">
        <f t="shared" si="106"/>
        <v>0</v>
      </c>
      <c r="P457" s="35">
        <f t="shared" si="91"/>
        <v>7745.5</v>
      </c>
      <c r="Q457" s="7">
        <f t="shared" si="106"/>
        <v>0</v>
      </c>
      <c r="R457" s="35">
        <f t="shared" si="92"/>
        <v>7745.5</v>
      </c>
      <c r="S457" s="7">
        <f t="shared" si="106"/>
        <v>-141.9</v>
      </c>
      <c r="T457" s="35">
        <f t="shared" si="101"/>
        <v>7603.6</v>
      </c>
    </row>
    <row r="458" spans="1:20">
      <c r="A458" s="61" t="str">
        <f ca="1">IF(ISERROR(MATCH(E458,Код_КВР,0)),"",INDIRECT(ADDRESS(MATCH(E458,Код_КВР,0)+1,2,,,"КВР")))</f>
        <v>Субсидии бюджетным учреждениям</v>
      </c>
      <c r="B458" s="43" t="s">
        <v>522</v>
      </c>
      <c r="C458" s="8" t="s">
        <v>222</v>
      </c>
      <c r="D458" s="1" t="s">
        <v>216</v>
      </c>
      <c r="E458" s="104">
        <v>610</v>
      </c>
      <c r="F458" s="7">
        <f t="shared" si="106"/>
        <v>7747.3</v>
      </c>
      <c r="G458" s="7">
        <f t="shared" si="106"/>
        <v>0</v>
      </c>
      <c r="H458" s="35">
        <f t="shared" si="99"/>
        <v>7747.3</v>
      </c>
      <c r="I458" s="7">
        <f t="shared" si="106"/>
        <v>0</v>
      </c>
      <c r="J458" s="35">
        <f t="shared" si="97"/>
        <v>7747.3</v>
      </c>
      <c r="K458" s="7">
        <f t="shared" si="106"/>
        <v>-1.8</v>
      </c>
      <c r="L458" s="35">
        <f t="shared" si="95"/>
        <v>7745.5</v>
      </c>
      <c r="M458" s="7">
        <f t="shared" si="106"/>
        <v>0</v>
      </c>
      <c r="N458" s="35">
        <f t="shared" si="96"/>
        <v>7745.5</v>
      </c>
      <c r="O458" s="7">
        <f t="shared" si="106"/>
        <v>0</v>
      </c>
      <c r="P458" s="35">
        <f t="shared" si="91"/>
        <v>7745.5</v>
      </c>
      <c r="Q458" s="7">
        <f t="shared" si="106"/>
        <v>0</v>
      </c>
      <c r="R458" s="35">
        <f t="shared" si="92"/>
        <v>7745.5</v>
      </c>
      <c r="S458" s="7">
        <f t="shared" si="106"/>
        <v>-141.9</v>
      </c>
      <c r="T458" s="35">
        <f t="shared" si="101"/>
        <v>7603.6</v>
      </c>
    </row>
    <row r="459" spans="1:20" ht="55.5" customHeight="1">
      <c r="A459" s="61" t="str">
        <f ca="1">IF(ISERROR(MATCH(E459,Код_КВР,0)),"",INDIRECT(ADDRESS(MATCH(E459,Код_КВР,0)+1,2,,,"КВР")))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59" s="43" t="s">
        <v>522</v>
      </c>
      <c r="C459" s="8" t="s">
        <v>222</v>
      </c>
      <c r="D459" s="1" t="s">
        <v>216</v>
      </c>
      <c r="E459" s="104">
        <v>611</v>
      </c>
      <c r="F459" s="7">
        <f>прил.6!G1120</f>
        <v>7747.3</v>
      </c>
      <c r="G459" s="7">
        <f>прил.6!H1120</f>
        <v>0</v>
      </c>
      <c r="H459" s="35">
        <f t="shared" si="99"/>
        <v>7747.3</v>
      </c>
      <c r="I459" s="7">
        <f>прил.6!J1120</f>
        <v>0</v>
      </c>
      <c r="J459" s="35">
        <f t="shared" si="97"/>
        <v>7747.3</v>
      </c>
      <c r="K459" s="7">
        <f>прил.6!L1120</f>
        <v>-1.8</v>
      </c>
      <c r="L459" s="35">
        <f t="shared" si="95"/>
        <v>7745.5</v>
      </c>
      <c r="M459" s="7">
        <f>прил.6!N1120</f>
        <v>0</v>
      </c>
      <c r="N459" s="35">
        <f t="shared" si="96"/>
        <v>7745.5</v>
      </c>
      <c r="O459" s="7">
        <f>прил.6!P1120</f>
        <v>0</v>
      </c>
      <c r="P459" s="35">
        <f t="shared" si="91"/>
        <v>7745.5</v>
      </c>
      <c r="Q459" s="7">
        <f>прил.6!R1120</f>
        <v>0</v>
      </c>
      <c r="R459" s="35">
        <f t="shared" si="92"/>
        <v>7745.5</v>
      </c>
      <c r="S459" s="7">
        <f>прил.6!T1120</f>
        <v>-141.9</v>
      </c>
      <c r="T459" s="35">
        <f t="shared" si="101"/>
        <v>7603.6</v>
      </c>
    </row>
    <row r="460" spans="1:20" ht="49.5">
      <c r="A460" s="61" t="str">
        <f ca="1">IF(ISERROR(MATCH(B460,Код_КЦСР,0)),"",INDIRECT(ADDRESS(MATCH(B460,Код_КЦСР,0)+1,2,,,"КЦСР")))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460" s="43" t="s">
        <v>524</v>
      </c>
      <c r="C460" s="8"/>
      <c r="D460" s="1"/>
      <c r="E460" s="104"/>
      <c r="F460" s="7">
        <f>F461+F467+F475+F483+F489+F500</f>
        <v>332650.89999999997</v>
      </c>
      <c r="G460" s="7">
        <f>G461+G467+G475+G483+G489+G500</f>
        <v>0</v>
      </c>
      <c r="H460" s="35">
        <f t="shared" si="99"/>
        <v>332650.89999999997</v>
      </c>
      <c r="I460" s="7">
        <f>I461+I467+I475+I483+I489+I500</f>
        <v>0</v>
      </c>
      <c r="J460" s="35">
        <f t="shared" si="97"/>
        <v>332650.89999999997</v>
      </c>
      <c r="K460" s="7">
        <f>K461+K467+K475+K483+K489+K500</f>
        <v>-80.7</v>
      </c>
      <c r="L460" s="35">
        <f t="shared" si="95"/>
        <v>332570.19999999995</v>
      </c>
      <c r="M460" s="7">
        <f>M461+M467+M475+M483+M489+M500</f>
        <v>0</v>
      </c>
      <c r="N460" s="35">
        <f t="shared" si="96"/>
        <v>332570.19999999995</v>
      </c>
      <c r="O460" s="7">
        <f>O461+O467+O475+O483+O489+O500</f>
        <v>-3959.5</v>
      </c>
      <c r="P460" s="35">
        <f t="shared" si="91"/>
        <v>328610.69999999995</v>
      </c>
      <c r="Q460" s="7">
        <f>Q461+Q467+Q475+Q483+Q489+Q500</f>
        <v>-9775</v>
      </c>
      <c r="R460" s="35">
        <f t="shared" si="92"/>
        <v>318835.69999999995</v>
      </c>
      <c r="S460" s="7">
        <f>S461+S467+S475+S483+S489+S500</f>
        <v>0</v>
      </c>
      <c r="T460" s="35">
        <f t="shared" si="101"/>
        <v>318835.69999999995</v>
      </c>
    </row>
    <row r="461" spans="1:20">
      <c r="A461" s="61" t="str">
        <f ca="1">IF(ISERROR(MATCH(B461,Код_КЦСР,0)),"",INDIRECT(ADDRESS(MATCH(B461,Код_КЦСР,0)+1,2,,,"КЦСР")))</f>
        <v>Обеспечение доступа к спортивным объектам</v>
      </c>
      <c r="B461" s="43" t="s">
        <v>526</v>
      </c>
      <c r="C461" s="8"/>
      <c r="D461" s="1"/>
      <c r="E461" s="104"/>
      <c r="F461" s="7">
        <f t="shared" ref="F461:S465" si="107">F462</f>
        <v>176820.9</v>
      </c>
      <c r="G461" s="7">
        <f t="shared" si="107"/>
        <v>-10908.8</v>
      </c>
      <c r="H461" s="35">
        <f t="shared" si="99"/>
        <v>165912.1</v>
      </c>
      <c r="I461" s="7">
        <f t="shared" si="107"/>
        <v>0</v>
      </c>
      <c r="J461" s="35">
        <f t="shared" si="97"/>
        <v>165912.1</v>
      </c>
      <c r="K461" s="7">
        <f t="shared" si="107"/>
        <v>0</v>
      </c>
      <c r="L461" s="35">
        <f t="shared" si="95"/>
        <v>165912.1</v>
      </c>
      <c r="M461" s="7">
        <f t="shared" si="107"/>
        <v>0</v>
      </c>
      <c r="N461" s="35">
        <f t="shared" si="96"/>
        <v>165912.1</v>
      </c>
      <c r="O461" s="7">
        <f t="shared" si="107"/>
        <v>0</v>
      </c>
      <c r="P461" s="35">
        <f t="shared" si="91"/>
        <v>165912.1</v>
      </c>
      <c r="Q461" s="7">
        <f t="shared" si="107"/>
        <v>-29775</v>
      </c>
      <c r="R461" s="35">
        <f t="shared" si="92"/>
        <v>136137.1</v>
      </c>
      <c r="S461" s="7">
        <f t="shared" si="107"/>
        <v>0</v>
      </c>
      <c r="T461" s="35">
        <f t="shared" si="101"/>
        <v>136137.1</v>
      </c>
    </row>
    <row r="462" spans="1:20">
      <c r="A462" s="61" t="str">
        <f ca="1">IF(ISERROR(MATCH(C462,Код_Раздел,0)),"",INDIRECT(ADDRESS(MATCH(C462,Код_Раздел,0)+1,2,,,"Раздел")))</f>
        <v>Физическая культура и спорт</v>
      </c>
      <c r="B462" s="43" t="s">
        <v>526</v>
      </c>
      <c r="C462" s="8" t="s">
        <v>224</v>
      </c>
      <c r="D462" s="1"/>
      <c r="E462" s="104"/>
      <c r="F462" s="7">
        <f t="shared" si="107"/>
        <v>176820.9</v>
      </c>
      <c r="G462" s="7">
        <f t="shared" si="107"/>
        <v>-10908.8</v>
      </c>
      <c r="H462" s="35">
        <f t="shared" si="99"/>
        <v>165912.1</v>
      </c>
      <c r="I462" s="7">
        <f t="shared" si="107"/>
        <v>0</v>
      </c>
      <c r="J462" s="35">
        <f t="shared" si="97"/>
        <v>165912.1</v>
      </c>
      <c r="K462" s="7">
        <f t="shared" si="107"/>
        <v>0</v>
      </c>
      <c r="L462" s="35">
        <f t="shared" si="95"/>
        <v>165912.1</v>
      </c>
      <c r="M462" s="7">
        <f t="shared" si="107"/>
        <v>0</v>
      </c>
      <c r="N462" s="35">
        <f t="shared" si="96"/>
        <v>165912.1</v>
      </c>
      <c r="O462" s="7">
        <f t="shared" si="107"/>
        <v>0</v>
      </c>
      <c r="P462" s="35">
        <f t="shared" ref="P462:P525" si="108">N462+O462</f>
        <v>165912.1</v>
      </c>
      <c r="Q462" s="7">
        <f t="shared" si="107"/>
        <v>-29775</v>
      </c>
      <c r="R462" s="35">
        <f t="shared" ref="R462:R525" si="109">P462+Q462</f>
        <v>136137.1</v>
      </c>
      <c r="S462" s="7">
        <f t="shared" si="107"/>
        <v>0</v>
      </c>
      <c r="T462" s="35">
        <f t="shared" si="101"/>
        <v>136137.1</v>
      </c>
    </row>
    <row r="463" spans="1:20" ht="18.75" customHeight="1">
      <c r="A463" s="12" t="s">
        <v>186</v>
      </c>
      <c r="B463" s="43" t="s">
        <v>526</v>
      </c>
      <c r="C463" s="8" t="s">
        <v>224</v>
      </c>
      <c r="D463" s="1" t="s">
        <v>213</v>
      </c>
      <c r="E463" s="104"/>
      <c r="F463" s="7">
        <f t="shared" si="107"/>
        <v>176820.9</v>
      </c>
      <c r="G463" s="7">
        <f t="shared" si="107"/>
        <v>-10908.8</v>
      </c>
      <c r="H463" s="35">
        <f t="shared" si="99"/>
        <v>165912.1</v>
      </c>
      <c r="I463" s="7">
        <f t="shared" si="107"/>
        <v>0</v>
      </c>
      <c r="J463" s="35">
        <f t="shared" si="97"/>
        <v>165912.1</v>
      </c>
      <c r="K463" s="7">
        <f t="shared" si="107"/>
        <v>0</v>
      </c>
      <c r="L463" s="35">
        <f t="shared" si="95"/>
        <v>165912.1</v>
      </c>
      <c r="M463" s="7">
        <f t="shared" si="107"/>
        <v>0</v>
      </c>
      <c r="N463" s="35">
        <f t="shared" si="96"/>
        <v>165912.1</v>
      </c>
      <c r="O463" s="7">
        <f t="shared" si="107"/>
        <v>0</v>
      </c>
      <c r="P463" s="35">
        <f t="shared" si="108"/>
        <v>165912.1</v>
      </c>
      <c r="Q463" s="7">
        <f t="shared" si="107"/>
        <v>-29775</v>
      </c>
      <c r="R463" s="35">
        <f t="shared" si="109"/>
        <v>136137.1</v>
      </c>
      <c r="S463" s="7">
        <f t="shared" si="107"/>
        <v>0</v>
      </c>
      <c r="T463" s="35">
        <f t="shared" si="101"/>
        <v>136137.1</v>
      </c>
    </row>
    <row r="464" spans="1:20" ht="33">
      <c r="A464" s="61" t="str">
        <f ca="1">IF(ISERROR(MATCH(E464,Код_КВР,0)),"",INDIRECT(ADDRESS(MATCH(E464,Код_КВР,0)+1,2,,,"КВР")))</f>
        <v>Предоставление субсидий бюджетным, автономным учреждениям и иным некоммерческим организациям</v>
      </c>
      <c r="B464" s="43" t="s">
        <v>526</v>
      </c>
      <c r="C464" s="8" t="s">
        <v>224</v>
      </c>
      <c r="D464" s="1" t="s">
        <v>213</v>
      </c>
      <c r="E464" s="104">
        <v>600</v>
      </c>
      <c r="F464" s="7">
        <f t="shared" si="107"/>
        <v>176820.9</v>
      </c>
      <c r="G464" s="7">
        <f t="shared" si="107"/>
        <v>-10908.8</v>
      </c>
      <c r="H464" s="35">
        <f t="shared" si="99"/>
        <v>165912.1</v>
      </c>
      <c r="I464" s="7">
        <f t="shared" si="107"/>
        <v>0</v>
      </c>
      <c r="J464" s="35">
        <f t="shared" si="97"/>
        <v>165912.1</v>
      </c>
      <c r="K464" s="7">
        <f t="shared" si="107"/>
        <v>0</v>
      </c>
      <c r="L464" s="35">
        <f t="shared" si="95"/>
        <v>165912.1</v>
      </c>
      <c r="M464" s="7">
        <f t="shared" si="107"/>
        <v>0</v>
      </c>
      <c r="N464" s="35">
        <f t="shared" si="96"/>
        <v>165912.1</v>
      </c>
      <c r="O464" s="7">
        <f t="shared" si="107"/>
        <v>0</v>
      </c>
      <c r="P464" s="35">
        <f t="shared" si="108"/>
        <v>165912.1</v>
      </c>
      <c r="Q464" s="7">
        <f t="shared" si="107"/>
        <v>-29775</v>
      </c>
      <c r="R464" s="35">
        <f t="shared" si="109"/>
        <v>136137.1</v>
      </c>
      <c r="S464" s="7">
        <f t="shared" si="107"/>
        <v>0</v>
      </c>
      <c r="T464" s="35">
        <f t="shared" si="101"/>
        <v>136137.1</v>
      </c>
    </row>
    <row r="465" spans="1:20">
      <c r="A465" s="61" t="str">
        <f ca="1">IF(ISERROR(MATCH(E465,Код_КВР,0)),"",INDIRECT(ADDRESS(MATCH(E465,Код_КВР,0)+1,2,,,"КВР")))</f>
        <v>Субсидии автономным учреждениям</v>
      </c>
      <c r="B465" s="43" t="s">
        <v>526</v>
      </c>
      <c r="C465" s="8" t="s">
        <v>224</v>
      </c>
      <c r="D465" s="1" t="s">
        <v>213</v>
      </c>
      <c r="E465" s="104">
        <v>620</v>
      </c>
      <c r="F465" s="7">
        <f t="shared" si="107"/>
        <v>176820.9</v>
      </c>
      <c r="G465" s="7">
        <f t="shared" si="107"/>
        <v>-10908.8</v>
      </c>
      <c r="H465" s="35">
        <f t="shared" si="99"/>
        <v>165912.1</v>
      </c>
      <c r="I465" s="7">
        <f t="shared" si="107"/>
        <v>0</v>
      </c>
      <c r="J465" s="35">
        <f t="shared" si="97"/>
        <v>165912.1</v>
      </c>
      <c r="K465" s="7">
        <f t="shared" si="107"/>
        <v>0</v>
      </c>
      <c r="L465" s="35">
        <f t="shared" si="95"/>
        <v>165912.1</v>
      </c>
      <c r="M465" s="7">
        <f t="shared" si="107"/>
        <v>0</v>
      </c>
      <c r="N465" s="35">
        <f t="shared" si="96"/>
        <v>165912.1</v>
      </c>
      <c r="O465" s="7">
        <f t="shared" si="107"/>
        <v>0</v>
      </c>
      <c r="P465" s="35">
        <f t="shared" si="108"/>
        <v>165912.1</v>
      </c>
      <c r="Q465" s="7">
        <f t="shared" si="107"/>
        <v>-29775</v>
      </c>
      <c r="R465" s="35">
        <f t="shared" si="109"/>
        <v>136137.1</v>
      </c>
      <c r="S465" s="7">
        <f t="shared" si="107"/>
        <v>0</v>
      </c>
      <c r="T465" s="35">
        <f t="shared" si="101"/>
        <v>136137.1</v>
      </c>
    </row>
    <row r="466" spans="1:20" ht="49.5">
      <c r="A466" s="61" t="str">
        <f ca="1">IF(ISERROR(MATCH(E466,Код_КВР,0)),"",INDIRECT(ADDRESS(MATCH(E466,Код_КВР,0)+1,2,,,"КВР")))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66" s="43" t="s">
        <v>526</v>
      </c>
      <c r="C466" s="8" t="s">
        <v>224</v>
      </c>
      <c r="D466" s="1" t="s">
        <v>213</v>
      </c>
      <c r="E466" s="104">
        <v>621</v>
      </c>
      <c r="F466" s="7">
        <f>прил.6!G1236</f>
        <v>176820.9</v>
      </c>
      <c r="G466" s="7">
        <f>прил.6!H1236</f>
        <v>-10908.8</v>
      </c>
      <c r="H466" s="35">
        <f t="shared" si="99"/>
        <v>165912.1</v>
      </c>
      <c r="I466" s="7">
        <f>прил.6!J1236</f>
        <v>0</v>
      </c>
      <c r="J466" s="35">
        <f t="shared" si="97"/>
        <v>165912.1</v>
      </c>
      <c r="K466" s="7">
        <f>прил.6!L1236</f>
        <v>0</v>
      </c>
      <c r="L466" s="35">
        <f t="shared" si="95"/>
        <v>165912.1</v>
      </c>
      <c r="M466" s="7">
        <f>прил.6!N1236</f>
        <v>0</v>
      </c>
      <c r="N466" s="35">
        <f t="shared" si="96"/>
        <v>165912.1</v>
      </c>
      <c r="O466" s="7">
        <f>прил.6!P1236</f>
        <v>0</v>
      </c>
      <c r="P466" s="35">
        <f t="shared" si="108"/>
        <v>165912.1</v>
      </c>
      <c r="Q466" s="7">
        <f>прил.6!R1236</f>
        <v>-29775</v>
      </c>
      <c r="R466" s="35">
        <f t="shared" si="109"/>
        <v>136137.1</v>
      </c>
      <c r="S466" s="7">
        <f>прил.6!T1236</f>
        <v>0</v>
      </c>
      <c r="T466" s="35">
        <f t="shared" si="101"/>
        <v>136137.1</v>
      </c>
    </row>
    <row r="467" spans="1:20" ht="49.5">
      <c r="A467" s="61" t="str">
        <f ca="1">IF(ISERROR(MATCH(B467,Код_КЦСР,0)),"",INDIRECT(ADDRESS(MATCH(B467,Код_КЦСР,0)+1,2,,,"КЦСР")))</f>
        <v>Обеспечение участия в физкультурных мероприятиях и спортивных мероприятиях различного уровня (регионального, всероссийского и международного)</v>
      </c>
      <c r="B467" s="43" t="s">
        <v>528</v>
      </c>
      <c r="C467" s="8"/>
      <c r="D467" s="1"/>
      <c r="E467" s="104"/>
      <c r="F467" s="7">
        <f t="shared" ref="F467:S469" si="110">F468</f>
        <v>18569.3</v>
      </c>
      <c r="G467" s="7">
        <f t="shared" si="110"/>
        <v>0</v>
      </c>
      <c r="H467" s="35">
        <f t="shared" si="99"/>
        <v>18569.3</v>
      </c>
      <c r="I467" s="7">
        <f t="shared" si="110"/>
        <v>0</v>
      </c>
      <c r="J467" s="35">
        <f t="shared" si="97"/>
        <v>18569.3</v>
      </c>
      <c r="K467" s="7">
        <f t="shared" si="110"/>
        <v>0</v>
      </c>
      <c r="L467" s="35">
        <f t="shared" si="95"/>
        <v>18569.3</v>
      </c>
      <c r="M467" s="7">
        <f t="shared" si="110"/>
        <v>0</v>
      </c>
      <c r="N467" s="35">
        <f t="shared" si="96"/>
        <v>18569.3</v>
      </c>
      <c r="O467" s="7">
        <f t="shared" si="110"/>
        <v>-3162</v>
      </c>
      <c r="P467" s="35">
        <f t="shared" si="108"/>
        <v>15407.3</v>
      </c>
      <c r="Q467" s="7">
        <f t="shared" si="110"/>
        <v>150</v>
      </c>
      <c r="R467" s="35">
        <f t="shared" si="109"/>
        <v>15557.3</v>
      </c>
      <c r="S467" s="7">
        <f t="shared" si="110"/>
        <v>0</v>
      </c>
      <c r="T467" s="35">
        <f t="shared" si="101"/>
        <v>15557.3</v>
      </c>
    </row>
    <row r="468" spans="1:20">
      <c r="A468" s="61" t="str">
        <f ca="1">IF(ISERROR(MATCH(C468,Код_Раздел,0)),"",INDIRECT(ADDRESS(MATCH(C468,Код_Раздел,0)+1,2,,,"Раздел")))</f>
        <v>Физическая культура и спорт</v>
      </c>
      <c r="B468" s="43" t="s">
        <v>528</v>
      </c>
      <c r="C468" s="8" t="s">
        <v>224</v>
      </c>
      <c r="D468" s="1"/>
      <c r="E468" s="104"/>
      <c r="F468" s="7">
        <f t="shared" si="110"/>
        <v>18569.3</v>
      </c>
      <c r="G468" s="7">
        <f t="shared" si="110"/>
        <v>0</v>
      </c>
      <c r="H468" s="35">
        <f t="shared" si="99"/>
        <v>18569.3</v>
      </c>
      <c r="I468" s="7">
        <f t="shared" si="110"/>
        <v>0</v>
      </c>
      <c r="J468" s="35">
        <f t="shared" si="97"/>
        <v>18569.3</v>
      </c>
      <c r="K468" s="7">
        <f t="shared" si="110"/>
        <v>0</v>
      </c>
      <c r="L468" s="35">
        <f t="shared" si="95"/>
        <v>18569.3</v>
      </c>
      <c r="M468" s="7">
        <f t="shared" si="110"/>
        <v>0</v>
      </c>
      <c r="N468" s="35">
        <f t="shared" si="96"/>
        <v>18569.3</v>
      </c>
      <c r="O468" s="7">
        <f t="shared" si="110"/>
        <v>-3162</v>
      </c>
      <c r="P468" s="35">
        <f t="shared" si="108"/>
        <v>15407.3</v>
      </c>
      <c r="Q468" s="7">
        <f t="shared" si="110"/>
        <v>150</v>
      </c>
      <c r="R468" s="35">
        <f t="shared" si="109"/>
        <v>15557.3</v>
      </c>
      <c r="S468" s="7">
        <f t="shared" si="110"/>
        <v>0</v>
      </c>
      <c r="T468" s="35">
        <f t="shared" si="101"/>
        <v>15557.3</v>
      </c>
    </row>
    <row r="469" spans="1:20">
      <c r="A469" s="12" t="s">
        <v>186</v>
      </c>
      <c r="B469" s="43" t="s">
        <v>528</v>
      </c>
      <c r="C469" s="8" t="s">
        <v>224</v>
      </c>
      <c r="D469" s="1" t="s">
        <v>213</v>
      </c>
      <c r="E469" s="104"/>
      <c r="F469" s="7">
        <f t="shared" si="110"/>
        <v>18569.3</v>
      </c>
      <c r="G469" s="7">
        <f t="shared" si="110"/>
        <v>0</v>
      </c>
      <c r="H469" s="35">
        <f t="shared" si="99"/>
        <v>18569.3</v>
      </c>
      <c r="I469" s="7">
        <f t="shared" si="110"/>
        <v>0</v>
      </c>
      <c r="J469" s="35">
        <f t="shared" si="97"/>
        <v>18569.3</v>
      </c>
      <c r="K469" s="7">
        <f t="shared" si="110"/>
        <v>0</v>
      </c>
      <c r="L469" s="35">
        <f t="shared" si="95"/>
        <v>18569.3</v>
      </c>
      <c r="M469" s="7">
        <f t="shared" si="110"/>
        <v>0</v>
      </c>
      <c r="N469" s="35">
        <f t="shared" si="96"/>
        <v>18569.3</v>
      </c>
      <c r="O469" s="7">
        <f t="shared" si="110"/>
        <v>-3162</v>
      </c>
      <c r="P469" s="35">
        <f t="shared" si="108"/>
        <v>15407.3</v>
      </c>
      <c r="Q469" s="7">
        <f t="shared" si="110"/>
        <v>150</v>
      </c>
      <c r="R469" s="35">
        <f t="shared" si="109"/>
        <v>15557.3</v>
      </c>
      <c r="S469" s="7">
        <f t="shared" si="110"/>
        <v>0</v>
      </c>
      <c r="T469" s="35">
        <f t="shared" si="101"/>
        <v>15557.3</v>
      </c>
    </row>
    <row r="470" spans="1:20" ht="33">
      <c r="A470" s="61" t="str">
        <f ca="1">IF(ISERROR(MATCH(E470,Код_КВР,0)),"",INDIRECT(ADDRESS(MATCH(E470,Код_КВР,0)+1,2,,,"КВР")))</f>
        <v>Предоставление субсидий бюджетным, автономным учреждениям и иным некоммерческим организациям</v>
      </c>
      <c r="B470" s="43" t="s">
        <v>528</v>
      </c>
      <c r="C470" s="8" t="s">
        <v>224</v>
      </c>
      <c r="D470" s="1" t="s">
        <v>213</v>
      </c>
      <c r="E470" s="104">
        <v>600</v>
      </c>
      <c r="F470" s="7">
        <f>F471+F473</f>
        <v>18569.3</v>
      </c>
      <c r="G470" s="7">
        <f>G471+G473</f>
        <v>0</v>
      </c>
      <c r="H470" s="35">
        <f t="shared" si="99"/>
        <v>18569.3</v>
      </c>
      <c r="I470" s="7">
        <f>I471+I473</f>
        <v>0</v>
      </c>
      <c r="J470" s="35">
        <f t="shared" si="97"/>
        <v>18569.3</v>
      </c>
      <c r="K470" s="7">
        <f>K471+K473</f>
        <v>0</v>
      </c>
      <c r="L470" s="35">
        <f t="shared" ref="L470:L533" si="111">J470+K470</f>
        <v>18569.3</v>
      </c>
      <c r="M470" s="7">
        <f>M471+M473</f>
        <v>0</v>
      </c>
      <c r="N470" s="35">
        <f t="shared" ref="N470:N533" si="112">L470+M470</f>
        <v>18569.3</v>
      </c>
      <c r="O470" s="7">
        <f>O471+O473</f>
        <v>-3162</v>
      </c>
      <c r="P470" s="35">
        <f t="shared" si="108"/>
        <v>15407.3</v>
      </c>
      <c r="Q470" s="7">
        <f>Q471+Q473</f>
        <v>150</v>
      </c>
      <c r="R470" s="35">
        <f t="shared" si="109"/>
        <v>15557.3</v>
      </c>
      <c r="S470" s="7">
        <f>S471+S473</f>
        <v>0</v>
      </c>
      <c r="T470" s="35">
        <f t="shared" si="101"/>
        <v>15557.3</v>
      </c>
    </row>
    <row r="471" spans="1:20">
      <c r="A471" s="61" t="str">
        <f ca="1">IF(ISERROR(MATCH(E471,Код_КВР,0)),"",INDIRECT(ADDRESS(MATCH(E471,Код_КВР,0)+1,2,,,"КВР")))</f>
        <v>Субсидии бюджетным учреждениям</v>
      </c>
      <c r="B471" s="43" t="s">
        <v>528</v>
      </c>
      <c r="C471" s="8" t="s">
        <v>224</v>
      </c>
      <c r="D471" s="1" t="s">
        <v>213</v>
      </c>
      <c r="E471" s="104">
        <v>610</v>
      </c>
      <c r="F471" s="7">
        <f>F472</f>
        <v>15637.3</v>
      </c>
      <c r="G471" s="7">
        <f>G472</f>
        <v>0</v>
      </c>
      <c r="H471" s="35">
        <f t="shared" si="99"/>
        <v>15637.3</v>
      </c>
      <c r="I471" s="7">
        <f>I472</f>
        <v>0</v>
      </c>
      <c r="J471" s="35">
        <f t="shared" si="97"/>
        <v>15637.3</v>
      </c>
      <c r="K471" s="7">
        <f>K472</f>
        <v>0</v>
      </c>
      <c r="L471" s="35">
        <f t="shared" si="111"/>
        <v>15637.3</v>
      </c>
      <c r="M471" s="7">
        <f>M472</f>
        <v>0</v>
      </c>
      <c r="N471" s="35">
        <f t="shared" si="112"/>
        <v>15637.3</v>
      </c>
      <c r="O471" s="7">
        <f>O472</f>
        <v>-2986.3</v>
      </c>
      <c r="P471" s="35">
        <f t="shared" si="108"/>
        <v>12651</v>
      </c>
      <c r="Q471" s="7">
        <f>Q472</f>
        <v>-304.5</v>
      </c>
      <c r="R471" s="35">
        <f t="shared" si="109"/>
        <v>12346.5</v>
      </c>
      <c r="S471" s="7">
        <f>S472</f>
        <v>-509.7</v>
      </c>
      <c r="T471" s="35">
        <f t="shared" si="101"/>
        <v>11836.8</v>
      </c>
    </row>
    <row r="472" spans="1:20" ht="49.5">
      <c r="A472" s="61" t="str">
        <f ca="1">IF(ISERROR(MATCH(E472,Код_КВР,0)),"",INDIRECT(ADDRESS(MATCH(E472,Код_КВР,0)+1,2,,,"КВР")))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72" s="43" t="s">
        <v>528</v>
      </c>
      <c r="C472" s="8" t="s">
        <v>224</v>
      </c>
      <c r="D472" s="1" t="s">
        <v>213</v>
      </c>
      <c r="E472" s="104">
        <v>611</v>
      </c>
      <c r="F472" s="7">
        <f>прил.6!G1240</f>
        <v>15637.3</v>
      </c>
      <c r="G472" s="7">
        <f>прил.6!H1240</f>
        <v>0</v>
      </c>
      <c r="H472" s="35">
        <f t="shared" si="99"/>
        <v>15637.3</v>
      </c>
      <c r="I472" s="7">
        <f>прил.6!J1240</f>
        <v>0</v>
      </c>
      <c r="J472" s="35">
        <f t="shared" ref="J472:J536" si="113">H472+I472</f>
        <v>15637.3</v>
      </c>
      <c r="K472" s="7">
        <f>прил.6!L1240</f>
        <v>0</v>
      </c>
      <c r="L472" s="35">
        <f t="shared" si="111"/>
        <v>15637.3</v>
      </c>
      <c r="M472" s="7">
        <f>прил.6!N1240</f>
        <v>0</v>
      </c>
      <c r="N472" s="35">
        <f t="shared" si="112"/>
        <v>15637.3</v>
      </c>
      <c r="O472" s="7">
        <f>прил.6!P1240</f>
        <v>-2986.3</v>
      </c>
      <c r="P472" s="35">
        <f t="shared" si="108"/>
        <v>12651</v>
      </c>
      <c r="Q472" s="7">
        <f>прил.6!R1240</f>
        <v>-304.5</v>
      </c>
      <c r="R472" s="35">
        <f t="shared" si="109"/>
        <v>12346.5</v>
      </c>
      <c r="S472" s="7">
        <f>прил.6!T1240</f>
        <v>-509.7</v>
      </c>
      <c r="T472" s="35">
        <f t="shared" si="101"/>
        <v>11836.8</v>
      </c>
    </row>
    <row r="473" spans="1:20">
      <c r="A473" s="61" t="str">
        <f ca="1">IF(ISERROR(MATCH(E473,Код_КВР,0)),"",INDIRECT(ADDRESS(MATCH(E473,Код_КВР,0)+1,2,,,"КВР")))</f>
        <v>Субсидии автономным учреждениям</v>
      </c>
      <c r="B473" s="43" t="s">
        <v>528</v>
      </c>
      <c r="C473" s="8" t="s">
        <v>224</v>
      </c>
      <c r="D473" s="1" t="s">
        <v>213</v>
      </c>
      <c r="E473" s="104">
        <v>620</v>
      </c>
      <c r="F473" s="7">
        <f>F474</f>
        <v>2932</v>
      </c>
      <c r="G473" s="7">
        <f>G474</f>
        <v>0</v>
      </c>
      <c r="H473" s="35">
        <f t="shared" si="99"/>
        <v>2932</v>
      </c>
      <c r="I473" s="7">
        <f>I474</f>
        <v>0</v>
      </c>
      <c r="J473" s="35">
        <f t="shared" si="113"/>
        <v>2932</v>
      </c>
      <c r="K473" s="7">
        <f>K474</f>
        <v>0</v>
      </c>
      <c r="L473" s="35">
        <f t="shared" si="111"/>
        <v>2932</v>
      </c>
      <c r="M473" s="7">
        <f>M474</f>
        <v>0</v>
      </c>
      <c r="N473" s="35">
        <f t="shared" si="112"/>
        <v>2932</v>
      </c>
      <c r="O473" s="7">
        <f>O474</f>
        <v>-175.7</v>
      </c>
      <c r="P473" s="35">
        <f t="shared" si="108"/>
        <v>2756.3</v>
      </c>
      <c r="Q473" s="7">
        <f>Q474</f>
        <v>454.5</v>
      </c>
      <c r="R473" s="35">
        <f t="shared" si="109"/>
        <v>3210.8</v>
      </c>
      <c r="S473" s="7">
        <f>S474</f>
        <v>509.7</v>
      </c>
      <c r="T473" s="35">
        <f t="shared" si="101"/>
        <v>3720.5</v>
      </c>
    </row>
    <row r="474" spans="1:20" ht="49.5">
      <c r="A474" s="61" t="str">
        <f ca="1">IF(ISERROR(MATCH(E474,Код_КВР,0)),"",INDIRECT(ADDRESS(MATCH(E474,Код_КВР,0)+1,2,,,"КВР")))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74" s="43" t="s">
        <v>528</v>
      </c>
      <c r="C474" s="8" t="s">
        <v>224</v>
      </c>
      <c r="D474" s="1" t="s">
        <v>213</v>
      </c>
      <c r="E474" s="104">
        <v>621</v>
      </c>
      <c r="F474" s="7">
        <f>прил.6!G1242</f>
        <v>2932</v>
      </c>
      <c r="G474" s="7">
        <f>прил.6!H1242</f>
        <v>0</v>
      </c>
      <c r="H474" s="35">
        <f t="shared" si="99"/>
        <v>2932</v>
      </c>
      <c r="I474" s="7">
        <f>прил.6!J1242</f>
        <v>0</v>
      </c>
      <c r="J474" s="35">
        <f t="shared" si="113"/>
        <v>2932</v>
      </c>
      <c r="K474" s="7">
        <f>прил.6!L1242</f>
        <v>0</v>
      </c>
      <c r="L474" s="35">
        <f t="shared" si="111"/>
        <v>2932</v>
      </c>
      <c r="M474" s="7">
        <f>прил.6!N1242</f>
        <v>0</v>
      </c>
      <c r="N474" s="35">
        <f t="shared" si="112"/>
        <v>2932</v>
      </c>
      <c r="O474" s="7">
        <f>прил.6!P1242</f>
        <v>-175.7</v>
      </c>
      <c r="P474" s="35">
        <f t="shared" si="108"/>
        <v>2756.3</v>
      </c>
      <c r="Q474" s="7">
        <f>прил.6!R1242</f>
        <v>454.5</v>
      </c>
      <c r="R474" s="35">
        <f t="shared" si="109"/>
        <v>3210.8</v>
      </c>
      <c r="S474" s="7">
        <f>прил.6!T1242</f>
        <v>509.7</v>
      </c>
      <c r="T474" s="35">
        <f t="shared" si="101"/>
        <v>3720.5</v>
      </c>
    </row>
    <row r="475" spans="1:20">
      <c r="A475" s="61" t="str">
        <f ca="1">IF(ISERROR(MATCH(B475,Код_КЦСР,0)),"",INDIRECT(ADDRESS(MATCH(B475,Код_КЦСР,0)+1,2,,,"КЦСР")))</f>
        <v>Реализация  дополнительных общеобразовательных программ</v>
      </c>
      <c r="B475" s="43" t="s">
        <v>529</v>
      </c>
      <c r="C475" s="8"/>
      <c r="D475" s="1"/>
      <c r="E475" s="104"/>
      <c r="F475" s="7">
        <f t="shared" ref="F475:S477" si="114">F476</f>
        <v>115476.5</v>
      </c>
      <c r="G475" s="7">
        <f t="shared" si="114"/>
        <v>908.8</v>
      </c>
      <c r="H475" s="35">
        <f t="shared" si="99"/>
        <v>116385.3</v>
      </c>
      <c r="I475" s="7">
        <f t="shared" si="114"/>
        <v>0</v>
      </c>
      <c r="J475" s="35">
        <f t="shared" si="113"/>
        <v>116385.3</v>
      </c>
      <c r="K475" s="7">
        <f t="shared" si="114"/>
        <v>-80.7</v>
      </c>
      <c r="L475" s="35">
        <f t="shared" si="111"/>
        <v>116304.6</v>
      </c>
      <c r="M475" s="7">
        <f t="shared" si="114"/>
        <v>0</v>
      </c>
      <c r="N475" s="35">
        <f t="shared" si="112"/>
        <v>116304.6</v>
      </c>
      <c r="O475" s="7">
        <f t="shared" si="114"/>
        <v>0</v>
      </c>
      <c r="P475" s="35">
        <f t="shared" si="108"/>
        <v>116304.6</v>
      </c>
      <c r="Q475" s="7">
        <f t="shared" si="114"/>
        <v>0</v>
      </c>
      <c r="R475" s="35">
        <f t="shared" si="109"/>
        <v>116304.6</v>
      </c>
      <c r="S475" s="7">
        <f t="shared" si="114"/>
        <v>0</v>
      </c>
      <c r="T475" s="35">
        <f t="shared" si="101"/>
        <v>116304.6</v>
      </c>
    </row>
    <row r="476" spans="1:20">
      <c r="A476" s="61" t="str">
        <f ca="1">IF(ISERROR(MATCH(C476,Код_Раздел,0)),"",INDIRECT(ADDRESS(MATCH(C476,Код_Раздел,0)+1,2,,,"Раздел")))</f>
        <v>Образование</v>
      </c>
      <c r="B476" s="43" t="s">
        <v>529</v>
      </c>
      <c r="C476" s="8" t="s">
        <v>195</v>
      </c>
      <c r="D476" s="1"/>
      <c r="E476" s="104"/>
      <c r="F476" s="7">
        <f t="shared" si="114"/>
        <v>115476.5</v>
      </c>
      <c r="G476" s="7">
        <f t="shared" si="114"/>
        <v>908.8</v>
      </c>
      <c r="H476" s="35">
        <f t="shared" si="99"/>
        <v>116385.3</v>
      </c>
      <c r="I476" s="7">
        <f t="shared" si="114"/>
        <v>0</v>
      </c>
      <c r="J476" s="35">
        <f t="shared" si="113"/>
        <v>116385.3</v>
      </c>
      <c r="K476" s="7">
        <f t="shared" si="114"/>
        <v>-80.7</v>
      </c>
      <c r="L476" s="35">
        <f t="shared" si="111"/>
        <v>116304.6</v>
      </c>
      <c r="M476" s="7">
        <f t="shared" si="114"/>
        <v>0</v>
      </c>
      <c r="N476" s="35">
        <f t="shared" si="112"/>
        <v>116304.6</v>
      </c>
      <c r="O476" s="7">
        <f t="shared" si="114"/>
        <v>0</v>
      </c>
      <c r="P476" s="35">
        <f t="shared" si="108"/>
        <v>116304.6</v>
      </c>
      <c r="Q476" s="7">
        <f t="shared" si="114"/>
        <v>0</v>
      </c>
      <c r="R476" s="35">
        <f t="shared" si="109"/>
        <v>116304.6</v>
      </c>
      <c r="S476" s="7">
        <f t="shared" si="114"/>
        <v>0</v>
      </c>
      <c r="T476" s="35">
        <f t="shared" ref="T476:T539" si="115">R476+S476</f>
        <v>116304.6</v>
      </c>
    </row>
    <row r="477" spans="1:20">
      <c r="A477" s="12" t="s">
        <v>250</v>
      </c>
      <c r="B477" s="43" t="s">
        <v>529</v>
      </c>
      <c r="C477" s="8" t="s">
        <v>195</v>
      </c>
      <c r="D477" s="1" t="s">
        <v>214</v>
      </c>
      <c r="E477" s="104"/>
      <c r="F477" s="7">
        <f t="shared" si="114"/>
        <v>115476.5</v>
      </c>
      <c r="G477" s="7">
        <f t="shared" si="114"/>
        <v>908.8</v>
      </c>
      <c r="H477" s="35">
        <f t="shared" si="99"/>
        <v>116385.3</v>
      </c>
      <c r="I477" s="7">
        <f t="shared" si="114"/>
        <v>0</v>
      </c>
      <c r="J477" s="35">
        <f t="shared" si="113"/>
        <v>116385.3</v>
      </c>
      <c r="K477" s="7">
        <f t="shared" si="114"/>
        <v>-80.7</v>
      </c>
      <c r="L477" s="35">
        <f t="shared" si="111"/>
        <v>116304.6</v>
      </c>
      <c r="M477" s="7">
        <f t="shared" si="114"/>
        <v>0</v>
      </c>
      <c r="N477" s="35">
        <f t="shared" si="112"/>
        <v>116304.6</v>
      </c>
      <c r="O477" s="7">
        <f t="shared" si="114"/>
        <v>0</v>
      </c>
      <c r="P477" s="35">
        <f t="shared" si="108"/>
        <v>116304.6</v>
      </c>
      <c r="Q477" s="7">
        <f t="shared" si="114"/>
        <v>0</v>
      </c>
      <c r="R477" s="35">
        <f t="shared" si="109"/>
        <v>116304.6</v>
      </c>
      <c r="S477" s="7">
        <f t="shared" si="114"/>
        <v>0</v>
      </c>
      <c r="T477" s="35">
        <f t="shared" si="115"/>
        <v>116304.6</v>
      </c>
    </row>
    <row r="478" spans="1:20" ht="33">
      <c r="A478" s="61" t="str">
        <f ca="1">IF(ISERROR(MATCH(E478,Код_КВР,0)),"",INDIRECT(ADDRESS(MATCH(E478,Код_КВР,0)+1,2,,,"КВР")))</f>
        <v>Предоставление субсидий бюджетным, автономным учреждениям и иным некоммерческим организациям</v>
      </c>
      <c r="B478" s="43" t="s">
        <v>529</v>
      </c>
      <c r="C478" s="8" t="s">
        <v>195</v>
      </c>
      <c r="D478" s="1" t="s">
        <v>214</v>
      </c>
      <c r="E478" s="104">
        <v>600</v>
      </c>
      <c r="F478" s="7">
        <f>F479+F481</f>
        <v>115476.5</v>
      </c>
      <c r="G478" s="7">
        <f>G479+G481</f>
        <v>908.8</v>
      </c>
      <c r="H478" s="35">
        <f t="shared" si="99"/>
        <v>116385.3</v>
      </c>
      <c r="I478" s="7">
        <f>I479+I481</f>
        <v>0</v>
      </c>
      <c r="J478" s="35">
        <f t="shared" si="113"/>
        <v>116385.3</v>
      </c>
      <c r="K478" s="7">
        <f>K479+K481</f>
        <v>-80.7</v>
      </c>
      <c r="L478" s="35">
        <f t="shared" si="111"/>
        <v>116304.6</v>
      </c>
      <c r="M478" s="7">
        <f>M479+M481</f>
        <v>0</v>
      </c>
      <c r="N478" s="35">
        <f t="shared" si="112"/>
        <v>116304.6</v>
      </c>
      <c r="O478" s="7">
        <f>O479+O481</f>
        <v>0</v>
      </c>
      <c r="P478" s="35">
        <f t="shared" si="108"/>
        <v>116304.6</v>
      </c>
      <c r="Q478" s="7">
        <f>Q479+Q481</f>
        <v>0</v>
      </c>
      <c r="R478" s="35">
        <f t="shared" si="109"/>
        <v>116304.6</v>
      </c>
      <c r="S478" s="7">
        <f>S479+S481</f>
        <v>0</v>
      </c>
      <c r="T478" s="35">
        <f t="shared" si="115"/>
        <v>116304.6</v>
      </c>
    </row>
    <row r="479" spans="1:20">
      <c r="A479" s="61" t="str">
        <f ca="1">IF(ISERROR(MATCH(E479,Код_КВР,0)),"",INDIRECT(ADDRESS(MATCH(E479,Код_КВР,0)+1,2,,,"КВР")))</f>
        <v>Субсидии бюджетным учреждениям</v>
      </c>
      <c r="B479" s="43" t="s">
        <v>529</v>
      </c>
      <c r="C479" s="8" t="s">
        <v>195</v>
      </c>
      <c r="D479" s="1" t="s">
        <v>214</v>
      </c>
      <c r="E479" s="104">
        <v>610</v>
      </c>
      <c r="F479" s="7">
        <f>F480</f>
        <v>98039.6</v>
      </c>
      <c r="G479" s="7">
        <f>G480</f>
        <v>908.8</v>
      </c>
      <c r="H479" s="35">
        <f t="shared" si="99"/>
        <v>98948.400000000009</v>
      </c>
      <c r="I479" s="7">
        <f>I480</f>
        <v>0</v>
      </c>
      <c r="J479" s="35">
        <f t="shared" si="113"/>
        <v>98948.400000000009</v>
      </c>
      <c r="K479" s="7">
        <f>K480</f>
        <v>-73.2</v>
      </c>
      <c r="L479" s="35">
        <f t="shared" si="111"/>
        <v>98875.200000000012</v>
      </c>
      <c r="M479" s="7">
        <f>M480</f>
        <v>0</v>
      </c>
      <c r="N479" s="35">
        <f t="shared" si="112"/>
        <v>98875.200000000012</v>
      </c>
      <c r="O479" s="7">
        <f>O480</f>
        <v>0</v>
      </c>
      <c r="P479" s="35">
        <f t="shared" si="108"/>
        <v>98875.200000000012</v>
      </c>
      <c r="Q479" s="7">
        <f>Q480</f>
        <v>-854.3</v>
      </c>
      <c r="R479" s="35">
        <f t="shared" si="109"/>
        <v>98020.900000000009</v>
      </c>
      <c r="S479" s="7">
        <f>S480</f>
        <v>-5561.5</v>
      </c>
      <c r="T479" s="35">
        <f t="shared" si="115"/>
        <v>92459.400000000009</v>
      </c>
    </row>
    <row r="480" spans="1:20" ht="49.5">
      <c r="A480" s="61" t="str">
        <f ca="1">IF(ISERROR(MATCH(E480,Код_КВР,0)),"",INDIRECT(ADDRESS(MATCH(E480,Код_КВР,0)+1,2,,,"КВР")))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80" s="43" t="s">
        <v>529</v>
      </c>
      <c r="C480" s="8" t="s">
        <v>195</v>
      </c>
      <c r="D480" s="1" t="s">
        <v>214</v>
      </c>
      <c r="E480" s="104">
        <v>611</v>
      </c>
      <c r="F480" s="7">
        <f>прил.6!G1201</f>
        <v>98039.6</v>
      </c>
      <c r="G480" s="7">
        <f>прил.6!H1201</f>
        <v>908.8</v>
      </c>
      <c r="H480" s="35">
        <f t="shared" ref="H480:H544" si="116">F480+G480</f>
        <v>98948.400000000009</v>
      </c>
      <c r="I480" s="7">
        <f>прил.6!J1201</f>
        <v>0</v>
      </c>
      <c r="J480" s="35">
        <f t="shared" si="113"/>
        <v>98948.400000000009</v>
      </c>
      <c r="K480" s="7">
        <f>прил.6!L1201</f>
        <v>-73.2</v>
      </c>
      <c r="L480" s="35">
        <f t="shared" si="111"/>
        <v>98875.200000000012</v>
      </c>
      <c r="M480" s="7">
        <f>прил.6!N1201</f>
        <v>0</v>
      </c>
      <c r="N480" s="35">
        <f t="shared" si="112"/>
        <v>98875.200000000012</v>
      </c>
      <c r="O480" s="7">
        <f>прил.6!P1201</f>
        <v>0</v>
      </c>
      <c r="P480" s="35">
        <f t="shared" si="108"/>
        <v>98875.200000000012</v>
      </c>
      <c r="Q480" s="7">
        <f>прил.6!R1201</f>
        <v>-854.3</v>
      </c>
      <c r="R480" s="35">
        <f t="shared" si="109"/>
        <v>98020.900000000009</v>
      </c>
      <c r="S480" s="7">
        <f>прил.6!T1201</f>
        <v>-5561.5</v>
      </c>
      <c r="T480" s="35">
        <f t="shared" si="115"/>
        <v>92459.400000000009</v>
      </c>
    </row>
    <row r="481" spans="1:20">
      <c r="A481" s="61" t="str">
        <f ca="1">IF(ISERROR(MATCH(E481,Код_КВР,0)),"",INDIRECT(ADDRESS(MATCH(E481,Код_КВР,0)+1,2,,,"КВР")))</f>
        <v>Субсидии автономным учреждениям</v>
      </c>
      <c r="B481" s="43" t="s">
        <v>529</v>
      </c>
      <c r="C481" s="8" t="s">
        <v>195</v>
      </c>
      <c r="D481" s="1" t="s">
        <v>214</v>
      </c>
      <c r="E481" s="104">
        <v>620</v>
      </c>
      <c r="F481" s="7">
        <f>F482</f>
        <v>17436.900000000001</v>
      </c>
      <c r="G481" s="7">
        <f>G482</f>
        <v>0</v>
      </c>
      <c r="H481" s="35">
        <f t="shared" si="116"/>
        <v>17436.900000000001</v>
      </c>
      <c r="I481" s="7">
        <f>I482</f>
        <v>0</v>
      </c>
      <c r="J481" s="35">
        <f t="shared" si="113"/>
        <v>17436.900000000001</v>
      </c>
      <c r="K481" s="7">
        <f>K482</f>
        <v>-7.5</v>
      </c>
      <c r="L481" s="35">
        <f t="shared" si="111"/>
        <v>17429.400000000001</v>
      </c>
      <c r="M481" s="7">
        <f>M482</f>
        <v>0</v>
      </c>
      <c r="N481" s="35">
        <f t="shared" si="112"/>
        <v>17429.400000000001</v>
      </c>
      <c r="O481" s="7">
        <f>O482</f>
        <v>0</v>
      </c>
      <c r="P481" s="35">
        <f t="shared" si="108"/>
        <v>17429.400000000001</v>
      </c>
      <c r="Q481" s="7">
        <f>Q482</f>
        <v>854.3</v>
      </c>
      <c r="R481" s="35">
        <f t="shared" si="109"/>
        <v>18283.7</v>
      </c>
      <c r="S481" s="7">
        <f>S482</f>
        <v>5561.5</v>
      </c>
      <c r="T481" s="35">
        <f t="shared" si="115"/>
        <v>23845.200000000001</v>
      </c>
    </row>
    <row r="482" spans="1:20" ht="49.5">
      <c r="A482" s="61" t="str">
        <f ca="1">IF(ISERROR(MATCH(E482,Код_КВР,0)),"",INDIRECT(ADDRESS(MATCH(E482,Код_КВР,0)+1,2,,,"КВР")))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82" s="43" t="s">
        <v>529</v>
      </c>
      <c r="C482" s="8" t="s">
        <v>195</v>
      </c>
      <c r="D482" s="1" t="s">
        <v>214</v>
      </c>
      <c r="E482" s="104">
        <v>621</v>
      </c>
      <c r="F482" s="7">
        <f>прил.6!G1203</f>
        <v>17436.900000000001</v>
      </c>
      <c r="G482" s="7">
        <f>прил.6!H1203</f>
        <v>0</v>
      </c>
      <c r="H482" s="35">
        <f t="shared" si="116"/>
        <v>17436.900000000001</v>
      </c>
      <c r="I482" s="7">
        <f>прил.6!J1203</f>
        <v>0</v>
      </c>
      <c r="J482" s="35">
        <f t="shared" si="113"/>
        <v>17436.900000000001</v>
      </c>
      <c r="K482" s="7">
        <f>прил.6!L1203</f>
        <v>-7.5</v>
      </c>
      <c r="L482" s="35">
        <f t="shared" si="111"/>
        <v>17429.400000000001</v>
      </c>
      <c r="M482" s="7">
        <f>прил.6!N1203</f>
        <v>0</v>
      </c>
      <c r="N482" s="35">
        <f t="shared" si="112"/>
        <v>17429.400000000001</v>
      </c>
      <c r="O482" s="7">
        <f>прил.6!P1203</f>
        <v>0</v>
      </c>
      <c r="P482" s="35">
        <f t="shared" si="108"/>
        <v>17429.400000000001</v>
      </c>
      <c r="Q482" s="7">
        <f>прил.6!R1203</f>
        <v>854.3</v>
      </c>
      <c r="R482" s="35">
        <f t="shared" si="109"/>
        <v>18283.7</v>
      </c>
      <c r="S482" s="7">
        <f>прил.6!T1203</f>
        <v>5561.5</v>
      </c>
      <c r="T482" s="35">
        <f t="shared" si="115"/>
        <v>23845.200000000001</v>
      </c>
    </row>
    <row r="483" spans="1:20" ht="33">
      <c r="A483" s="61" t="str">
        <f ca="1">IF(ISERROR(MATCH(B483,Код_КЦСР,0)),"",INDIRECT(ADDRESS(MATCH(B483,Код_КЦСР,0)+1,2,,,"КЦСР")))</f>
        <v>Организация и ведение бухгалтерского (бюджетного) учета и отчетности</v>
      </c>
      <c r="B483" s="43" t="s">
        <v>530</v>
      </c>
      <c r="C483" s="8"/>
      <c r="D483" s="1"/>
      <c r="E483" s="104"/>
      <c r="F483" s="7">
        <f t="shared" ref="F483:S487" si="117">F484</f>
        <v>3827.4</v>
      </c>
      <c r="G483" s="7">
        <f t="shared" si="117"/>
        <v>0</v>
      </c>
      <c r="H483" s="35">
        <f t="shared" si="116"/>
        <v>3827.4</v>
      </c>
      <c r="I483" s="7">
        <f t="shared" si="117"/>
        <v>0</v>
      </c>
      <c r="J483" s="35">
        <f t="shared" si="113"/>
        <v>3827.4</v>
      </c>
      <c r="K483" s="7">
        <f t="shared" si="117"/>
        <v>0</v>
      </c>
      <c r="L483" s="35">
        <f t="shared" si="111"/>
        <v>3827.4</v>
      </c>
      <c r="M483" s="7">
        <f t="shared" si="117"/>
        <v>0</v>
      </c>
      <c r="N483" s="35">
        <f t="shared" si="112"/>
        <v>3827.4</v>
      </c>
      <c r="O483" s="7">
        <f t="shared" si="117"/>
        <v>0</v>
      </c>
      <c r="P483" s="35">
        <f t="shared" si="108"/>
        <v>3827.4</v>
      </c>
      <c r="Q483" s="7">
        <f t="shared" si="117"/>
        <v>0</v>
      </c>
      <c r="R483" s="35">
        <f t="shared" si="109"/>
        <v>3827.4</v>
      </c>
      <c r="S483" s="7">
        <f t="shared" si="117"/>
        <v>0</v>
      </c>
      <c r="T483" s="35">
        <f t="shared" si="115"/>
        <v>3827.4</v>
      </c>
    </row>
    <row r="484" spans="1:20">
      <c r="A484" s="61" t="str">
        <f ca="1">IF(ISERROR(MATCH(C484,Код_Раздел,0)),"",INDIRECT(ADDRESS(MATCH(C484,Код_Раздел,0)+1,2,,,"Раздел")))</f>
        <v>Физическая культура и спорт</v>
      </c>
      <c r="B484" s="43" t="s">
        <v>530</v>
      </c>
      <c r="C484" s="8" t="s">
        <v>224</v>
      </c>
      <c r="D484" s="1"/>
      <c r="E484" s="104"/>
      <c r="F484" s="7">
        <f t="shared" si="117"/>
        <v>3827.4</v>
      </c>
      <c r="G484" s="7">
        <f t="shared" si="117"/>
        <v>0</v>
      </c>
      <c r="H484" s="35">
        <f t="shared" si="116"/>
        <v>3827.4</v>
      </c>
      <c r="I484" s="7">
        <f t="shared" si="117"/>
        <v>0</v>
      </c>
      <c r="J484" s="35">
        <f t="shared" si="113"/>
        <v>3827.4</v>
      </c>
      <c r="K484" s="7">
        <f t="shared" si="117"/>
        <v>0</v>
      </c>
      <c r="L484" s="35">
        <f t="shared" si="111"/>
        <v>3827.4</v>
      </c>
      <c r="M484" s="7">
        <f t="shared" si="117"/>
        <v>0</v>
      </c>
      <c r="N484" s="35">
        <f t="shared" si="112"/>
        <v>3827.4</v>
      </c>
      <c r="O484" s="7">
        <f t="shared" si="117"/>
        <v>0</v>
      </c>
      <c r="P484" s="35">
        <f t="shared" si="108"/>
        <v>3827.4</v>
      </c>
      <c r="Q484" s="7">
        <f t="shared" si="117"/>
        <v>0</v>
      </c>
      <c r="R484" s="35">
        <f t="shared" si="109"/>
        <v>3827.4</v>
      </c>
      <c r="S484" s="7">
        <f t="shared" si="117"/>
        <v>0</v>
      </c>
      <c r="T484" s="35">
        <f t="shared" si="115"/>
        <v>3827.4</v>
      </c>
    </row>
    <row r="485" spans="1:20">
      <c r="A485" s="12" t="s">
        <v>192</v>
      </c>
      <c r="B485" s="43" t="s">
        <v>530</v>
      </c>
      <c r="C485" s="8" t="s">
        <v>224</v>
      </c>
      <c r="D485" s="1" t="s">
        <v>221</v>
      </c>
      <c r="E485" s="104"/>
      <c r="F485" s="7">
        <f t="shared" si="117"/>
        <v>3827.4</v>
      </c>
      <c r="G485" s="7">
        <f t="shared" si="117"/>
        <v>0</v>
      </c>
      <c r="H485" s="35">
        <f t="shared" si="116"/>
        <v>3827.4</v>
      </c>
      <c r="I485" s="7">
        <f t="shared" si="117"/>
        <v>0</v>
      </c>
      <c r="J485" s="35">
        <f t="shared" si="113"/>
        <v>3827.4</v>
      </c>
      <c r="K485" s="7">
        <f t="shared" si="117"/>
        <v>0</v>
      </c>
      <c r="L485" s="35">
        <f t="shared" si="111"/>
        <v>3827.4</v>
      </c>
      <c r="M485" s="7">
        <f t="shared" si="117"/>
        <v>0</v>
      </c>
      <c r="N485" s="35">
        <f t="shared" si="112"/>
        <v>3827.4</v>
      </c>
      <c r="O485" s="7">
        <f t="shared" si="117"/>
        <v>0</v>
      </c>
      <c r="P485" s="35">
        <f t="shared" si="108"/>
        <v>3827.4</v>
      </c>
      <c r="Q485" s="7">
        <f t="shared" si="117"/>
        <v>0</v>
      </c>
      <c r="R485" s="35">
        <f t="shared" si="109"/>
        <v>3827.4</v>
      </c>
      <c r="S485" s="7">
        <f t="shared" si="117"/>
        <v>0</v>
      </c>
      <c r="T485" s="35">
        <f t="shared" si="115"/>
        <v>3827.4</v>
      </c>
    </row>
    <row r="486" spans="1:20" ht="33">
      <c r="A486" s="61" t="str">
        <f ca="1">IF(ISERROR(MATCH(E486,Код_КВР,0)),"",INDIRECT(ADDRESS(MATCH(E486,Код_КВР,0)+1,2,,,"КВР")))</f>
        <v>Предоставление субсидий бюджетным, автономным учреждениям и иным некоммерческим организациям</v>
      </c>
      <c r="B486" s="43" t="s">
        <v>530</v>
      </c>
      <c r="C486" s="8" t="s">
        <v>224</v>
      </c>
      <c r="D486" s="1" t="s">
        <v>221</v>
      </c>
      <c r="E486" s="104">
        <v>600</v>
      </c>
      <c r="F486" s="7">
        <f t="shared" si="117"/>
        <v>3827.4</v>
      </c>
      <c r="G486" s="7">
        <f t="shared" si="117"/>
        <v>0</v>
      </c>
      <c r="H486" s="35">
        <f t="shared" si="116"/>
        <v>3827.4</v>
      </c>
      <c r="I486" s="7">
        <f t="shared" si="117"/>
        <v>0</v>
      </c>
      <c r="J486" s="35">
        <f t="shared" si="113"/>
        <v>3827.4</v>
      </c>
      <c r="K486" s="7">
        <f t="shared" si="117"/>
        <v>0</v>
      </c>
      <c r="L486" s="35">
        <f t="shared" si="111"/>
        <v>3827.4</v>
      </c>
      <c r="M486" s="7">
        <f t="shared" si="117"/>
        <v>0</v>
      </c>
      <c r="N486" s="35">
        <f t="shared" si="112"/>
        <v>3827.4</v>
      </c>
      <c r="O486" s="7">
        <f t="shared" si="117"/>
        <v>0</v>
      </c>
      <c r="P486" s="35">
        <f t="shared" si="108"/>
        <v>3827.4</v>
      </c>
      <c r="Q486" s="7">
        <f t="shared" si="117"/>
        <v>0</v>
      </c>
      <c r="R486" s="35">
        <f t="shared" si="109"/>
        <v>3827.4</v>
      </c>
      <c r="S486" s="7">
        <f t="shared" si="117"/>
        <v>0</v>
      </c>
      <c r="T486" s="35">
        <f t="shared" si="115"/>
        <v>3827.4</v>
      </c>
    </row>
    <row r="487" spans="1:20">
      <c r="A487" s="61" t="str">
        <f ca="1">IF(ISERROR(MATCH(E487,Код_КВР,0)),"",INDIRECT(ADDRESS(MATCH(E487,Код_КВР,0)+1,2,,,"КВР")))</f>
        <v>Субсидии бюджетным учреждениям</v>
      </c>
      <c r="B487" s="43" t="s">
        <v>530</v>
      </c>
      <c r="C487" s="8" t="s">
        <v>224</v>
      </c>
      <c r="D487" s="1" t="s">
        <v>221</v>
      </c>
      <c r="E487" s="104">
        <v>610</v>
      </c>
      <c r="F487" s="7">
        <f t="shared" si="117"/>
        <v>3827.4</v>
      </c>
      <c r="G487" s="7">
        <f t="shared" si="117"/>
        <v>0</v>
      </c>
      <c r="H487" s="35">
        <f t="shared" si="116"/>
        <v>3827.4</v>
      </c>
      <c r="I487" s="7">
        <f t="shared" si="117"/>
        <v>0</v>
      </c>
      <c r="J487" s="35">
        <f t="shared" si="113"/>
        <v>3827.4</v>
      </c>
      <c r="K487" s="7">
        <f t="shared" si="117"/>
        <v>0</v>
      </c>
      <c r="L487" s="35">
        <f t="shared" si="111"/>
        <v>3827.4</v>
      </c>
      <c r="M487" s="7">
        <f t="shared" si="117"/>
        <v>0</v>
      </c>
      <c r="N487" s="35">
        <f t="shared" si="112"/>
        <v>3827.4</v>
      </c>
      <c r="O487" s="7">
        <f t="shared" si="117"/>
        <v>0</v>
      </c>
      <c r="P487" s="35">
        <f t="shared" si="108"/>
        <v>3827.4</v>
      </c>
      <c r="Q487" s="7">
        <f t="shared" si="117"/>
        <v>0</v>
      </c>
      <c r="R487" s="35">
        <f t="shared" si="109"/>
        <v>3827.4</v>
      </c>
      <c r="S487" s="7">
        <f t="shared" si="117"/>
        <v>0</v>
      </c>
      <c r="T487" s="35">
        <f t="shared" si="115"/>
        <v>3827.4</v>
      </c>
    </row>
    <row r="488" spans="1:20" ht="52.7" customHeight="1">
      <c r="A488" s="61" t="str">
        <f ca="1">IF(ISERROR(MATCH(E488,Код_КВР,0)),"",INDIRECT(ADDRESS(MATCH(E488,Код_КВР,0)+1,2,,,"КВР")))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88" s="43" t="s">
        <v>530</v>
      </c>
      <c r="C488" s="8" t="s">
        <v>224</v>
      </c>
      <c r="D488" s="1" t="s">
        <v>221</v>
      </c>
      <c r="E488" s="104">
        <v>611</v>
      </c>
      <c r="F488" s="7">
        <f>прил.6!G1278</f>
        <v>3827.4</v>
      </c>
      <c r="G488" s="7">
        <f>прил.6!H1278</f>
        <v>0</v>
      </c>
      <c r="H488" s="35">
        <f t="shared" si="116"/>
        <v>3827.4</v>
      </c>
      <c r="I488" s="7">
        <f>прил.6!J1278</f>
        <v>0</v>
      </c>
      <c r="J488" s="35">
        <f t="shared" si="113"/>
        <v>3827.4</v>
      </c>
      <c r="K488" s="7">
        <f>прил.6!L1278</f>
        <v>0</v>
      </c>
      <c r="L488" s="35">
        <f t="shared" si="111"/>
        <v>3827.4</v>
      </c>
      <c r="M488" s="7">
        <f>прил.6!N1278</f>
        <v>0</v>
      </c>
      <c r="N488" s="35">
        <f t="shared" si="112"/>
        <v>3827.4</v>
      </c>
      <c r="O488" s="7">
        <f>прил.6!P1278</f>
        <v>0</v>
      </c>
      <c r="P488" s="35">
        <f t="shared" si="108"/>
        <v>3827.4</v>
      </c>
      <c r="Q488" s="7">
        <f>прил.6!R1278</f>
        <v>0</v>
      </c>
      <c r="R488" s="35">
        <f t="shared" si="109"/>
        <v>3827.4</v>
      </c>
      <c r="S488" s="7">
        <f>прил.6!T1278</f>
        <v>0</v>
      </c>
      <c r="T488" s="35">
        <f t="shared" si="115"/>
        <v>3827.4</v>
      </c>
    </row>
    <row r="489" spans="1:20">
      <c r="A489" s="61" t="str">
        <f ca="1">IF(ISERROR(MATCH(B489,Код_КЦСР,0)),"",INDIRECT(ADDRESS(MATCH(B489,Код_КЦСР,0)+1,2,,,"КЦСР")))</f>
        <v>Популяризация физической культуры и спорта</v>
      </c>
      <c r="B489" s="43" t="s">
        <v>531</v>
      </c>
      <c r="C489" s="8"/>
      <c r="D489" s="1"/>
      <c r="E489" s="104"/>
      <c r="F489" s="7">
        <f>F490</f>
        <v>4638.1000000000004</v>
      </c>
      <c r="G489" s="7">
        <f>G490</f>
        <v>0</v>
      </c>
      <c r="H489" s="35">
        <f t="shared" si="116"/>
        <v>4638.1000000000004</v>
      </c>
      <c r="I489" s="7">
        <f>I490</f>
        <v>0</v>
      </c>
      <c r="J489" s="35">
        <f t="shared" si="113"/>
        <v>4638.1000000000004</v>
      </c>
      <c r="K489" s="7">
        <f>K490</f>
        <v>0</v>
      </c>
      <c r="L489" s="35">
        <f t="shared" si="111"/>
        <v>4638.1000000000004</v>
      </c>
      <c r="M489" s="7">
        <f>M490</f>
        <v>0</v>
      </c>
      <c r="N489" s="35">
        <f t="shared" si="112"/>
        <v>4638.1000000000004</v>
      </c>
      <c r="O489" s="7">
        <f>O490</f>
        <v>-797.5</v>
      </c>
      <c r="P489" s="35">
        <f t="shared" si="108"/>
        <v>3840.6000000000004</v>
      </c>
      <c r="Q489" s="7">
        <f>Q490</f>
        <v>-149.99999999999994</v>
      </c>
      <c r="R489" s="35">
        <f t="shared" si="109"/>
        <v>3690.6000000000004</v>
      </c>
      <c r="S489" s="7">
        <f>S490</f>
        <v>0</v>
      </c>
      <c r="T489" s="35">
        <f t="shared" si="115"/>
        <v>3690.6000000000004</v>
      </c>
    </row>
    <row r="490" spans="1:20">
      <c r="A490" s="61" t="str">
        <f ca="1">IF(ISERROR(MATCH(C490,Код_Раздел,0)),"",INDIRECT(ADDRESS(MATCH(C490,Код_Раздел,0)+1,2,,,"Раздел")))</f>
        <v>Физическая культура и спорт</v>
      </c>
      <c r="B490" s="43" t="s">
        <v>531</v>
      </c>
      <c r="C490" s="8" t="s">
        <v>224</v>
      </c>
      <c r="D490" s="1"/>
      <c r="E490" s="104"/>
      <c r="F490" s="7">
        <f>F491</f>
        <v>4638.1000000000004</v>
      </c>
      <c r="G490" s="7">
        <f>G491</f>
        <v>0</v>
      </c>
      <c r="H490" s="35">
        <f t="shared" si="116"/>
        <v>4638.1000000000004</v>
      </c>
      <c r="I490" s="7">
        <f>I491</f>
        <v>0</v>
      </c>
      <c r="J490" s="35">
        <f t="shared" si="113"/>
        <v>4638.1000000000004</v>
      </c>
      <c r="K490" s="7">
        <f>K491</f>
        <v>0</v>
      </c>
      <c r="L490" s="35">
        <f t="shared" si="111"/>
        <v>4638.1000000000004</v>
      </c>
      <c r="M490" s="7">
        <f>M491</f>
        <v>0</v>
      </c>
      <c r="N490" s="35">
        <f t="shared" si="112"/>
        <v>4638.1000000000004</v>
      </c>
      <c r="O490" s="7">
        <f>O491</f>
        <v>-797.5</v>
      </c>
      <c r="P490" s="35">
        <f t="shared" si="108"/>
        <v>3840.6000000000004</v>
      </c>
      <c r="Q490" s="7">
        <f>Q491</f>
        <v>-149.99999999999994</v>
      </c>
      <c r="R490" s="35">
        <f t="shared" si="109"/>
        <v>3690.6000000000004</v>
      </c>
      <c r="S490" s="7">
        <f>S491</f>
        <v>0</v>
      </c>
      <c r="T490" s="35">
        <f t="shared" si="115"/>
        <v>3690.6000000000004</v>
      </c>
    </row>
    <row r="491" spans="1:20">
      <c r="A491" s="12" t="s">
        <v>186</v>
      </c>
      <c r="B491" s="43" t="s">
        <v>531</v>
      </c>
      <c r="C491" s="8" t="s">
        <v>224</v>
      </c>
      <c r="D491" s="1" t="s">
        <v>213</v>
      </c>
      <c r="E491" s="104"/>
      <c r="F491" s="7">
        <f>F492+F495</f>
        <v>4638.1000000000004</v>
      </c>
      <c r="G491" s="7">
        <f>G492+G495</f>
        <v>0</v>
      </c>
      <c r="H491" s="35">
        <f t="shared" si="116"/>
        <v>4638.1000000000004</v>
      </c>
      <c r="I491" s="7">
        <f>I492+I495</f>
        <v>0</v>
      </c>
      <c r="J491" s="35">
        <f t="shared" si="113"/>
        <v>4638.1000000000004</v>
      </c>
      <c r="K491" s="7">
        <f>K492+K495</f>
        <v>0</v>
      </c>
      <c r="L491" s="35">
        <f t="shared" si="111"/>
        <v>4638.1000000000004</v>
      </c>
      <c r="M491" s="7">
        <f>M492+M495</f>
        <v>0</v>
      </c>
      <c r="N491" s="35">
        <f t="shared" si="112"/>
        <v>4638.1000000000004</v>
      </c>
      <c r="O491" s="7">
        <f>O492+O495</f>
        <v>-797.5</v>
      </c>
      <c r="P491" s="35">
        <f t="shared" si="108"/>
        <v>3840.6000000000004</v>
      </c>
      <c r="Q491" s="7">
        <f>Q492+Q495</f>
        <v>-149.99999999999994</v>
      </c>
      <c r="R491" s="35">
        <f t="shared" si="109"/>
        <v>3690.6000000000004</v>
      </c>
      <c r="S491" s="7">
        <f>S492+S495</f>
        <v>0</v>
      </c>
      <c r="T491" s="35">
        <f t="shared" si="115"/>
        <v>3690.6000000000004</v>
      </c>
    </row>
    <row r="492" spans="1:20">
      <c r="A492" s="61" t="str">
        <f t="shared" ref="A492:A499" ca="1" si="118">IF(ISERROR(MATCH(E492,Код_КВР,0)),"",INDIRECT(ADDRESS(MATCH(E492,Код_КВР,0)+1,2,,,"КВР")))</f>
        <v>Закупка товаров, работ и услуг для муниципальных нужд</v>
      </c>
      <c r="B492" s="43" t="s">
        <v>531</v>
      </c>
      <c r="C492" s="8" t="s">
        <v>224</v>
      </c>
      <c r="D492" s="1" t="s">
        <v>213</v>
      </c>
      <c r="E492" s="104">
        <v>200</v>
      </c>
      <c r="F492" s="7">
        <f>F493</f>
        <v>622.79999999999995</v>
      </c>
      <c r="G492" s="7">
        <f>G493</f>
        <v>0</v>
      </c>
      <c r="H492" s="35">
        <f t="shared" si="116"/>
        <v>622.79999999999995</v>
      </c>
      <c r="I492" s="7">
        <f>I493</f>
        <v>0</v>
      </c>
      <c r="J492" s="35">
        <f t="shared" si="113"/>
        <v>622.79999999999995</v>
      </c>
      <c r="K492" s="7">
        <f>K493</f>
        <v>0</v>
      </c>
      <c r="L492" s="35">
        <f t="shared" si="111"/>
        <v>622.79999999999995</v>
      </c>
      <c r="M492" s="7">
        <f>M493</f>
        <v>0</v>
      </c>
      <c r="N492" s="35">
        <f t="shared" si="112"/>
        <v>622.79999999999995</v>
      </c>
      <c r="O492" s="7">
        <f>O493</f>
        <v>0</v>
      </c>
      <c r="P492" s="35">
        <f t="shared" si="108"/>
        <v>622.79999999999995</v>
      </c>
      <c r="Q492" s="7">
        <f>Q493</f>
        <v>-592.79999999999995</v>
      </c>
      <c r="R492" s="35">
        <f t="shared" si="109"/>
        <v>30</v>
      </c>
      <c r="S492" s="7">
        <f>S493</f>
        <v>0</v>
      </c>
      <c r="T492" s="35">
        <f t="shared" si="115"/>
        <v>30</v>
      </c>
    </row>
    <row r="493" spans="1:20" ht="35.25" customHeight="1">
      <c r="A493" s="61" t="str">
        <f t="shared" ca="1" si="118"/>
        <v>Иные закупки товаров, работ и услуг для обеспечения муниципальных нужд</v>
      </c>
      <c r="B493" s="43" t="s">
        <v>531</v>
      </c>
      <c r="C493" s="8" t="s">
        <v>224</v>
      </c>
      <c r="D493" s="1" t="s">
        <v>213</v>
      </c>
      <c r="E493" s="104">
        <v>240</v>
      </c>
      <c r="F493" s="7">
        <f>F494</f>
        <v>622.79999999999995</v>
      </c>
      <c r="G493" s="7">
        <f>G494</f>
        <v>0</v>
      </c>
      <c r="H493" s="35">
        <f t="shared" si="116"/>
        <v>622.79999999999995</v>
      </c>
      <c r="I493" s="7">
        <f>I494</f>
        <v>0</v>
      </c>
      <c r="J493" s="35">
        <f t="shared" si="113"/>
        <v>622.79999999999995</v>
      </c>
      <c r="K493" s="7">
        <f>K494</f>
        <v>0</v>
      </c>
      <c r="L493" s="35">
        <f t="shared" si="111"/>
        <v>622.79999999999995</v>
      </c>
      <c r="M493" s="7">
        <f>M494</f>
        <v>0</v>
      </c>
      <c r="N493" s="35">
        <f t="shared" si="112"/>
        <v>622.79999999999995</v>
      </c>
      <c r="O493" s="7">
        <f>O494</f>
        <v>0</v>
      </c>
      <c r="P493" s="35">
        <f t="shared" si="108"/>
        <v>622.79999999999995</v>
      </c>
      <c r="Q493" s="7">
        <f>Q494</f>
        <v>-592.79999999999995</v>
      </c>
      <c r="R493" s="35">
        <f t="shared" si="109"/>
        <v>30</v>
      </c>
      <c r="S493" s="7">
        <f>S494</f>
        <v>0</v>
      </c>
      <c r="T493" s="35">
        <f t="shared" si="115"/>
        <v>30</v>
      </c>
    </row>
    <row r="494" spans="1:20" ht="36" customHeight="1">
      <c r="A494" s="61" t="str">
        <f t="shared" ca="1" si="118"/>
        <v xml:space="preserve">Прочая закупка товаров, работ и услуг для обеспечения муниципальных нужд         </v>
      </c>
      <c r="B494" s="43" t="s">
        <v>531</v>
      </c>
      <c r="C494" s="8" t="s">
        <v>224</v>
      </c>
      <c r="D494" s="1" t="s">
        <v>213</v>
      </c>
      <c r="E494" s="104">
        <v>244</v>
      </c>
      <c r="F494" s="7">
        <f>прил.6!G1246</f>
        <v>622.79999999999995</v>
      </c>
      <c r="G494" s="7">
        <f>прил.6!H1246</f>
        <v>0</v>
      </c>
      <c r="H494" s="35">
        <f t="shared" si="116"/>
        <v>622.79999999999995</v>
      </c>
      <c r="I494" s="7">
        <f>прил.6!J1246</f>
        <v>0</v>
      </c>
      <c r="J494" s="35">
        <f t="shared" si="113"/>
        <v>622.79999999999995</v>
      </c>
      <c r="K494" s="7">
        <f>прил.6!L1246</f>
        <v>0</v>
      </c>
      <c r="L494" s="35">
        <f t="shared" si="111"/>
        <v>622.79999999999995</v>
      </c>
      <c r="M494" s="7">
        <f>прил.6!N1246</f>
        <v>0</v>
      </c>
      <c r="N494" s="35">
        <f t="shared" si="112"/>
        <v>622.79999999999995</v>
      </c>
      <c r="O494" s="7">
        <f>прил.6!P1246</f>
        <v>0</v>
      </c>
      <c r="P494" s="35">
        <f t="shared" si="108"/>
        <v>622.79999999999995</v>
      </c>
      <c r="Q494" s="7">
        <f>прил.6!R1246</f>
        <v>-592.79999999999995</v>
      </c>
      <c r="R494" s="35">
        <f t="shared" si="109"/>
        <v>30</v>
      </c>
      <c r="S494" s="7">
        <f>прил.6!T1246</f>
        <v>0</v>
      </c>
      <c r="T494" s="35">
        <f t="shared" si="115"/>
        <v>30</v>
      </c>
    </row>
    <row r="495" spans="1:20" ht="36" customHeight="1">
      <c r="A495" s="61" t="str">
        <f t="shared" ca="1" si="118"/>
        <v>Предоставление субсидий бюджетным, автономным учреждениям и иным некоммерческим организациям</v>
      </c>
      <c r="B495" s="43" t="s">
        <v>531</v>
      </c>
      <c r="C495" s="8" t="s">
        <v>224</v>
      </c>
      <c r="D495" s="1" t="s">
        <v>213</v>
      </c>
      <c r="E495" s="104">
        <v>600</v>
      </c>
      <c r="F495" s="7">
        <f>F496+F498</f>
        <v>4015.3</v>
      </c>
      <c r="G495" s="7">
        <f>G496+G498</f>
        <v>0</v>
      </c>
      <c r="H495" s="35">
        <f t="shared" si="116"/>
        <v>4015.3</v>
      </c>
      <c r="I495" s="7">
        <f>I496+I498</f>
        <v>0</v>
      </c>
      <c r="J495" s="35">
        <f t="shared" si="113"/>
        <v>4015.3</v>
      </c>
      <c r="K495" s="7">
        <f>K496+K498</f>
        <v>0</v>
      </c>
      <c r="L495" s="35">
        <f t="shared" si="111"/>
        <v>4015.3</v>
      </c>
      <c r="M495" s="7">
        <f>M496+M498</f>
        <v>0</v>
      </c>
      <c r="N495" s="35">
        <f t="shared" si="112"/>
        <v>4015.3</v>
      </c>
      <c r="O495" s="7">
        <f>O496+O498</f>
        <v>-797.5</v>
      </c>
      <c r="P495" s="35">
        <f t="shared" si="108"/>
        <v>3217.8</v>
      </c>
      <c r="Q495" s="7">
        <f>Q496+Q498</f>
        <v>442.8</v>
      </c>
      <c r="R495" s="35">
        <f t="shared" si="109"/>
        <v>3660.6000000000004</v>
      </c>
      <c r="S495" s="7">
        <f>S496+S498</f>
        <v>0</v>
      </c>
      <c r="T495" s="35">
        <f t="shared" si="115"/>
        <v>3660.6000000000004</v>
      </c>
    </row>
    <row r="496" spans="1:20">
      <c r="A496" s="61" t="str">
        <f t="shared" ca="1" si="118"/>
        <v>Субсидии бюджетным учреждениям</v>
      </c>
      <c r="B496" s="43" t="s">
        <v>531</v>
      </c>
      <c r="C496" s="8" t="s">
        <v>224</v>
      </c>
      <c r="D496" s="1" t="s">
        <v>213</v>
      </c>
      <c r="E496" s="104">
        <v>610</v>
      </c>
      <c r="F496" s="7">
        <f>F497</f>
        <v>2939.9</v>
      </c>
      <c r="G496" s="7">
        <f>G497</f>
        <v>0</v>
      </c>
      <c r="H496" s="35">
        <f t="shared" si="116"/>
        <v>2939.9</v>
      </c>
      <c r="I496" s="7">
        <f>I497</f>
        <v>0</v>
      </c>
      <c r="J496" s="35">
        <f t="shared" si="113"/>
        <v>2939.9</v>
      </c>
      <c r="K496" s="7">
        <f>K497</f>
        <v>0</v>
      </c>
      <c r="L496" s="35">
        <f t="shared" si="111"/>
        <v>2939.9</v>
      </c>
      <c r="M496" s="7">
        <f>M497</f>
        <v>0</v>
      </c>
      <c r="N496" s="35">
        <f t="shared" si="112"/>
        <v>2939.9</v>
      </c>
      <c r="O496" s="7">
        <f>O497</f>
        <v>-794.5</v>
      </c>
      <c r="P496" s="35">
        <f t="shared" si="108"/>
        <v>2145.4</v>
      </c>
      <c r="Q496" s="7">
        <f>Q497</f>
        <v>-23</v>
      </c>
      <c r="R496" s="35">
        <f t="shared" si="109"/>
        <v>2122.4</v>
      </c>
      <c r="S496" s="7">
        <f>S497</f>
        <v>0</v>
      </c>
      <c r="T496" s="35">
        <f t="shared" si="115"/>
        <v>2122.4</v>
      </c>
    </row>
    <row r="497" spans="1:20" ht="51.75" customHeight="1">
      <c r="A497" s="61" t="str">
        <f t="shared" ca="1" si="118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497" s="43" t="s">
        <v>531</v>
      </c>
      <c r="C497" s="8" t="s">
        <v>224</v>
      </c>
      <c r="D497" s="1" t="s">
        <v>213</v>
      </c>
      <c r="E497" s="104">
        <v>611</v>
      </c>
      <c r="F497" s="7">
        <f>прил.6!G1249</f>
        <v>2939.9</v>
      </c>
      <c r="G497" s="7">
        <f>прил.6!H1249</f>
        <v>0</v>
      </c>
      <c r="H497" s="35">
        <f t="shared" si="116"/>
        <v>2939.9</v>
      </c>
      <c r="I497" s="7">
        <f>прил.6!J1249</f>
        <v>0</v>
      </c>
      <c r="J497" s="35">
        <f t="shared" si="113"/>
        <v>2939.9</v>
      </c>
      <c r="K497" s="7">
        <f>прил.6!L1249</f>
        <v>0</v>
      </c>
      <c r="L497" s="35">
        <f t="shared" si="111"/>
        <v>2939.9</v>
      </c>
      <c r="M497" s="7">
        <f>прил.6!N1249</f>
        <v>0</v>
      </c>
      <c r="N497" s="35">
        <f t="shared" si="112"/>
        <v>2939.9</v>
      </c>
      <c r="O497" s="7">
        <f>прил.6!P1249</f>
        <v>-794.5</v>
      </c>
      <c r="P497" s="35">
        <f t="shared" si="108"/>
        <v>2145.4</v>
      </c>
      <c r="Q497" s="7">
        <f>прил.6!R1249</f>
        <v>-23</v>
      </c>
      <c r="R497" s="35">
        <f t="shared" si="109"/>
        <v>2122.4</v>
      </c>
      <c r="S497" s="7">
        <f>прил.6!T1249</f>
        <v>0</v>
      </c>
      <c r="T497" s="35">
        <f t="shared" si="115"/>
        <v>2122.4</v>
      </c>
    </row>
    <row r="498" spans="1:20">
      <c r="A498" s="61" t="str">
        <f t="shared" ca="1" si="118"/>
        <v>Субсидии автономным учреждениям</v>
      </c>
      <c r="B498" s="43" t="s">
        <v>531</v>
      </c>
      <c r="C498" s="8" t="s">
        <v>224</v>
      </c>
      <c r="D498" s="1" t="s">
        <v>213</v>
      </c>
      <c r="E498" s="104">
        <v>620</v>
      </c>
      <c r="F498" s="7">
        <f>F499</f>
        <v>1075.4000000000001</v>
      </c>
      <c r="G498" s="7">
        <f>G499</f>
        <v>0</v>
      </c>
      <c r="H498" s="35">
        <f t="shared" si="116"/>
        <v>1075.4000000000001</v>
      </c>
      <c r="I498" s="7">
        <f>I499</f>
        <v>0</v>
      </c>
      <c r="J498" s="35">
        <f t="shared" si="113"/>
        <v>1075.4000000000001</v>
      </c>
      <c r="K498" s="7">
        <f>K499</f>
        <v>0</v>
      </c>
      <c r="L498" s="35">
        <f t="shared" si="111"/>
        <v>1075.4000000000001</v>
      </c>
      <c r="M498" s="7">
        <f>M499</f>
        <v>0</v>
      </c>
      <c r="N498" s="35">
        <f t="shared" si="112"/>
        <v>1075.4000000000001</v>
      </c>
      <c r="O498" s="7">
        <f>O499</f>
        <v>-3</v>
      </c>
      <c r="P498" s="35">
        <f t="shared" si="108"/>
        <v>1072.4000000000001</v>
      </c>
      <c r="Q498" s="7">
        <f>Q499</f>
        <v>465.8</v>
      </c>
      <c r="R498" s="35">
        <f t="shared" si="109"/>
        <v>1538.2</v>
      </c>
      <c r="S498" s="7">
        <f>S499</f>
        <v>0</v>
      </c>
      <c r="T498" s="35">
        <f t="shared" si="115"/>
        <v>1538.2</v>
      </c>
    </row>
    <row r="499" spans="1:20" ht="53.25" customHeight="1">
      <c r="A499" s="61" t="str">
        <f t="shared" ca="1" si="118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499" s="43" t="s">
        <v>531</v>
      </c>
      <c r="C499" s="8" t="s">
        <v>224</v>
      </c>
      <c r="D499" s="1" t="s">
        <v>213</v>
      </c>
      <c r="E499" s="104">
        <v>621</v>
      </c>
      <c r="F499" s="7">
        <f>прил.6!G1251</f>
        <v>1075.4000000000001</v>
      </c>
      <c r="G499" s="7">
        <f>прил.6!H1251</f>
        <v>0</v>
      </c>
      <c r="H499" s="35">
        <f t="shared" si="116"/>
        <v>1075.4000000000001</v>
      </c>
      <c r="I499" s="7">
        <f>прил.6!J1251</f>
        <v>0</v>
      </c>
      <c r="J499" s="35">
        <f t="shared" si="113"/>
        <v>1075.4000000000001</v>
      </c>
      <c r="K499" s="7">
        <f>прил.6!L1251</f>
        <v>0</v>
      </c>
      <c r="L499" s="35">
        <f t="shared" si="111"/>
        <v>1075.4000000000001</v>
      </c>
      <c r="M499" s="7">
        <f>прил.6!N1251</f>
        <v>0</v>
      </c>
      <c r="N499" s="35">
        <f t="shared" si="112"/>
        <v>1075.4000000000001</v>
      </c>
      <c r="O499" s="7">
        <f>прил.6!P1251</f>
        <v>-3</v>
      </c>
      <c r="P499" s="35">
        <f t="shared" si="108"/>
        <v>1072.4000000000001</v>
      </c>
      <c r="Q499" s="7">
        <f>прил.6!R1251</f>
        <v>465.8</v>
      </c>
      <c r="R499" s="35">
        <f t="shared" si="109"/>
        <v>1538.2</v>
      </c>
      <c r="S499" s="7">
        <f>прил.6!T1251</f>
        <v>0</v>
      </c>
      <c r="T499" s="35">
        <f t="shared" si="115"/>
        <v>1538.2</v>
      </c>
    </row>
    <row r="500" spans="1:20">
      <c r="A500" s="61" t="str">
        <f ca="1">IF(ISERROR(MATCH(B500,Код_КЦСР,0)),"",INDIRECT(ADDRESS(MATCH(B500,Код_КЦСР,0)+1,2,,,"КЦСР")))</f>
        <v>Спортивный город</v>
      </c>
      <c r="B500" s="43" t="s">
        <v>533</v>
      </c>
      <c r="C500" s="8"/>
      <c r="D500" s="1"/>
      <c r="E500" s="104"/>
      <c r="F500" s="7">
        <f>F501+F508</f>
        <v>13318.7</v>
      </c>
      <c r="G500" s="7">
        <f>G501+G508</f>
        <v>10000</v>
      </c>
      <c r="H500" s="35">
        <f t="shared" si="116"/>
        <v>23318.7</v>
      </c>
      <c r="I500" s="7">
        <f>I501+I508</f>
        <v>0</v>
      </c>
      <c r="J500" s="35">
        <f t="shared" si="113"/>
        <v>23318.7</v>
      </c>
      <c r="K500" s="7">
        <f>K501+K508</f>
        <v>0</v>
      </c>
      <c r="L500" s="35">
        <f t="shared" si="111"/>
        <v>23318.7</v>
      </c>
      <c r="M500" s="7">
        <f>M501+M508</f>
        <v>0</v>
      </c>
      <c r="N500" s="35">
        <f t="shared" si="112"/>
        <v>23318.7</v>
      </c>
      <c r="O500" s="7">
        <f>O501+O508</f>
        <v>0</v>
      </c>
      <c r="P500" s="35">
        <f t="shared" si="108"/>
        <v>23318.7</v>
      </c>
      <c r="Q500" s="7">
        <f>Q501+Q508</f>
        <v>20000</v>
      </c>
      <c r="R500" s="35">
        <f t="shared" si="109"/>
        <v>43318.7</v>
      </c>
      <c r="S500" s="7">
        <f>S501+S508</f>
        <v>0</v>
      </c>
      <c r="T500" s="35">
        <f t="shared" si="115"/>
        <v>43318.7</v>
      </c>
    </row>
    <row r="501" spans="1:20">
      <c r="A501" s="61" t="str">
        <f ca="1">IF(ISERROR(MATCH(C501,Код_Раздел,0)),"",INDIRECT(ADDRESS(MATCH(C501,Код_Раздел,0)+1,2,,,"Раздел")))</f>
        <v>Образование</v>
      </c>
      <c r="B501" s="43" t="s">
        <v>533</v>
      </c>
      <c r="C501" s="8" t="s">
        <v>195</v>
      </c>
      <c r="D501" s="1"/>
      <c r="E501" s="104"/>
      <c r="F501" s="7">
        <f>F502</f>
        <v>7563.1</v>
      </c>
      <c r="G501" s="7">
        <f>G502</f>
        <v>0</v>
      </c>
      <c r="H501" s="35">
        <f t="shared" si="116"/>
        <v>7563.1</v>
      </c>
      <c r="I501" s="7">
        <f>I502</f>
        <v>90.1</v>
      </c>
      <c r="J501" s="35">
        <f t="shared" si="113"/>
        <v>7653.2000000000007</v>
      </c>
      <c r="K501" s="7">
        <f>K502</f>
        <v>0</v>
      </c>
      <c r="L501" s="35">
        <f t="shared" si="111"/>
        <v>7653.2000000000007</v>
      </c>
      <c r="M501" s="7">
        <f>M502</f>
        <v>0</v>
      </c>
      <c r="N501" s="35">
        <f t="shared" si="112"/>
        <v>7653.2000000000007</v>
      </c>
      <c r="O501" s="7">
        <f>O502</f>
        <v>0</v>
      </c>
      <c r="P501" s="35">
        <f t="shared" si="108"/>
        <v>7653.2000000000007</v>
      </c>
      <c r="Q501" s="7">
        <f>Q502</f>
        <v>0</v>
      </c>
      <c r="R501" s="35">
        <f t="shared" si="109"/>
        <v>7653.2000000000007</v>
      </c>
      <c r="S501" s="7">
        <f>S502</f>
        <v>0</v>
      </c>
      <c r="T501" s="35">
        <f t="shared" si="115"/>
        <v>7653.2000000000007</v>
      </c>
    </row>
    <row r="502" spans="1:20">
      <c r="A502" s="12" t="s">
        <v>251</v>
      </c>
      <c r="B502" s="43" t="s">
        <v>533</v>
      </c>
      <c r="C502" s="8" t="s">
        <v>195</v>
      </c>
      <c r="D502" s="1" t="s">
        <v>219</v>
      </c>
      <c r="E502" s="104"/>
      <c r="F502" s="7">
        <f>F503</f>
        <v>7563.1</v>
      </c>
      <c r="G502" s="7">
        <f>G503</f>
        <v>0</v>
      </c>
      <c r="H502" s="35">
        <f t="shared" si="116"/>
        <v>7563.1</v>
      </c>
      <c r="I502" s="7">
        <f>I503</f>
        <v>90.1</v>
      </c>
      <c r="J502" s="35">
        <f t="shared" si="113"/>
        <v>7653.2000000000007</v>
      </c>
      <c r="K502" s="7">
        <f>K503</f>
        <v>0</v>
      </c>
      <c r="L502" s="35">
        <f t="shared" si="111"/>
        <v>7653.2000000000007</v>
      </c>
      <c r="M502" s="7">
        <f>M503</f>
        <v>0</v>
      </c>
      <c r="N502" s="35">
        <f t="shared" si="112"/>
        <v>7653.2000000000007</v>
      </c>
      <c r="O502" s="7">
        <f>O503</f>
        <v>0</v>
      </c>
      <c r="P502" s="35">
        <f t="shared" si="108"/>
        <v>7653.2000000000007</v>
      </c>
      <c r="Q502" s="7">
        <f>Q503</f>
        <v>0</v>
      </c>
      <c r="R502" s="35">
        <f t="shared" si="109"/>
        <v>7653.2000000000007</v>
      </c>
      <c r="S502" s="7">
        <f>S503</f>
        <v>0</v>
      </c>
      <c r="T502" s="35">
        <f t="shared" si="115"/>
        <v>7653.2000000000007</v>
      </c>
    </row>
    <row r="503" spans="1:20" ht="35.25" customHeight="1">
      <c r="A503" s="61" t="str">
        <f ca="1">IF(ISERROR(MATCH(E503,Код_КВР,0)),"",INDIRECT(ADDRESS(MATCH(E503,Код_КВР,0)+1,2,,,"КВР")))</f>
        <v>Предоставление субсидий бюджетным, автономным учреждениям и иным некоммерческим организациям</v>
      </c>
      <c r="B503" s="43" t="s">
        <v>533</v>
      </c>
      <c r="C503" s="8" t="s">
        <v>195</v>
      </c>
      <c r="D503" s="1" t="s">
        <v>219</v>
      </c>
      <c r="E503" s="104">
        <v>600</v>
      </c>
      <c r="F503" s="7">
        <f>F504+F506</f>
        <v>7563.1</v>
      </c>
      <c r="G503" s="7">
        <f>G504+G506</f>
        <v>0</v>
      </c>
      <c r="H503" s="35">
        <f t="shared" si="116"/>
        <v>7563.1</v>
      </c>
      <c r="I503" s="7">
        <f>I504+I506</f>
        <v>90.1</v>
      </c>
      <c r="J503" s="35">
        <f t="shared" si="113"/>
        <v>7653.2000000000007</v>
      </c>
      <c r="K503" s="7">
        <f>K504+K506</f>
        <v>0</v>
      </c>
      <c r="L503" s="35">
        <f t="shared" si="111"/>
        <v>7653.2000000000007</v>
      </c>
      <c r="M503" s="7">
        <f>M504+M506</f>
        <v>0</v>
      </c>
      <c r="N503" s="35">
        <f t="shared" si="112"/>
        <v>7653.2000000000007</v>
      </c>
      <c r="O503" s="7">
        <f>O504+O506</f>
        <v>0</v>
      </c>
      <c r="P503" s="35">
        <f t="shared" si="108"/>
        <v>7653.2000000000007</v>
      </c>
      <c r="Q503" s="7">
        <f>Q504+Q506</f>
        <v>0</v>
      </c>
      <c r="R503" s="35">
        <f t="shared" si="109"/>
        <v>7653.2000000000007</v>
      </c>
      <c r="S503" s="7">
        <f>S504+S506</f>
        <v>0</v>
      </c>
      <c r="T503" s="35">
        <f t="shared" si="115"/>
        <v>7653.2000000000007</v>
      </c>
    </row>
    <row r="504" spans="1:20">
      <c r="A504" s="61" t="str">
        <f ca="1">IF(ISERROR(MATCH(E504,Код_КВР,0)),"",INDIRECT(ADDRESS(MATCH(E504,Код_КВР,0)+1,2,,,"КВР")))</f>
        <v>Субсидии бюджетным учреждениям</v>
      </c>
      <c r="B504" s="43" t="s">
        <v>533</v>
      </c>
      <c r="C504" s="8" t="s">
        <v>195</v>
      </c>
      <c r="D504" s="1" t="s">
        <v>219</v>
      </c>
      <c r="E504" s="104">
        <v>610</v>
      </c>
      <c r="F504" s="7">
        <f>F505</f>
        <v>6732.6</v>
      </c>
      <c r="G504" s="7">
        <f>G505</f>
        <v>0</v>
      </c>
      <c r="H504" s="35">
        <f t="shared" si="116"/>
        <v>6732.6</v>
      </c>
      <c r="I504" s="7">
        <f>I505</f>
        <v>90.1</v>
      </c>
      <c r="J504" s="35">
        <f t="shared" si="113"/>
        <v>6822.7000000000007</v>
      </c>
      <c r="K504" s="7">
        <f>K505</f>
        <v>0</v>
      </c>
      <c r="L504" s="35">
        <f t="shared" si="111"/>
        <v>6822.7000000000007</v>
      </c>
      <c r="M504" s="7">
        <f>M505</f>
        <v>0</v>
      </c>
      <c r="N504" s="35">
        <f t="shared" si="112"/>
        <v>6822.7000000000007</v>
      </c>
      <c r="O504" s="7">
        <f>O505</f>
        <v>0</v>
      </c>
      <c r="P504" s="35">
        <f t="shared" si="108"/>
        <v>6822.7000000000007</v>
      </c>
      <c r="Q504" s="7">
        <f>Q505</f>
        <v>0</v>
      </c>
      <c r="R504" s="35">
        <f t="shared" si="109"/>
        <v>6822.7000000000007</v>
      </c>
      <c r="S504" s="7">
        <f>S505</f>
        <v>0</v>
      </c>
      <c r="T504" s="35">
        <f t="shared" si="115"/>
        <v>6822.7000000000007</v>
      </c>
    </row>
    <row r="505" spans="1:20">
      <c r="A505" s="61" t="str">
        <f ca="1">IF(ISERROR(MATCH(E505,Код_КВР,0)),"",INDIRECT(ADDRESS(MATCH(E505,Код_КВР,0)+1,2,,,"КВР")))</f>
        <v>Субсидии бюджетным учреждениям на иные цели</v>
      </c>
      <c r="B505" s="43" t="s">
        <v>533</v>
      </c>
      <c r="C505" s="8" t="s">
        <v>195</v>
      </c>
      <c r="D505" s="1" t="s">
        <v>219</v>
      </c>
      <c r="E505" s="104">
        <v>612</v>
      </c>
      <c r="F505" s="7">
        <f>прил.6!G1214</f>
        <v>6732.6</v>
      </c>
      <c r="G505" s="7">
        <f>прил.6!H1214</f>
        <v>0</v>
      </c>
      <c r="H505" s="35">
        <f t="shared" si="116"/>
        <v>6732.6</v>
      </c>
      <c r="I505" s="7">
        <f>прил.6!J1214</f>
        <v>90.1</v>
      </c>
      <c r="J505" s="35">
        <f t="shared" si="113"/>
        <v>6822.7000000000007</v>
      </c>
      <c r="K505" s="7">
        <f>прил.6!L1214</f>
        <v>0</v>
      </c>
      <c r="L505" s="35">
        <f t="shared" si="111"/>
        <v>6822.7000000000007</v>
      </c>
      <c r="M505" s="7">
        <f>прил.6!N1214</f>
        <v>0</v>
      </c>
      <c r="N505" s="35">
        <f t="shared" si="112"/>
        <v>6822.7000000000007</v>
      </c>
      <c r="O505" s="7">
        <f>прил.6!P1214</f>
        <v>0</v>
      </c>
      <c r="P505" s="35">
        <f t="shared" si="108"/>
        <v>6822.7000000000007</v>
      </c>
      <c r="Q505" s="7">
        <f>прил.6!R1214</f>
        <v>0</v>
      </c>
      <c r="R505" s="35">
        <f t="shared" si="109"/>
        <v>6822.7000000000007</v>
      </c>
      <c r="S505" s="7">
        <f>прил.6!T1214</f>
        <v>0</v>
      </c>
      <c r="T505" s="35">
        <f t="shared" si="115"/>
        <v>6822.7000000000007</v>
      </c>
    </row>
    <row r="506" spans="1:20">
      <c r="A506" s="61" t="str">
        <f ca="1">IF(ISERROR(MATCH(E506,Код_КВР,0)),"",INDIRECT(ADDRESS(MATCH(E506,Код_КВР,0)+1,2,,,"КВР")))</f>
        <v>Субсидии автономным учреждениям</v>
      </c>
      <c r="B506" s="43" t="s">
        <v>533</v>
      </c>
      <c r="C506" s="8" t="s">
        <v>195</v>
      </c>
      <c r="D506" s="1" t="s">
        <v>219</v>
      </c>
      <c r="E506" s="104">
        <v>620</v>
      </c>
      <c r="F506" s="7">
        <f>F507</f>
        <v>830.5</v>
      </c>
      <c r="G506" s="7">
        <f>G507</f>
        <v>0</v>
      </c>
      <c r="H506" s="35">
        <f t="shared" si="116"/>
        <v>830.5</v>
      </c>
      <c r="I506" s="7">
        <f>I507</f>
        <v>0</v>
      </c>
      <c r="J506" s="35">
        <f t="shared" si="113"/>
        <v>830.5</v>
      </c>
      <c r="K506" s="7">
        <f>K507</f>
        <v>0</v>
      </c>
      <c r="L506" s="35">
        <f t="shared" si="111"/>
        <v>830.5</v>
      </c>
      <c r="M506" s="7">
        <f>M507</f>
        <v>0</v>
      </c>
      <c r="N506" s="35">
        <f t="shared" si="112"/>
        <v>830.5</v>
      </c>
      <c r="O506" s="7">
        <f>O507</f>
        <v>0</v>
      </c>
      <c r="P506" s="35">
        <f t="shared" si="108"/>
        <v>830.5</v>
      </c>
      <c r="Q506" s="7">
        <f>Q507</f>
        <v>0</v>
      </c>
      <c r="R506" s="35">
        <f t="shared" si="109"/>
        <v>830.5</v>
      </c>
      <c r="S506" s="7">
        <f>S507</f>
        <v>0</v>
      </c>
      <c r="T506" s="35">
        <f t="shared" si="115"/>
        <v>830.5</v>
      </c>
    </row>
    <row r="507" spans="1:20">
      <c r="A507" s="61" t="str">
        <f ca="1">IF(ISERROR(MATCH(E507,Код_КВР,0)),"",INDIRECT(ADDRESS(MATCH(E507,Код_КВР,0)+1,2,,,"КВР")))</f>
        <v>Субсидии автономным учреждениям на иные цели</v>
      </c>
      <c r="B507" s="43" t="s">
        <v>533</v>
      </c>
      <c r="C507" s="8" t="s">
        <v>195</v>
      </c>
      <c r="D507" s="1" t="s">
        <v>219</v>
      </c>
      <c r="E507" s="104">
        <v>622</v>
      </c>
      <c r="F507" s="7">
        <f>прил.6!G1216</f>
        <v>830.5</v>
      </c>
      <c r="G507" s="7">
        <f>прил.6!H1216</f>
        <v>0</v>
      </c>
      <c r="H507" s="35">
        <f t="shared" si="116"/>
        <v>830.5</v>
      </c>
      <c r="I507" s="7">
        <f>прил.6!J1216</f>
        <v>0</v>
      </c>
      <c r="J507" s="35">
        <f t="shared" si="113"/>
        <v>830.5</v>
      </c>
      <c r="K507" s="7">
        <f>прил.6!L1216</f>
        <v>0</v>
      </c>
      <c r="L507" s="35">
        <f t="shared" si="111"/>
        <v>830.5</v>
      </c>
      <c r="M507" s="7">
        <f>прил.6!N1216</f>
        <v>0</v>
      </c>
      <c r="N507" s="35">
        <f t="shared" si="112"/>
        <v>830.5</v>
      </c>
      <c r="O507" s="7">
        <f>прил.6!P1216</f>
        <v>0</v>
      </c>
      <c r="P507" s="35">
        <f t="shared" si="108"/>
        <v>830.5</v>
      </c>
      <c r="Q507" s="7">
        <f>прил.6!R1216</f>
        <v>0</v>
      </c>
      <c r="R507" s="35">
        <f t="shared" si="109"/>
        <v>830.5</v>
      </c>
      <c r="S507" s="7">
        <f>прил.6!T1216</f>
        <v>0</v>
      </c>
      <c r="T507" s="35">
        <f t="shared" si="115"/>
        <v>830.5</v>
      </c>
    </row>
    <row r="508" spans="1:20">
      <c r="A508" s="61" t="str">
        <f ca="1">IF(ISERROR(MATCH(C508,Код_Раздел,0)),"",INDIRECT(ADDRESS(MATCH(C508,Код_Раздел,0)+1,2,,,"Раздел")))</f>
        <v>Физическая культура и спорт</v>
      </c>
      <c r="B508" s="43" t="s">
        <v>533</v>
      </c>
      <c r="C508" s="8" t="s">
        <v>224</v>
      </c>
      <c r="D508" s="1"/>
      <c r="E508" s="104"/>
      <c r="F508" s="7">
        <f>F509+F514</f>
        <v>5755.6</v>
      </c>
      <c r="G508" s="7">
        <f>G509+G514</f>
        <v>10000</v>
      </c>
      <c r="H508" s="35">
        <f t="shared" si="116"/>
        <v>15755.6</v>
      </c>
      <c r="I508" s="7">
        <f>I509+I514</f>
        <v>-90.1</v>
      </c>
      <c r="J508" s="35">
        <f t="shared" si="113"/>
        <v>15665.5</v>
      </c>
      <c r="K508" s="7">
        <f>K509+K514</f>
        <v>0</v>
      </c>
      <c r="L508" s="35">
        <f t="shared" si="111"/>
        <v>15665.5</v>
      </c>
      <c r="M508" s="7">
        <f>M509+M514</f>
        <v>0</v>
      </c>
      <c r="N508" s="35">
        <f t="shared" si="112"/>
        <v>15665.5</v>
      </c>
      <c r="O508" s="7">
        <f>O509+O514</f>
        <v>0</v>
      </c>
      <c r="P508" s="35">
        <f t="shared" si="108"/>
        <v>15665.5</v>
      </c>
      <c r="Q508" s="7">
        <f>Q509+Q514</f>
        <v>20000</v>
      </c>
      <c r="R508" s="35">
        <f t="shared" si="109"/>
        <v>35665.5</v>
      </c>
      <c r="S508" s="7">
        <f>S509+S514</f>
        <v>0</v>
      </c>
      <c r="T508" s="35">
        <f t="shared" si="115"/>
        <v>35665.5</v>
      </c>
    </row>
    <row r="509" spans="1:20">
      <c r="A509" s="12" t="s">
        <v>186</v>
      </c>
      <c r="B509" s="43" t="s">
        <v>533</v>
      </c>
      <c r="C509" s="8" t="s">
        <v>224</v>
      </c>
      <c r="D509" s="1" t="s">
        <v>213</v>
      </c>
      <c r="E509" s="104"/>
      <c r="F509" s="7">
        <f>F510</f>
        <v>5255.6</v>
      </c>
      <c r="G509" s="7">
        <f>G510</f>
        <v>10000</v>
      </c>
      <c r="H509" s="35">
        <f t="shared" si="116"/>
        <v>15255.6</v>
      </c>
      <c r="I509" s="7">
        <f>I510</f>
        <v>-205</v>
      </c>
      <c r="J509" s="35">
        <f t="shared" si="113"/>
        <v>15050.6</v>
      </c>
      <c r="K509" s="7">
        <f>K510</f>
        <v>0</v>
      </c>
      <c r="L509" s="35">
        <f t="shared" si="111"/>
        <v>15050.6</v>
      </c>
      <c r="M509" s="7">
        <f>M510</f>
        <v>0</v>
      </c>
      <c r="N509" s="35">
        <f t="shared" si="112"/>
        <v>15050.6</v>
      </c>
      <c r="O509" s="7">
        <f>O510</f>
        <v>0</v>
      </c>
      <c r="P509" s="35">
        <f t="shared" si="108"/>
        <v>15050.6</v>
      </c>
      <c r="Q509" s="7">
        <f>Q510</f>
        <v>20000</v>
      </c>
      <c r="R509" s="35">
        <f t="shared" si="109"/>
        <v>35050.6</v>
      </c>
      <c r="S509" s="7">
        <f>S510</f>
        <v>0</v>
      </c>
      <c r="T509" s="35">
        <f t="shared" si="115"/>
        <v>35050.6</v>
      </c>
    </row>
    <row r="510" spans="1:20" ht="37.5" customHeight="1">
      <c r="A510" s="61" t="str">
        <f ca="1">IF(ISERROR(MATCH(E510,Код_КВР,0)),"",INDIRECT(ADDRESS(MATCH(E510,Код_КВР,0)+1,2,,,"КВР")))</f>
        <v>Предоставление субсидий бюджетным, автономным учреждениям и иным некоммерческим организациям</v>
      </c>
      <c r="B510" s="43" t="s">
        <v>533</v>
      </c>
      <c r="C510" s="8" t="s">
        <v>224</v>
      </c>
      <c r="D510" s="1" t="s">
        <v>213</v>
      </c>
      <c r="E510" s="104">
        <v>600</v>
      </c>
      <c r="F510" s="7">
        <f>F511+F513</f>
        <v>5255.6</v>
      </c>
      <c r="G510" s="7">
        <f>G511+G513</f>
        <v>10000</v>
      </c>
      <c r="H510" s="35">
        <f t="shared" si="116"/>
        <v>15255.6</v>
      </c>
      <c r="I510" s="7">
        <f>I511+I513</f>
        <v>-205</v>
      </c>
      <c r="J510" s="35">
        <f t="shared" si="113"/>
        <v>15050.6</v>
      </c>
      <c r="K510" s="7">
        <f>K511+K513</f>
        <v>0</v>
      </c>
      <c r="L510" s="35">
        <f t="shared" si="111"/>
        <v>15050.6</v>
      </c>
      <c r="M510" s="7">
        <f>M511+M513</f>
        <v>0</v>
      </c>
      <c r="N510" s="35">
        <f t="shared" si="112"/>
        <v>15050.6</v>
      </c>
      <c r="O510" s="7">
        <f>O511+O513</f>
        <v>0</v>
      </c>
      <c r="P510" s="35">
        <f t="shared" si="108"/>
        <v>15050.6</v>
      </c>
      <c r="Q510" s="7">
        <f>Q511+Q513</f>
        <v>20000</v>
      </c>
      <c r="R510" s="35">
        <f t="shared" si="109"/>
        <v>35050.6</v>
      </c>
      <c r="S510" s="7">
        <f>S511+S513</f>
        <v>0</v>
      </c>
      <c r="T510" s="35">
        <f t="shared" si="115"/>
        <v>35050.6</v>
      </c>
    </row>
    <row r="511" spans="1:20">
      <c r="A511" s="61" t="str">
        <f ca="1">IF(ISERROR(MATCH(E511,Код_КВР,0)),"",INDIRECT(ADDRESS(MATCH(E511,Код_КВР,0)+1,2,,,"КВР")))</f>
        <v>Субсидии автономным учреждениям</v>
      </c>
      <c r="B511" s="43" t="s">
        <v>533</v>
      </c>
      <c r="C511" s="8" t="s">
        <v>224</v>
      </c>
      <c r="D511" s="1" t="s">
        <v>213</v>
      </c>
      <c r="E511" s="104">
        <v>620</v>
      </c>
      <c r="F511" s="7">
        <f>F512</f>
        <v>5005.6000000000004</v>
      </c>
      <c r="G511" s="7">
        <f>G512</f>
        <v>0</v>
      </c>
      <c r="H511" s="35">
        <f t="shared" si="116"/>
        <v>5005.6000000000004</v>
      </c>
      <c r="I511" s="7">
        <f>I512</f>
        <v>-255</v>
      </c>
      <c r="J511" s="35">
        <f t="shared" si="113"/>
        <v>4750.6000000000004</v>
      </c>
      <c r="K511" s="7">
        <f>K512</f>
        <v>0</v>
      </c>
      <c r="L511" s="35">
        <f t="shared" si="111"/>
        <v>4750.6000000000004</v>
      </c>
      <c r="M511" s="7">
        <f>M512</f>
        <v>0</v>
      </c>
      <c r="N511" s="35">
        <f t="shared" si="112"/>
        <v>4750.6000000000004</v>
      </c>
      <c r="O511" s="7">
        <f>O512</f>
        <v>0</v>
      </c>
      <c r="P511" s="35">
        <f t="shared" si="108"/>
        <v>4750.6000000000004</v>
      </c>
      <c r="Q511" s="7">
        <f>Q512</f>
        <v>0</v>
      </c>
      <c r="R511" s="35">
        <f t="shared" si="109"/>
        <v>4750.6000000000004</v>
      </c>
      <c r="S511" s="7">
        <f>S512</f>
        <v>0</v>
      </c>
      <c r="T511" s="35">
        <f t="shared" si="115"/>
        <v>4750.6000000000004</v>
      </c>
    </row>
    <row r="512" spans="1:20">
      <c r="A512" s="61" t="str">
        <f ca="1">IF(ISERROR(MATCH(E512,Код_КВР,0)),"",INDIRECT(ADDRESS(MATCH(E512,Код_КВР,0)+1,2,,,"КВР")))</f>
        <v>Субсидии автономным учреждениям на иные цели</v>
      </c>
      <c r="B512" s="43" t="s">
        <v>533</v>
      </c>
      <c r="C512" s="8" t="s">
        <v>224</v>
      </c>
      <c r="D512" s="1" t="s">
        <v>213</v>
      </c>
      <c r="E512" s="104">
        <v>622</v>
      </c>
      <c r="F512" s="7">
        <f>прил.6!G1255</f>
        <v>5005.6000000000004</v>
      </c>
      <c r="G512" s="7">
        <f>прил.6!H1255</f>
        <v>0</v>
      </c>
      <c r="H512" s="35">
        <f t="shared" si="116"/>
        <v>5005.6000000000004</v>
      </c>
      <c r="I512" s="7">
        <f>прил.6!J1255</f>
        <v>-255</v>
      </c>
      <c r="J512" s="35">
        <f t="shared" si="113"/>
        <v>4750.6000000000004</v>
      </c>
      <c r="K512" s="7">
        <f>прил.6!L1255</f>
        <v>0</v>
      </c>
      <c r="L512" s="35">
        <f t="shared" si="111"/>
        <v>4750.6000000000004</v>
      </c>
      <c r="M512" s="7">
        <f>прил.6!N1255</f>
        <v>0</v>
      </c>
      <c r="N512" s="35">
        <f t="shared" si="112"/>
        <v>4750.6000000000004</v>
      </c>
      <c r="O512" s="7">
        <f>прил.6!P1255</f>
        <v>0</v>
      </c>
      <c r="P512" s="35">
        <f t="shared" si="108"/>
        <v>4750.6000000000004</v>
      </c>
      <c r="Q512" s="7">
        <f>прил.6!R1255</f>
        <v>0</v>
      </c>
      <c r="R512" s="35">
        <f t="shared" si="109"/>
        <v>4750.6000000000004</v>
      </c>
      <c r="S512" s="7">
        <f>прил.6!T1255</f>
        <v>0</v>
      </c>
      <c r="T512" s="35">
        <f t="shared" si="115"/>
        <v>4750.6000000000004</v>
      </c>
    </row>
    <row r="513" spans="1:20" ht="36" customHeight="1">
      <c r="A513" s="61" t="str">
        <f ca="1">IF(ISERROR(MATCH(E513,Код_КВР,0)),"",INDIRECT(ADDRESS(MATCH(E513,Код_КВР,0)+1,2,,,"КВР")))</f>
        <v>Субсидии некоммерческим организациям (за исключением государственных (муниципальных) учреждений)</v>
      </c>
      <c r="B513" s="43" t="s">
        <v>533</v>
      </c>
      <c r="C513" s="8" t="s">
        <v>224</v>
      </c>
      <c r="D513" s="1" t="s">
        <v>213</v>
      </c>
      <c r="E513" s="104">
        <v>630</v>
      </c>
      <c r="F513" s="7">
        <f>прил.6!G1256</f>
        <v>250</v>
      </c>
      <c r="G513" s="7">
        <f>прил.6!H1256</f>
        <v>10000</v>
      </c>
      <c r="H513" s="35">
        <f t="shared" si="116"/>
        <v>10250</v>
      </c>
      <c r="I513" s="7">
        <f>прил.6!J1256</f>
        <v>50</v>
      </c>
      <c r="J513" s="35">
        <f t="shared" si="113"/>
        <v>10300</v>
      </c>
      <c r="K513" s="7">
        <f>прил.6!L1256</f>
        <v>0</v>
      </c>
      <c r="L513" s="35">
        <f t="shared" si="111"/>
        <v>10300</v>
      </c>
      <c r="M513" s="7">
        <f>прил.6!N1256</f>
        <v>0</v>
      </c>
      <c r="N513" s="35">
        <f t="shared" si="112"/>
        <v>10300</v>
      </c>
      <c r="O513" s="7">
        <f>прил.6!P1256</f>
        <v>0</v>
      </c>
      <c r="P513" s="35">
        <f t="shared" si="108"/>
        <v>10300</v>
      </c>
      <c r="Q513" s="7">
        <f>прил.6!R1256</f>
        <v>20000</v>
      </c>
      <c r="R513" s="35">
        <f t="shared" si="109"/>
        <v>30300</v>
      </c>
      <c r="S513" s="7">
        <f>прил.6!T1256</f>
        <v>0</v>
      </c>
      <c r="T513" s="35">
        <f t="shared" si="115"/>
        <v>30300</v>
      </c>
    </row>
    <row r="514" spans="1:20">
      <c r="A514" s="12" t="s">
        <v>267</v>
      </c>
      <c r="B514" s="43" t="s">
        <v>533</v>
      </c>
      <c r="C514" s="8" t="s">
        <v>224</v>
      </c>
      <c r="D514" s="1" t="s">
        <v>214</v>
      </c>
      <c r="E514" s="104"/>
      <c r="F514" s="7">
        <f t="shared" ref="F514:S516" si="119">F515</f>
        <v>500</v>
      </c>
      <c r="G514" s="7">
        <f t="shared" si="119"/>
        <v>0</v>
      </c>
      <c r="H514" s="35">
        <f t="shared" si="116"/>
        <v>500</v>
      </c>
      <c r="I514" s="7">
        <f t="shared" si="119"/>
        <v>114.9</v>
      </c>
      <c r="J514" s="35">
        <f t="shared" si="113"/>
        <v>614.9</v>
      </c>
      <c r="K514" s="7">
        <f t="shared" si="119"/>
        <v>0</v>
      </c>
      <c r="L514" s="35">
        <f t="shared" si="111"/>
        <v>614.9</v>
      </c>
      <c r="M514" s="7">
        <f t="shared" si="119"/>
        <v>0</v>
      </c>
      <c r="N514" s="35">
        <f t="shared" si="112"/>
        <v>614.9</v>
      </c>
      <c r="O514" s="7">
        <f t="shared" si="119"/>
        <v>0</v>
      </c>
      <c r="P514" s="35">
        <f t="shared" si="108"/>
        <v>614.9</v>
      </c>
      <c r="Q514" s="7">
        <f t="shared" si="119"/>
        <v>0</v>
      </c>
      <c r="R514" s="35">
        <f t="shared" si="109"/>
        <v>614.9</v>
      </c>
      <c r="S514" s="7">
        <f t="shared" si="119"/>
        <v>0</v>
      </c>
      <c r="T514" s="35">
        <f t="shared" si="115"/>
        <v>614.9</v>
      </c>
    </row>
    <row r="515" spans="1:20" ht="33">
      <c r="A515" s="61" t="str">
        <f ca="1">IF(ISERROR(MATCH(E515,Код_КВР,0)),"",INDIRECT(ADDRESS(MATCH(E515,Код_КВР,0)+1,2,,,"КВР")))</f>
        <v>Предоставление субсидий бюджетным, автономным учреждениям и иным некоммерческим организациям</v>
      </c>
      <c r="B515" s="43" t="s">
        <v>533</v>
      </c>
      <c r="C515" s="8" t="s">
        <v>224</v>
      </c>
      <c r="D515" s="1" t="s">
        <v>214</v>
      </c>
      <c r="E515" s="104">
        <v>600</v>
      </c>
      <c r="F515" s="7">
        <f t="shared" si="119"/>
        <v>500</v>
      </c>
      <c r="G515" s="7">
        <f t="shared" si="119"/>
        <v>0</v>
      </c>
      <c r="H515" s="35">
        <f t="shared" si="116"/>
        <v>500</v>
      </c>
      <c r="I515" s="7">
        <f t="shared" si="119"/>
        <v>114.9</v>
      </c>
      <c r="J515" s="35">
        <f t="shared" si="113"/>
        <v>614.9</v>
      </c>
      <c r="K515" s="7">
        <f t="shared" si="119"/>
        <v>0</v>
      </c>
      <c r="L515" s="35">
        <f t="shared" si="111"/>
        <v>614.9</v>
      </c>
      <c r="M515" s="7">
        <f t="shared" si="119"/>
        <v>0</v>
      </c>
      <c r="N515" s="35">
        <f t="shared" si="112"/>
        <v>614.9</v>
      </c>
      <c r="O515" s="7">
        <f t="shared" si="119"/>
        <v>0</v>
      </c>
      <c r="P515" s="35">
        <f t="shared" si="108"/>
        <v>614.9</v>
      </c>
      <c r="Q515" s="7">
        <f t="shared" si="119"/>
        <v>0</v>
      </c>
      <c r="R515" s="35">
        <f t="shared" si="109"/>
        <v>614.9</v>
      </c>
      <c r="S515" s="7">
        <f t="shared" si="119"/>
        <v>0</v>
      </c>
      <c r="T515" s="35">
        <f t="shared" si="115"/>
        <v>614.9</v>
      </c>
    </row>
    <row r="516" spans="1:20">
      <c r="A516" s="61" t="str">
        <f ca="1">IF(ISERROR(MATCH(E516,Код_КВР,0)),"",INDIRECT(ADDRESS(MATCH(E516,Код_КВР,0)+1,2,,,"КВР")))</f>
        <v>Субсидии автономным учреждениям</v>
      </c>
      <c r="B516" s="43" t="s">
        <v>533</v>
      </c>
      <c r="C516" s="8" t="s">
        <v>224</v>
      </c>
      <c r="D516" s="1" t="s">
        <v>214</v>
      </c>
      <c r="E516" s="104">
        <v>620</v>
      </c>
      <c r="F516" s="7">
        <f t="shared" si="119"/>
        <v>500</v>
      </c>
      <c r="G516" s="7">
        <f t="shared" si="119"/>
        <v>0</v>
      </c>
      <c r="H516" s="35">
        <f t="shared" si="116"/>
        <v>500</v>
      </c>
      <c r="I516" s="7">
        <f t="shared" si="119"/>
        <v>114.9</v>
      </c>
      <c r="J516" s="35">
        <f t="shared" si="113"/>
        <v>614.9</v>
      </c>
      <c r="K516" s="7">
        <f t="shared" si="119"/>
        <v>0</v>
      </c>
      <c r="L516" s="35">
        <f t="shared" si="111"/>
        <v>614.9</v>
      </c>
      <c r="M516" s="7">
        <f t="shared" si="119"/>
        <v>0</v>
      </c>
      <c r="N516" s="35">
        <f t="shared" si="112"/>
        <v>614.9</v>
      </c>
      <c r="O516" s="7">
        <f t="shared" si="119"/>
        <v>0</v>
      </c>
      <c r="P516" s="35">
        <f t="shared" si="108"/>
        <v>614.9</v>
      </c>
      <c r="Q516" s="7">
        <f t="shared" si="119"/>
        <v>0</v>
      </c>
      <c r="R516" s="35">
        <f t="shared" si="109"/>
        <v>614.9</v>
      </c>
      <c r="S516" s="7">
        <f t="shared" si="119"/>
        <v>0</v>
      </c>
      <c r="T516" s="35">
        <f t="shared" si="115"/>
        <v>614.9</v>
      </c>
    </row>
    <row r="517" spans="1:20">
      <c r="A517" s="61" t="str">
        <f ca="1">IF(ISERROR(MATCH(E517,Код_КВР,0)),"",INDIRECT(ADDRESS(MATCH(E517,Код_КВР,0)+1,2,,,"КВР")))</f>
        <v>Субсидии автономным учреждениям на иные цели</v>
      </c>
      <c r="B517" s="43" t="s">
        <v>533</v>
      </c>
      <c r="C517" s="8" t="s">
        <v>224</v>
      </c>
      <c r="D517" s="1" t="s">
        <v>214</v>
      </c>
      <c r="E517" s="104">
        <v>622</v>
      </c>
      <c r="F517" s="7">
        <f>прил.6!G1267</f>
        <v>500</v>
      </c>
      <c r="G517" s="7">
        <f>прил.6!H1267</f>
        <v>0</v>
      </c>
      <c r="H517" s="35">
        <f t="shared" si="116"/>
        <v>500</v>
      </c>
      <c r="I517" s="7">
        <f>прил.6!J1267</f>
        <v>114.9</v>
      </c>
      <c r="J517" s="35">
        <f t="shared" si="113"/>
        <v>614.9</v>
      </c>
      <c r="K517" s="7">
        <f>прил.6!L1267</f>
        <v>0</v>
      </c>
      <c r="L517" s="35">
        <f t="shared" si="111"/>
        <v>614.9</v>
      </c>
      <c r="M517" s="7">
        <f>прил.6!N1267</f>
        <v>0</v>
      </c>
      <c r="N517" s="35">
        <f t="shared" si="112"/>
        <v>614.9</v>
      </c>
      <c r="O517" s="7">
        <f>прил.6!P1267</f>
        <v>0</v>
      </c>
      <c r="P517" s="35">
        <f t="shared" si="108"/>
        <v>614.9</v>
      </c>
      <c r="Q517" s="7">
        <f>прил.6!R1267</f>
        <v>0</v>
      </c>
      <c r="R517" s="35">
        <f t="shared" si="109"/>
        <v>614.9</v>
      </c>
      <c r="S517" s="7">
        <f>прил.6!T1267</f>
        <v>0</v>
      </c>
      <c r="T517" s="35">
        <f t="shared" si="115"/>
        <v>614.9</v>
      </c>
    </row>
    <row r="518" spans="1:20" ht="33">
      <c r="A518" s="61" t="str">
        <f ca="1">IF(ISERROR(MATCH(B518,Код_КЦСР,0)),"",INDIRECT(ADDRESS(MATCH(B518,Код_КЦСР,0)+1,2,,,"КЦСР")))</f>
        <v>Муниципальная программа «Развитие архивного дела» на 2013-2018 годы</v>
      </c>
      <c r="B518" s="43" t="s">
        <v>535</v>
      </c>
      <c r="C518" s="8"/>
      <c r="D518" s="1"/>
      <c r="E518" s="104"/>
      <c r="F518" s="7">
        <f>F519+F531</f>
        <v>13813.9</v>
      </c>
      <c r="G518" s="7">
        <f>G519+G531</f>
        <v>0</v>
      </c>
      <c r="H518" s="35">
        <f t="shared" si="116"/>
        <v>13813.9</v>
      </c>
      <c r="I518" s="7">
        <f>I519+I531</f>
        <v>0</v>
      </c>
      <c r="J518" s="35">
        <f t="shared" si="113"/>
        <v>13813.9</v>
      </c>
      <c r="K518" s="7">
        <f>K519+K531</f>
        <v>-46.7</v>
      </c>
      <c r="L518" s="35">
        <f t="shared" si="111"/>
        <v>13767.199999999999</v>
      </c>
      <c r="M518" s="7">
        <f>M519+M531</f>
        <v>0</v>
      </c>
      <c r="N518" s="35">
        <f t="shared" si="112"/>
        <v>13767.199999999999</v>
      </c>
      <c r="O518" s="7">
        <f>O519+O531</f>
        <v>0</v>
      </c>
      <c r="P518" s="35">
        <f t="shared" si="108"/>
        <v>13767.199999999999</v>
      </c>
      <c r="Q518" s="7">
        <f>Q519+Q531</f>
        <v>0</v>
      </c>
      <c r="R518" s="35">
        <f t="shared" si="109"/>
        <v>13767.199999999999</v>
      </c>
      <c r="S518" s="7">
        <f>S519+S531</f>
        <v>0</v>
      </c>
      <c r="T518" s="35">
        <f t="shared" si="115"/>
        <v>13767.199999999999</v>
      </c>
    </row>
    <row r="519" spans="1:20" ht="52.7" customHeight="1">
      <c r="A519" s="61" t="str">
        <f ca="1">IF(ISERROR(MATCH(B519,Код_КЦСР,0)),"",INDIRECT(ADDRESS(MATCH(B519,Код_КЦСР,0)+1,2,,,"КЦСР")))</f>
        <v>Обеспечение сохранности документов Архивного фонда и других архивных документов и предоставление потребителям ретроспективной информации</v>
      </c>
      <c r="B519" s="43" t="s">
        <v>537</v>
      </c>
      <c r="C519" s="8"/>
      <c r="D519" s="1"/>
      <c r="E519" s="104"/>
      <c r="F519" s="7">
        <f>F520</f>
        <v>12741.9</v>
      </c>
      <c r="G519" s="7">
        <f>G520</f>
        <v>0</v>
      </c>
      <c r="H519" s="35">
        <f t="shared" si="116"/>
        <v>12741.9</v>
      </c>
      <c r="I519" s="7">
        <f>I520</f>
        <v>0</v>
      </c>
      <c r="J519" s="35">
        <f t="shared" si="113"/>
        <v>12741.9</v>
      </c>
      <c r="K519" s="7">
        <f>K520</f>
        <v>-46.7</v>
      </c>
      <c r="L519" s="35">
        <f t="shared" si="111"/>
        <v>12695.199999999999</v>
      </c>
      <c r="M519" s="7">
        <f>M520</f>
        <v>0</v>
      </c>
      <c r="N519" s="35">
        <f t="shared" si="112"/>
        <v>12695.199999999999</v>
      </c>
      <c r="O519" s="7">
        <f>O520</f>
        <v>0</v>
      </c>
      <c r="P519" s="35">
        <f t="shared" si="108"/>
        <v>12695.199999999999</v>
      </c>
      <c r="Q519" s="7">
        <f>Q520</f>
        <v>0</v>
      </c>
      <c r="R519" s="35">
        <f t="shared" si="109"/>
        <v>12695.199999999999</v>
      </c>
      <c r="S519" s="7">
        <f>S520</f>
        <v>0</v>
      </c>
      <c r="T519" s="35">
        <f t="shared" si="115"/>
        <v>12695.199999999999</v>
      </c>
    </row>
    <row r="520" spans="1:20">
      <c r="A520" s="61" t="str">
        <f ca="1">IF(ISERROR(MATCH(C520,Код_Раздел,0)),"",INDIRECT(ADDRESS(MATCH(C520,Код_Раздел,0)+1,2,,,"Раздел")))</f>
        <v>Общегосударственные  вопросы</v>
      </c>
      <c r="B520" s="43" t="s">
        <v>537</v>
      </c>
      <c r="C520" s="8" t="s">
        <v>213</v>
      </c>
      <c r="D520" s="1"/>
      <c r="E520" s="104"/>
      <c r="F520" s="7">
        <f>F521</f>
        <v>12741.9</v>
      </c>
      <c r="G520" s="7">
        <f>G521</f>
        <v>0</v>
      </c>
      <c r="H520" s="35">
        <f t="shared" si="116"/>
        <v>12741.9</v>
      </c>
      <c r="I520" s="7">
        <f>I521</f>
        <v>0</v>
      </c>
      <c r="J520" s="35">
        <f t="shared" si="113"/>
        <v>12741.9</v>
      </c>
      <c r="K520" s="7">
        <f>K521</f>
        <v>-46.7</v>
      </c>
      <c r="L520" s="35">
        <f t="shared" si="111"/>
        <v>12695.199999999999</v>
      </c>
      <c r="M520" s="7">
        <f>M521</f>
        <v>0</v>
      </c>
      <c r="N520" s="35">
        <f t="shared" si="112"/>
        <v>12695.199999999999</v>
      </c>
      <c r="O520" s="7">
        <f>O521</f>
        <v>0</v>
      </c>
      <c r="P520" s="35">
        <f t="shared" si="108"/>
        <v>12695.199999999999</v>
      </c>
      <c r="Q520" s="7">
        <f>Q521</f>
        <v>0</v>
      </c>
      <c r="R520" s="35">
        <f t="shared" si="109"/>
        <v>12695.199999999999</v>
      </c>
      <c r="S520" s="7">
        <f>S521</f>
        <v>0</v>
      </c>
      <c r="T520" s="35">
        <f t="shared" si="115"/>
        <v>12695.199999999999</v>
      </c>
    </row>
    <row r="521" spans="1:20">
      <c r="A521" s="12" t="s">
        <v>237</v>
      </c>
      <c r="B521" s="43" t="s">
        <v>537</v>
      </c>
      <c r="C521" s="8" t="s">
        <v>213</v>
      </c>
      <c r="D521" s="1" t="s">
        <v>190</v>
      </c>
      <c r="E521" s="104"/>
      <c r="F521" s="7">
        <f>F522+F524+F527</f>
        <v>12741.9</v>
      </c>
      <c r="G521" s="7">
        <f>G522+G524+G527</f>
        <v>0</v>
      </c>
      <c r="H521" s="35">
        <f t="shared" si="116"/>
        <v>12741.9</v>
      </c>
      <c r="I521" s="7">
        <f>I522+I524+I527</f>
        <v>0</v>
      </c>
      <c r="J521" s="35">
        <f t="shared" si="113"/>
        <v>12741.9</v>
      </c>
      <c r="K521" s="7">
        <f>K522+K524+K527</f>
        <v>-46.7</v>
      </c>
      <c r="L521" s="35">
        <f t="shared" si="111"/>
        <v>12695.199999999999</v>
      </c>
      <c r="M521" s="7">
        <f>M522+M524+M527</f>
        <v>0</v>
      </c>
      <c r="N521" s="35">
        <f t="shared" si="112"/>
        <v>12695.199999999999</v>
      </c>
      <c r="O521" s="7">
        <f>O522+O524+O527</f>
        <v>0</v>
      </c>
      <c r="P521" s="35">
        <f t="shared" si="108"/>
        <v>12695.199999999999</v>
      </c>
      <c r="Q521" s="7">
        <f>Q522+Q524+Q527</f>
        <v>0</v>
      </c>
      <c r="R521" s="35">
        <f t="shared" si="109"/>
        <v>12695.199999999999</v>
      </c>
      <c r="S521" s="7">
        <f>S522+S524+S527</f>
        <v>0</v>
      </c>
      <c r="T521" s="35">
        <f t="shared" si="115"/>
        <v>12695.199999999999</v>
      </c>
    </row>
    <row r="522" spans="1:20" ht="39.75" customHeight="1">
      <c r="A522" s="61" t="str">
        <f t="shared" ref="A522:A528" ca="1" si="120">IF(ISERROR(MATCH(E522,Код_КВР,0)),"",INDIRECT(ADDRESS(MATCH(E522,Код_КВР,0)+1,2,,,"КВР")))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22" s="43" t="s">
        <v>537</v>
      </c>
      <c r="C522" s="8" t="s">
        <v>213</v>
      </c>
      <c r="D522" s="1" t="s">
        <v>190</v>
      </c>
      <c r="E522" s="104">
        <v>100</v>
      </c>
      <c r="F522" s="7">
        <f>F523</f>
        <v>6387</v>
      </c>
      <c r="G522" s="7">
        <f>G523</f>
        <v>0</v>
      </c>
      <c r="H522" s="35">
        <f t="shared" si="116"/>
        <v>6387</v>
      </c>
      <c r="I522" s="7">
        <f>I523</f>
        <v>0</v>
      </c>
      <c r="J522" s="35">
        <f t="shared" si="113"/>
        <v>6387</v>
      </c>
      <c r="K522" s="7">
        <f>K523</f>
        <v>0</v>
      </c>
      <c r="L522" s="35">
        <f t="shared" si="111"/>
        <v>6387</v>
      </c>
      <c r="M522" s="7">
        <f>M523</f>
        <v>0</v>
      </c>
      <c r="N522" s="35">
        <f t="shared" si="112"/>
        <v>6387</v>
      </c>
      <c r="O522" s="7">
        <f>O523</f>
        <v>0</v>
      </c>
      <c r="P522" s="35">
        <f t="shared" si="108"/>
        <v>6387</v>
      </c>
      <c r="Q522" s="7">
        <f>Q523</f>
        <v>13</v>
      </c>
      <c r="R522" s="35">
        <f t="shared" si="109"/>
        <v>6400</v>
      </c>
      <c r="S522" s="7">
        <f>S523</f>
        <v>0</v>
      </c>
      <c r="T522" s="35">
        <f t="shared" si="115"/>
        <v>6400</v>
      </c>
    </row>
    <row r="523" spans="1:20">
      <c r="A523" s="61" t="str">
        <f t="shared" ca="1" si="120"/>
        <v>Расходы на выплаты персоналу казенных учреждений</v>
      </c>
      <c r="B523" s="43" t="s">
        <v>537</v>
      </c>
      <c r="C523" s="8" t="s">
        <v>213</v>
      </c>
      <c r="D523" s="1" t="s">
        <v>190</v>
      </c>
      <c r="E523" s="104">
        <v>110</v>
      </c>
      <c r="F523" s="7">
        <f>прил.6!G76</f>
        <v>6387</v>
      </c>
      <c r="G523" s="7">
        <f>прил.6!H76</f>
        <v>0</v>
      </c>
      <c r="H523" s="35">
        <f t="shared" si="116"/>
        <v>6387</v>
      </c>
      <c r="I523" s="7">
        <f>прил.6!J76</f>
        <v>0</v>
      </c>
      <c r="J523" s="35">
        <f t="shared" si="113"/>
        <v>6387</v>
      </c>
      <c r="K523" s="7">
        <f>прил.6!L76</f>
        <v>0</v>
      </c>
      <c r="L523" s="35">
        <f t="shared" si="111"/>
        <v>6387</v>
      </c>
      <c r="M523" s="7">
        <f>прил.6!N76</f>
        <v>0</v>
      </c>
      <c r="N523" s="35">
        <f t="shared" si="112"/>
        <v>6387</v>
      </c>
      <c r="O523" s="7">
        <f>прил.6!P76</f>
        <v>0</v>
      </c>
      <c r="P523" s="35">
        <f t="shared" si="108"/>
        <v>6387</v>
      </c>
      <c r="Q523" s="7">
        <f>прил.6!R76</f>
        <v>13</v>
      </c>
      <c r="R523" s="35">
        <f t="shared" si="109"/>
        <v>6400</v>
      </c>
      <c r="S523" s="7">
        <f>прил.6!T76</f>
        <v>0</v>
      </c>
      <c r="T523" s="35">
        <f t="shared" si="115"/>
        <v>6400</v>
      </c>
    </row>
    <row r="524" spans="1:20">
      <c r="A524" s="61" t="str">
        <f t="shared" ca="1" si="120"/>
        <v>Закупка товаров, работ и услуг для муниципальных нужд</v>
      </c>
      <c r="B524" s="43" t="s">
        <v>537</v>
      </c>
      <c r="C524" s="8" t="s">
        <v>213</v>
      </c>
      <c r="D524" s="1" t="s">
        <v>190</v>
      </c>
      <c r="E524" s="104">
        <v>200</v>
      </c>
      <c r="F524" s="7">
        <f>F525</f>
        <v>4051.8</v>
      </c>
      <c r="G524" s="7">
        <f>G525</f>
        <v>0</v>
      </c>
      <c r="H524" s="35">
        <f t="shared" si="116"/>
        <v>4051.8</v>
      </c>
      <c r="I524" s="7">
        <f>I525</f>
        <v>-2.6</v>
      </c>
      <c r="J524" s="35">
        <f t="shared" si="113"/>
        <v>4049.2000000000003</v>
      </c>
      <c r="K524" s="7">
        <f>K525</f>
        <v>-46.7</v>
      </c>
      <c r="L524" s="35">
        <f t="shared" si="111"/>
        <v>4002.5000000000005</v>
      </c>
      <c r="M524" s="7">
        <f>M525</f>
        <v>0</v>
      </c>
      <c r="N524" s="35">
        <f t="shared" si="112"/>
        <v>4002.5000000000005</v>
      </c>
      <c r="O524" s="7">
        <f>O525</f>
        <v>0</v>
      </c>
      <c r="P524" s="35">
        <f t="shared" si="108"/>
        <v>4002.5000000000005</v>
      </c>
      <c r="Q524" s="7">
        <f>Q525</f>
        <v>-13</v>
      </c>
      <c r="R524" s="35">
        <f t="shared" si="109"/>
        <v>3989.5000000000005</v>
      </c>
      <c r="S524" s="7">
        <f>S525</f>
        <v>-20</v>
      </c>
      <c r="T524" s="35">
        <f t="shared" si="115"/>
        <v>3969.5000000000005</v>
      </c>
    </row>
    <row r="525" spans="1:20" ht="33">
      <c r="A525" s="61" t="str">
        <f t="shared" ca="1" si="120"/>
        <v>Иные закупки товаров, работ и услуг для обеспечения муниципальных нужд</v>
      </c>
      <c r="B525" s="43" t="s">
        <v>537</v>
      </c>
      <c r="C525" s="8" t="s">
        <v>213</v>
      </c>
      <c r="D525" s="1" t="s">
        <v>190</v>
      </c>
      <c r="E525" s="104">
        <v>240</v>
      </c>
      <c r="F525" s="7">
        <f>F526</f>
        <v>4051.8</v>
      </c>
      <c r="G525" s="7">
        <f>G526</f>
        <v>0</v>
      </c>
      <c r="H525" s="35">
        <f t="shared" si="116"/>
        <v>4051.8</v>
      </c>
      <c r="I525" s="7">
        <f>I526</f>
        <v>-2.6</v>
      </c>
      <c r="J525" s="35">
        <f t="shared" si="113"/>
        <v>4049.2000000000003</v>
      </c>
      <c r="K525" s="7">
        <f>K526</f>
        <v>-46.7</v>
      </c>
      <c r="L525" s="35">
        <f t="shared" si="111"/>
        <v>4002.5000000000005</v>
      </c>
      <c r="M525" s="7">
        <f>M526</f>
        <v>0</v>
      </c>
      <c r="N525" s="35">
        <f t="shared" si="112"/>
        <v>4002.5000000000005</v>
      </c>
      <c r="O525" s="7">
        <f>O526</f>
        <v>0</v>
      </c>
      <c r="P525" s="35">
        <f t="shared" si="108"/>
        <v>4002.5000000000005</v>
      </c>
      <c r="Q525" s="7">
        <f>Q526</f>
        <v>-13</v>
      </c>
      <c r="R525" s="35">
        <f t="shared" si="109"/>
        <v>3989.5000000000005</v>
      </c>
      <c r="S525" s="7">
        <f>S526</f>
        <v>-20</v>
      </c>
      <c r="T525" s="35">
        <f t="shared" si="115"/>
        <v>3969.5000000000005</v>
      </c>
    </row>
    <row r="526" spans="1:20" ht="33">
      <c r="A526" s="61" t="str">
        <f t="shared" ca="1" si="120"/>
        <v xml:space="preserve">Прочая закупка товаров, работ и услуг для обеспечения муниципальных нужд         </v>
      </c>
      <c r="B526" s="43" t="s">
        <v>537</v>
      </c>
      <c r="C526" s="8" t="s">
        <v>213</v>
      </c>
      <c r="D526" s="1" t="s">
        <v>190</v>
      </c>
      <c r="E526" s="104">
        <v>244</v>
      </c>
      <c r="F526" s="7">
        <f>прил.6!G79</f>
        <v>4051.8</v>
      </c>
      <c r="G526" s="7">
        <f>прил.6!H79</f>
        <v>0</v>
      </c>
      <c r="H526" s="35">
        <f t="shared" si="116"/>
        <v>4051.8</v>
      </c>
      <c r="I526" s="7">
        <f>прил.6!J79</f>
        <v>-2.6</v>
      </c>
      <c r="J526" s="35">
        <f t="shared" si="113"/>
        <v>4049.2000000000003</v>
      </c>
      <c r="K526" s="7">
        <f>прил.6!L79</f>
        <v>-46.7</v>
      </c>
      <c r="L526" s="35">
        <f t="shared" si="111"/>
        <v>4002.5000000000005</v>
      </c>
      <c r="M526" s="7">
        <f>прил.6!N79</f>
        <v>0</v>
      </c>
      <c r="N526" s="35">
        <f t="shared" si="112"/>
        <v>4002.5000000000005</v>
      </c>
      <c r="O526" s="7">
        <f>прил.6!P79</f>
        <v>0</v>
      </c>
      <c r="P526" s="35">
        <f t="shared" ref="P526:P594" si="121">N526+O526</f>
        <v>4002.5000000000005</v>
      </c>
      <c r="Q526" s="7">
        <f>прил.6!R79</f>
        <v>-13</v>
      </c>
      <c r="R526" s="35">
        <f t="shared" ref="R526:R594" si="122">P526+Q526</f>
        <v>3989.5000000000005</v>
      </c>
      <c r="S526" s="7">
        <f>прил.6!T79</f>
        <v>-20</v>
      </c>
      <c r="T526" s="35">
        <f t="shared" si="115"/>
        <v>3969.5000000000005</v>
      </c>
    </row>
    <row r="527" spans="1:20">
      <c r="A527" s="61" t="str">
        <f t="shared" ca="1" si="120"/>
        <v>Иные бюджетные ассигнования</v>
      </c>
      <c r="B527" s="43" t="s">
        <v>537</v>
      </c>
      <c r="C527" s="8" t="s">
        <v>213</v>
      </c>
      <c r="D527" s="1" t="s">
        <v>190</v>
      </c>
      <c r="E527" s="104">
        <v>800</v>
      </c>
      <c r="F527" s="7">
        <f>F528</f>
        <v>2303.1</v>
      </c>
      <c r="G527" s="7">
        <f>G528</f>
        <v>0</v>
      </c>
      <c r="H527" s="35">
        <f t="shared" si="116"/>
        <v>2303.1</v>
      </c>
      <c r="I527" s="7">
        <f>I528</f>
        <v>2.6</v>
      </c>
      <c r="J527" s="35">
        <f t="shared" si="113"/>
        <v>2305.6999999999998</v>
      </c>
      <c r="K527" s="7">
        <f>K528</f>
        <v>0</v>
      </c>
      <c r="L527" s="35">
        <f t="shared" si="111"/>
        <v>2305.6999999999998</v>
      </c>
      <c r="M527" s="7">
        <f>M528</f>
        <v>0</v>
      </c>
      <c r="N527" s="35">
        <f t="shared" si="112"/>
        <v>2305.6999999999998</v>
      </c>
      <c r="O527" s="7">
        <f>O528</f>
        <v>0</v>
      </c>
      <c r="P527" s="35">
        <f t="shared" si="121"/>
        <v>2305.6999999999998</v>
      </c>
      <c r="Q527" s="7">
        <f>Q528</f>
        <v>0</v>
      </c>
      <c r="R527" s="35">
        <f t="shared" si="122"/>
        <v>2305.6999999999998</v>
      </c>
      <c r="S527" s="7">
        <f>S528</f>
        <v>20</v>
      </c>
      <c r="T527" s="35">
        <f t="shared" si="115"/>
        <v>2325.6999999999998</v>
      </c>
    </row>
    <row r="528" spans="1:20">
      <c r="A528" s="61" t="str">
        <f t="shared" ca="1" si="120"/>
        <v>Уплата налогов, сборов и иных платежей</v>
      </c>
      <c r="B528" s="43" t="s">
        <v>537</v>
      </c>
      <c r="C528" s="8" t="s">
        <v>213</v>
      </c>
      <c r="D528" s="1" t="s">
        <v>190</v>
      </c>
      <c r="E528" s="104">
        <v>850</v>
      </c>
      <c r="F528" s="7">
        <f>F529</f>
        <v>2303.1</v>
      </c>
      <c r="G528" s="7">
        <f>G529</f>
        <v>0</v>
      </c>
      <c r="H528" s="35">
        <f t="shared" si="116"/>
        <v>2303.1</v>
      </c>
      <c r="I528" s="7">
        <f>I529+I530</f>
        <v>2.6</v>
      </c>
      <c r="J528" s="35">
        <f t="shared" si="113"/>
        <v>2305.6999999999998</v>
      </c>
      <c r="K528" s="7">
        <f>K529+K530</f>
        <v>0</v>
      </c>
      <c r="L528" s="35">
        <f t="shared" si="111"/>
        <v>2305.6999999999998</v>
      </c>
      <c r="M528" s="7">
        <f>M529+M530</f>
        <v>0</v>
      </c>
      <c r="N528" s="35">
        <f t="shared" si="112"/>
        <v>2305.6999999999998</v>
      </c>
      <c r="O528" s="7">
        <f>O529+O530</f>
        <v>0</v>
      </c>
      <c r="P528" s="35">
        <f t="shared" si="121"/>
        <v>2305.6999999999998</v>
      </c>
      <c r="Q528" s="7">
        <f>Q529+Q530</f>
        <v>0</v>
      </c>
      <c r="R528" s="35">
        <f t="shared" si="122"/>
        <v>2305.6999999999998</v>
      </c>
      <c r="S528" s="7">
        <f>S529+S530</f>
        <v>20</v>
      </c>
      <c r="T528" s="35">
        <f t="shared" si="115"/>
        <v>2325.6999999999998</v>
      </c>
    </row>
    <row r="529" spans="1:20">
      <c r="A529" s="61" t="str">
        <f ca="1">IF(ISERROR(MATCH(E529,Код_КВР,0)),"",INDIRECT(ADDRESS(MATCH(E529,Код_КВР,0)+1,2,,,"КВР")))</f>
        <v>Уплата налога на имущество организаций и земельного налога</v>
      </c>
      <c r="B529" s="43" t="s">
        <v>537</v>
      </c>
      <c r="C529" s="8" t="s">
        <v>213</v>
      </c>
      <c r="D529" s="1" t="s">
        <v>190</v>
      </c>
      <c r="E529" s="104">
        <v>851</v>
      </c>
      <c r="F529" s="7">
        <f>прил.6!G82</f>
        <v>2303.1</v>
      </c>
      <c r="G529" s="7">
        <f>прил.6!H82</f>
        <v>0</v>
      </c>
      <c r="H529" s="35">
        <f t="shared" si="116"/>
        <v>2303.1</v>
      </c>
      <c r="I529" s="7">
        <f>прил.6!J82</f>
        <v>0</v>
      </c>
      <c r="J529" s="35">
        <f t="shared" si="113"/>
        <v>2303.1</v>
      </c>
      <c r="K529" s="7">
        <f>прил.6!L82</f>
        <v>0</v>
      </c>
      <c r="L529" s="35">
        <f t="shared" si="111"/>
        <v>2303.1</v>
      </c>
      <c r="M529" s="7">
        <f>прил.6!N82</f>
        <v>0</v>
      </c>
      <c r="N529" s="35">
        <f t="shared" si="112"/>
        <v>2303.1</v>
      </c>
      <c r="O529" s="7">
        <f>прил.6!P82</f>
        <v>0</v>
      </c>
      <c r="P529" s="35">
        <f t="shared" si="121"/>
        <v>2303.1</v>
      </c>
      <c r="Q529" s="7">
        <f>прил.6!R82</f>
        <v>0</v>
      </c>
      <c r="R529" s="35">
        <f t="shared" si="122"/>
        <v>2303.1</v>
      </c>
      <c r="S529" s="7">
        <f>прил.6!T82</f>
        <v>0</v>
      </c>
      <c r="T529" s="35">
        <f t="shared" si="115"/>
        <v>2303.1</v>
      </c>
    </row>
    <row r="530" spans="1:20">
      <c r="A530" s="61" t="str">
        <f ca="1">IF(ISERROR(MATCH(E530,Код_КВР,0)),"",INDIRECT(ADDRESS(MATCH(E530,Код_КВР,0)+1,2,,,"КВР")))</f>
        <v>Уплата прочих налогов, сборов и иных платежей</v>
      </c>
      <c r="B530" s="43" t="s">
        <v>537</v>
      </c>
      <c r="C530" s="8" t="s">
        <v>213</v>
      </c>
      <c r="D530" s="1" t="s">
        <v>190</v>
      </c>
      <c r="E530" s="150">
        <v>852</v>
      </c>
      <c r="F530" s="7"/>
      <c r="G530" s="7"/>
      <c r="H530" s="35"/>
      <c r="I530" s="7">
        <f>прил.6!J83</f>
        <v>2.6</v>
      </c>
      <c r="J530" s="35">
        <f t="shared" si="113"/>
        <v>2.6</v>
      </c>
      <c r="K530" s="7">
        <f>прил.6!L83</f>
        <v>0</v>
      </c>
      <c r="L530" s="35">
        <f t="shared" si="111"/>
        <v>2.6</v>
      </c>
      <c r="M530" s="7">
        <f>прил.6!N83</f>
        <v>0</v>
      </c>
      <c r="N530" s="35">
        <f t="shared" si="112"/>
        <v>2.6</v>
      </c>
      <c r="O530" s="7">
        <f>прил.6!P83</f>
        <v>0</v>
      </c>
      <c r="P530" s="35">
        <f t="shared" si="121"/>
        <v>2.6</v>
      </c>
      <c r="Q530" s="7">
        <f>прил.6!R83</f>
        <v>0</v>
      </c>
      <c r="R530" s="35">
        <f>P530+Q530</f>
        <v>2.6</v>
      </c>
      <c r="S530" s="7">
        <f>прил.6!T83</f>
        <v>20</v>
      </c>
      <c r="T530" s="35">
        <f>R530+S530</f>
        <v>22.6</v>
      </c>
    </row>
    <row r="531" spans="1:20" ht="105" customHeight="1">
      <c r="A531" s="61" t="str">
        <f ca="1">IF(ISERROR(MATCH(B531,Код_КЦСР,0)),"",INDIRECT(ADDRESS(MATCH(B531,Код_КЦСР,0)+1,2,,,"КЦСР")))</f>
        <v>Осуществление отдельных государственных полномочий в соответствии с законом области от 28 апреля 2006 года № 1443-ОЗ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архивного дела» за счет субвенций из областного бюджета</v>
      </c>
      <c r="B531" s="104" t="s">
        <v>384</v>
      </c>
      <c r="C531" s="8"/>
      <c r="D531" s="1"/>
      <c r="E531" s="104"/>
      <c r="F531" s="7">
        <f>F532</f>
        <v>1072</v>
      </c>
      <c r="G531" s="7">
        <f>G532</f>
        <v>0</v>
      </c>
      <c r="H531" s="35">
        <f t="shared" si="116"/>
        <v>1072</v>
      </c>
      <c r="I531" s="7">
        <f>I532</f>
        <v>0</v>
      </c>
      <c r="J531" s="35">
        <f t="shared" si="113"/>
        <v>1072</v>
      </c>
      <c r="K531" s="7">
        <f>K532</f>
        <v>0</v>
      </c>
      <c r="L531" s="35">
        <f t="shared" si="111"/>
        <v>1072</v>
      </c>
      <c r="M531" s="7">
        <f>M532</f>
        <v>0</v>
      </c>
      <c r="N531" s="35">
        <f t="shared" si="112"/>
        <v>1072</v>
      </c>
      <c r="O531" s="7">
        <f>O532</f>
        <v>0</v>
      </c>
      <c r="P531" s="35">
        <f t="shared" si="121"/>
        <v>1072</v>
      </c>
      <c r="Q531" s="7">
        <f>Q532</f>
        <v>0</v>
      </c>
      <c r="R531" s="35">
        <f t="shared" si="122"/>
        <v>1072</v>
      </c>
      <c r="S531" s="7">
        <f>S532</f>
        <v>0</v>
      </c>
      <c r="T531" s="35">
        <f t="shared" si="115"/>
        <v>1072</v>
      </c>
    </row>
    <row r="532" spans="1:20">
      <c r="A532" s="61" t="str">
        <f ca="1">IF(ISERROR(MATCH(C532,Код_Раздел,0)),"",INDIRECT(ADDRESS(MATCH(C532,Код_Раздел,0)+1,2,,,"Раздел")))</f>
        <v>Общегосударственные  вопросы</v>
      </c>
      <c r="B532" s="104" t="s">
        <v>384</v>
      </c>
      <c r="C532" s="8" t="s">
        <v>213</v>
      </c>
      <c r="D532" s="1"/>
      <c r="E532" s="104"/>
      <c r="F532" s="7">
        <f>F533</f>
        <v>1072</v>
      </c>
      <c r="G532" s="7">
        <f>G533</f>
        <v>0</v>
      </c>
      <c r="H532" s="35">
        <f t="shared" si="116"/>
        <v>1072</v>
      </c>
      <c r="I532" s="7">
        <f>I533</f>
        <v>0</v>
      </c>
      <c r="J532" s="35">
        <f t="shared" si="113"/>
        <v>1072</v>
      </c>
      <c r="K532" s="7">
        <f>K533</f>
        <v>0</v>
      </c>
      <c r="L532" s="35">
        <f t="shared" si="111"/>
        <v>1072</v>
      </c>
      <c r="M532" s="7">
        <f>M533</f>
        <v>0</v>
      </c>
      <c r="N532" s="35">
        <f t="shared" si="112"/>
        <v>1072</v>
      </c>
      <c r="O532" s="7">
        <f>O533</f>
        <v>0</v>
      </c>
      <c r="P532" s="35">
        <f t="shared" si="121"/>
        <v>1072</v>
      </c>
      <c r="Q532" s="7">
        <f>Q533</f>
        <v>0</v>
      </c>
      <c r="R532" s="35">
        <f t="shared" si="122"/>
        <v>1072</v>
      </c>
      <c r="S532" s="7">
        <f>S533</f>
        <v>0</v>
      </c>
      <c r="T532" s="35">
        <f t="shared" si="115"/>
        <v>1072</v>
      </c>
    </row>
    <row r="533" spans="1:20" ht="18.75" customHeight="1">
      <c r="A533" s="12" t="s">
        <v>237</v>
      </c>
      <c r="B533" s="104" t="s">
        <v>384</v>
      </c>
      <c r="C533" s="8" t="s">
        <v>213</v>
      </c>
      <c r="D533" s="1" t="s">
        <v>190</v>
      </c>
      <c r="E533" s="104"/>
      <c r="F533" s="7">
        <f>F534+F536</f>
        <v>1072</v>
      </c>
      <c r="G533" s="7">
        <f>G534+G536</f>
        <v>0</v>
      </c>
      <c r="H533" s="35">
        <f t="shared" si="116"/>
        <v>1072</v>
      </c>
      <c r="I533" s="7">
        <f>I534+I536</f>
        <v>0</v>
      </c>
      <c r="J533" s="35">
        <f t="shared" si="113"/>
        <v>1072</v>
      </c>
      <c r="K533" s="7">
        <f>K534+K536</f>
        <v>0</v>
      </c>
      <c r="L533" s="35">
        <f t="shared" si="111"/>
        <v>1072</v>
      </c>
      <c r="M533" s="7">
        <f>M534+M536</f>
        <v>0</v>
      </c>
      <c r="N533" s="35">
        <f t="shared" si="112"/>
        <v>1072</v>
      </c>
      <c r="O533" s="7">
        <f>O534+O536</f>
        <v>0</v>
      </c>
      <c r="P533" s="35">
        <f t="shared" si="121"/>
        <v>1072</v>
      </c>
      <c r="Q533" s="7">
        <f>Q534+Q536</f>
        <v>0</v>
      </c>
      <c r="R533" s="35">
        <f t="shared" si="122"/>
        <v>1072</v>
      </c>
      <c r="S533" s="7">
        <f>S534+S536</f>
        <v>0</v>
      </c>
      <c r="T533" s="35">
        <f t="shared" si="115"/>
        <v>1072</v>
      </c>
    </row>
    <row r="534" spans="1:20" ht="36" customHeight="1">
      <c r="A534" s="61" t="str">
        <f ca="1">IF(ISERROR(MATCH(E534,Код_КВР,0)),"",INDIRECT(ADDRESS(MATCH(E534,Код_КВР,0)+1,2,,,"КВР")))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34" s="104" t="s">
        <v>384</v>
      </c>
      <c r="C534" s="8" t="s">
        <v>213</v>
      </c>
      <c r="D534" s="1" t="s">
        <v>190</v>
      </c>
      <c r="E534" s="104">
        <v>100</v>
      </c>
      <c r="F534" s="7">
        <f>F535</f>
        <v>305.2</v>
      </c>
      <c r="G534" s="7">
        <f>G535</f>
        <v>0</v>
      </c>
      <c r="H534" s="35">
        <f t="shared" si="116"/>
        <v>305.2</v>
      </c>
      <c r="I534" s="7">
        <f>I535</f>
        <v>0</v>
      </c>
      <c r="J534" s="35">
        <f t="shared" si="113"/>
        <v>305.2</v>
      </c>
      <c r="K534" s="7">
        <f>K535</f>
        <v>0</v>
      </c>
      <c r="L534" s="35">
        <f t="shared" ref="L534:L602" si="123">J534+K534</f>
        <v>305.2</v>
      </c>
      <c r="M534" s="7">
        <f>M535</f>
        <v>0</v>
      </c>
      <c r="N534" s="35">
        <f t="shared" ref="N534:N602" si="124">L534+M534</f>
        <v>305.2</v>
      </c>
      <c r="O534" s="7">
        <f>O535</f>
        <v>0</v>
      </c>
      <c r="P534" s="35">
        <f t="shared" si="121"/>
        <v>305.2</v>
      </c>
      <c r="Q534" s="7">
        <f>Q535</f>
        <v>0</v>
      </c>
      <c r="R534" s="35">
        <f t="shared" si="122"/>
        <v>305.2</v>
      </c>
      <c r="S534" s="7">
        <f>S535</f>
        <v>0</v>
      </c>
      <c r="T534" s="35">
        <f t="shared" si="115"/>
        <v>305.2</v>
      </c>
    </row>
    <row r="535" spans="1:20">
      <c r="A535" s="61" t="str">
        <f ca="1">IF(ISERROR(MATCH(E535,Код_КВР,0)),"",INDIRECT(ADDRESS(MATCH(E535,Код_КВР,0)+1,2,,,"КВР")))</f>
        <v>Расходы на выплаты персоналу казенных учреждений</v>
      </c>
      <c r="B535" s="104" t="s">
        <v>384</v>
      </c>
      <c r="C535" s="8" t="s">
        <v>213</v>
      </c>
      <c r="D535" s="1" t="s">
        <v>190</v>
      </c>
      <c r="E535" s="104">
        <v>110</v>
      </c>
      <c r="F535" s="7">
        <f>прил.6!G86</f>
        <v>305.2</v>
      </c>
      <c r="G535" s="7">
        <f>прил.6!H86</f>
        <v>0</v>
      </c>
      <c r="H535" s="35">
        <f t="shared" si="116"/>
        <v>305.2</v>
      </c>
      <c r="I535" s="7">
        <f>прил.6!J86</f>
        <v>0</v>
      </c>
      <c r="J535" s="35">
        <f t="shared" si="113"/>
        <v>305.2</v>
      </c>
      <c r="K535" s="7">
        <f>прил.6!L86</f>
        <v>0</v>
      </c>
      <c r="L535" s="35">
        <f t="shared" si="123"/>
        <v>305.2</v>
      </c>
      <c r="M535" s="7">
        <f>прил.6!N86</f>
        <v>0</v>
      </c>
      <c r="N535" s="35">
        <f t="shared" si="124"/>
        <v>305.2</v>
      </c>
      <c r="O535" s="7">
        <f>прил.6!P86</f>
        <v>0</v>
      </c>
      <c r="P535" s="35">
        <f t="shared" si="121"/>
        <v>305.2</v>
      </c>
      <c r="Q535" s="7">
        <f>прил.6!R86</f>
        <v>0</v>
      </c>
      <c r="R535" s="35">
        <f t="shared" si="122"/>
        <v>305.2</v>
      </c>
      <c r="S535" s="7">
        <f>прил.6!T86</f>
        <v>0</v>
      </c>
      <c r="T535" s="35">
        <f t="shared" si="115"/>
        <v>305.2</v>
      </c>
    </row>
    <row r="536" spans="1:20">
      <c r="A536" s="61" t="str">
        <f ca="1">IF(ISERROR(MATCH(E536,Код_КВР,0)),"",INDIRECT(ADDRESS(MATCH(E536,Код_КВР,0)+1,2,,,"КВР")))</f>
        <v>Закупка товаров, работ и услуг для муниципальных нужд</v>
      </c>
      <c r="B536" s="104" t="s">
        <v>384</v>
      </c>
      <c r="C536" s="8" t="s">
        <v>213</v>
      </c>
      <c r="D536" s="1" t="s">
        <v>190</v>
      </c>
      <c r="E536" s="104">
        <v>200</v>
      </c>
      <c r="F536" s="7">
        <f>F537</f>
        <v>766.8</v>
      </c>
      <c r="G536" s="7">
        <f>G537</f>
        <v>0</v>
      </c>
      <c r="H536" s="35">
        <f t="shared" si="116"/>
        <v>766.8</v>
      </c>
      <c r="I536" s="7">
        <f>I537</f>
        <v>0</v>
      </c>
      <c r="J536" s="35">
        <f t="shared" si="113"/>
        <v>766.8</v>
      </c>
      <c r="K536" s="7">
        <f>K537</f>
        <v>0</v>
      </c>
      <c r="L536" s="35">
        <f t="shared" si="123"/>
        <v>766.8</v>
      </c>
      <c r="M536" s="7">
        <f>M537</f>
        <v>0</v>
      </c>
      <c r="N536" s="35">
        <f t="shared" si="124"/>
        <v>766.8</v>
      </c>
      <c r="O536" s="7">
        <f>O537</f>
        <v>0</v>
      </c>
      <c r="P536" s="35">
        <f t="shared" si="121"/>
        <v>766.8</v>
      </c>
      <c r="Q536" s="7">
        <f>Q537</f>
        <v>0</v>
      </c>
      <c r="R536" s="35">
        <f t="shared" si="122"/>
        <v>766.8</v>
      </c>
      <c r="S536" s="7">
        <f>S537</f>
        <v>0</v>
      </c>
      <c r="T536" s="35">
        <f t="shared" si="115"/>
        <v>766.8</v>
      </c>
    </row>
    <row r="537" spans="1:20" ht="35.25" customHeight="1">
      <c r="A537" s="61" t="str">
        <f ca="1">IF(ISERROR(MATCH(E537,Код_КВР,0)),"",INDIRECT(ADDRESS(MATCH(E537,Код_КВР,0)+1,2,,,"КВР")))</f>
        <v>Иные закупки товаров, работ и услуг для обеспечения муниципальных нужд</v>
      </c>
      <c r="B537" s="104" t="s">
        <v>384</v>
      </c>
      <c r="C537" s="8" t="s">
        <v>213</v>
      </c>
      <c r="D537" s="1" t="s">
        <v>190</v>
      </c>
      <c r="E537" s="104">
        <v>240</v>
      </c>
      <c r="F537" s="7">
        <f>F538</f>
        <v>766.8</v>
      </c>
      <c r="G537" s="7">
        <f>G538</f>
        <v>0</v>
      </c>
      <c r="H537" s="35">
        <f t="shared" si="116"/>
        <v>766.8</v>
      </c>
      <c r="I537" s="7">
        <f>I538</f>
        <v>0</v>
      </c>
      <c r="J537" s="35">
        <f t="shared" ref="J537:J605" si="125">H537+I537</f>
        <v>766.8</v>
      </c>
      <c r="K537" s="7">
        <f>K538</f>
        <v>0</v>
      </c>
      <c r="L537" s="35">
        <f t="shared" si="123"/>
        <v>766.8</v>
      </c>
      <c r="M537" s="7">
        <f>M538</f>
        <v>0</v>
      </c>
      <c r="N537" s="35">
        <f t="shared" si="124"/>
        <v>766.8</v>
      </c>
      <c r="O537" s="7">
        <f>O538</f>
        <v>0</v>
      </c>
      <c r="P537" s="35">
        <f t="shared" si="121"/>
        <v>766.8</v>
      </c>
      <c r="Q537" s="7">
        <f>Q538</f>
        <v>0</v>
      </c>
      <c r="R537" s="35">
        <f t="shared" si="122"/>
        <v>766.8</v>
      </c>
      <c r="S537" s="7">
        <f>S538</f>
        <v>0</v>
      </c>
      <c r="T537" s="35">
        <f t="shared" si="115"/>
        <v>766.8</v>
      </c>
    </row>
    <row r="538" spans="1:20" ht="33">
      <c r="A538" s="61" t="str">
        <f ca="1">IF(ISERROR(MATCH(E538,Код_КВР,0)),"",INDIRECT(ADDRESS(MATCH(E538,Код_КВР,0)+1,2,,,"КВР")))</f>
        <v xml:space="preserve">Прочая закупка товаров, работ и услуг для обеспечения муниципальных нужд         </v>
      </c>
      <c r="B538" s="104" t="s">
        <v>384</v>
      </c>
      <c r="C538" s="8" t="s">
        <v>213</v>
      </c>
      <c r="D538" s="1" t="s">
        <v>190</v>
      </c>
      <c r="E538" s="104">
        <v>244</v>
      </c>
      <c r="F538" s="7">
        <f>прил.6!G89</f>
        <v>766.8</v>
      </c>
      <c r="G538" s="7">
        <f>прил.6!H89</f>
        <v>0</v>
      </c>
      <c r="H538" s="35">
        <f t="shared" si="116"/>
        <v>766.8</v>
      </c>
      <c r="I538" s="7">
        <f>прил.6!J89</f>
        <v>0</v>
      </c>
      <c r="J538" s="35">
        <f t="shared" si="125"/>
        <v>766.8</v>
      </c>
      <c r="K538" s="7">
        <f>прил.6!L89</f>
        <v>0</v>
      </c>
      <c r="L538" s="35">
        <f t="shared" si="123"/>
        <v>766.8</v>
      </c>
      <c r="M538" s="7">
        <f>прил.6!N89</f>
        <v>0</v>
      </c>
      <c r="N538" s="35">
        <f t="shared" si="124"/>
        <v>766.8</v>
      </c>
      <c r="O538" s="7">
        <f>прил.6!P89</f>
        <v>0</v>
      </c>
      <c r="P538" s="35">
        <f t="shared" si="121"/>
        <v>766.8</v>
      </c>
      <c r="Q538" s="7">
        <f>прил.6!R89</f>
        <v>0</v>
      </c>
      <c r="R538" s="35">
        <f t="shared" si="122"/>
        <v>766.8</v>
      </c>
      <c r="S538" s="7">
        <f>прил.6!T89</f>
        <v>0</v>
      </c>
      <c r="T538" s="35">
        <f t="shared" si="115"/>
        <v>766.8</v>
      </c>
    </row>
    <row r="539" spans="1:20" ht="33">
      <c r="A539" s="61" t="str">
        <f ca="1">IF(ISERROR(MATCH(B539,Код_КЦСР,0)),"",INDIRECT(ADDRESS(MATCH(B539,Код_КЦСР,0)+1,2,,,"КЦСР")))</f>
        <v>Муниципальная программа «Охрана окружающей среды» на 2013-2022 годы</v>
      </c>
      <c r="B539" s="45" t="s">
        <v>539</v>
      </c>
      <c r="C539" s="8"/>
      <c r="D539" s="1"/>
      <c r="E539" s="104"/>
      <c r="F539" s="7">
        <f>F540+F546+F557+F563</f>
        <v>5500</v>
      </c>
      <c r="G539" s="7">
        <f>G540+G546+G557+G563</f>
        <v>0</v>
      </c>
      <c r="H539" s="35">
        <f t="shared" si="116"/>
        <v>5500</v>
      </c>
      <c r="I539" s="7">
        <f>I540+I546+I557+I563</f>
        <v>0</v>
      </c>
      <c r="J539" s="35">
        <f t="shared" si="125"/>
        <v>5500</v>
      </c>
      <c r="K539" s="7">
        <f>K540+K546+K557+K563</f>
        <v>-0.6</v>
      </c>
      <c r="L539" s="35">
        <f t="shared" si="123"/>
        <v>5499.4</v>
      </c>
      <c r="M539" s="7">
        <f>M540+M546+M557+M563</f>
        <v>-164.3</v>
      </c>
      <c r="N539" s="35">
        <f t="shared" si="124"/>
        <v>5335.0999999999995</v>
      </c>
      <c r="O539" s="7">
        <f>O540+O546+O557+O563</f>
        <v>0</v>
      </c>
      <c r="P539" s="35">
        <f t="shared" si="121"/>
        <v>5335.0999999999995</v>
      </c>
      <c r="Q539" s="7">
        <f>Q540+Q546+Q557+Q563</f>
        <v>0</v>
      </c>
      <c r="R539" s="35">
        <f t="shared" si="122"/>
        <v>5335.0999999999995</v>
      </c>
      <c r="S539" s="7">
        <f>S540+S546+S557+S563</f>
        <v>0</v>
      </c>
      <c r="T539" s="35">
        <f t="shared" si="115"/>
        <v>5335.0999999999995</v>
      </c>
    </row>
    <row r="540" spans="1:20" ht="36.75" customHeight="1">
      <c r="A540" s="61" t="str">
        <f ca="1">IF(ISERROR(MATCH(B540,Код_КЦСР,0)),"",INDIRECT(ADDRESS(MATCH(B540,Код_КЦСР,0)+1,2,,,"КЦСР")))</f>
        <v>Сбор и анализ информации о факторах окружающей среды и оценка их влияния на здоровье населения</v>
      </c>
      <c r="B540" s="45" t="s">
        <v>541</v>
      </c>
      <c r="C540" s="8"/>
      <c r="D540" s="1"/>
      <c r="E540" s="104"/>
      <c r="F540" s="7">
        <f t="shared" ref="F540:S544" si="126">F541</f>
        <v>4795</v>
      </c>
      <c r="G540" s="7">
        <f t="shared" si="126"/>
        <v>0</v>
      </c>
      <c r="H540" s="35">
        <f t="shared" si="116"/>
        <v>4795</v>
      </c>
      <c r="I540" s="7">
        <f t="shared" si="126"/>
        <v>0</v>
      </c>
      <c r="J540" s="35">
        <f t="shared" si="125"/>
        <v>4795</v>
      </c>
      <c r="K540" s="7">
        <f t="shared" si="126"/>
        <v>-0.6</v>
      </c>
      <c r="L540" s="35">
        <f t="shared" si="123"/>
        <v>4794.3999999999996</v>
      </c>
      <c r="M540" s="7">
        <f t="shared" si="126"/>
        <v>0</v>
      </c>
      <c r="N540" s="35">
        <f t="shared" si="124"/>
        <v>4794.3999999999996</v>
      </c>
      <c r="O540" s="7">
        <f t="shared" si="126"/>
        <v>0</v>
      </c>
      <c r="P540" s="35">
        <f t="shared" si="121"/>
        <v>4794.3999999999996</v>
      </c>
      <c r="Q540" s="7">
        <f t="shared" si="126"/>
        <v>0</v>
      </c>
      <c r="R540" s="35">
        <f t="shared" si="122"/>
        <v>4794.3999999999996</v>
      </c>
      <c r="S540" s="7">
        <f t="shared" si="126"/>
        <v>0</v>
      </c>
      <c r="T540" s="35">
        <f t="shared" ref="T540:T603" si="127">R540+S540</f>
        <v>4794.3999999999996</v>
      </c>
    </row>
    <row r="541" spans="1:20">
      <c r="A541" s="61" t="str">
        <f ca="1">IF(ISERROR(MATCH(C541,Код_Раздел,0)),"",INDIRECT(ADDRESS(MATCH(C541,Код_Раздел,0)+1,2,,,"Раздел")))</f>
        <v>Охрана окружающей среды</v>
      </c>
      <c r="B541" s="45" t="s">
        <v>541</v>
      </c>
      <c r="C541" s="8" t="s">
        <v>217</v>
      </c>
      <c r="D541" s="1"/>
      <c r="E541" s="104"/>
      <c r="F541" s="7">
        <f t="shared" si="126"/>
        <v>4795</v>
      </c>
      <c r="G541" s="7">
        <f t="shared" si="126"/>
        <v>0</v>
      </c>
      <c r="H541" s="35">
        <f t="shared" si="116"/>
        <v>4795</v>
      </c>
      <c r="I541" s="7">
        <f t="shared" si="126"/>
        <v>0</v>
      </c>
      <c r="J541" s="35">
        <f t="shared" si="125"/>
        <v>4795</v>
      </c>
      <c r="K541" s="7">
        <f t="shared" si="126"/>
        <v>-0.6</v>
      </c>
      <c r="L541" s="35">
        <f t="shared" si="123"/>
        <v>4794.3999999999996</v>
      </c>
      <c r="M541" s="7">
        <f t="shared" si="126"/>
        <v>0</v>
      </c>
      <c r="N541" s="35">
        <f t="shared" si="124"/>
        <v>4794.3999999999996</v>
      </c>
      <c r="O541" s="7">
        <f t="shared" si="126"/>
        <v>0</v>
      </c>
      <c r="P541" s="35">
        <f t="shared" si="121"/>
        <v>4794.3999999999996</v>
      </c>
      <c r="Q541" s="7">
        <f t="shared" si="126"/>
        <v>0</v>
      </c>
      <c r="R541" s="35">
        <f t="shared" si="122"/>
        <v>4794.3999999999996</v>
      </c>
      <c r="S541" s="7">
        <f t="shared" si="126"/>
        <v>0</v>
      </c>
      <c r="T541" s="35">
        <f t="shared" si="127"/>
        <v>4794.3999999999996</v>
      </c>
    </row>
    <row r="542" spans="1:20">
      <c r="A542" s="12" t="s">
        <v>255</v>
      </c>
      <c r="B542" s="45" t="s">
        <v>541</v>
      </c>
      <c r="C542" s="8" t="s">
        <v>217</v>
      </c>
      <c r="D542" s="1" t="s">
        <v>221</v>
      </c>
      <c r="E542" s="104"/>
      <c r="F542" s="7">
        <f t="shared" si="126"/>
        <v>4795</v>
      </c>
      <c r="G542" s="7">
        <f t="shared" si="126"/>
        <v>0</v>
      </c>
      <c r="H542" s="35">
        <f t="shared" si="116"/>
        <v>4795</v>
      </c>
      <c r="I542" s="7">
        <f t="shared" si="126"/>
        <v>0</v>
      </c>
      <c r="J542" s="35">
        <f t="shared" si="125"/>
        <v>4795</v>
      </c>
      <c r="K542" s="7">
        <f t="shared" si="126"/>
        <v>-0.6</v>
      </c>
      <c r="L542" s="35">
        <f t="shared" si="123"/>
        <v>4794.3999999999996</v>
      </c>
      <c r="M542" s="7">
        <f t="shared" si="126"/>
        <v>0</v>
      </c>
      <c r="N542" s="35">
        <f t="shared" si="124"/>
        <v>4794.3999999999996</v>
      </c>
      <c r="O542" s="7">
        <f t="shared" si="126"/>
        <v>0</v>
      </c>
      <c r="P542" s="35">
        <f t="shared" si="121"/>
        <v>4794.3999999999996</v>
      </c>
      <c r="Q542" s="7">
        <f t="shared" si="126"/>
        <v>0</v>
      </c>
      <c r="R542" s="35">
        <f t="shared" si="122"/>
        <v>4794.3999999999996</v>
      </c>
      <c r="S542" s="7">
        <f t="shared" si="126"/>
        <v>0</v>
      </c>
      <c r="T542" s="35">
        <f t="shared" si="127"/>
        <v>4794.3999999999996</v>
      </c>
    </row>
    <row r="543" spans="1:20">
      <c r="A543" s="61" t="str">
        <f ca="1">IF(ISERROR(MATCH(E543,Код_КВР,0)),"",INDIRECT(ADDRESS(MATCH(E543,Код_КВР,0)+1,2,,,"КВР")))</f>
        <v>Закупка товаров, работ и услуг для муниципальных нужд</v>
      </c>
      <c r="B543" s="45" t="s">
        <v>541</v>
      </c>
      <c r="C543" s="8" t="s">
        <v>217</v>
      </c>
      <c r="D543" s="1" t="s">
        <v>221</v>
      </c>
      <c r="E543" s="104">
        <v>200</v>
      </c>
      <c r="F543" s="7">
        <f t="shared" si="126"/>
        <v>4795</v>
      </c>
      <c r="G543" s="7">
        <f t="shared" si="126"/>
        <v>0</v>
      </c>
      <c r="H543" s="35">
        <f t="shared" si="116"/>
        <v>4795</v>
      </c>
      <c r="I543" s="7">
        <f t="shared" si="126"/>
        <v>0</v>
      </c>
      <c r="J543" s="35">
        <f t="shared" si="125"/>
        <v>4795</v>
      </c>
      <c r="K543" s="7">
        <f t="shared" si="126"/>
        <v>-0.6</v>
      </c>
      <c r="L543" s="35">
        <f t="shared" si="123"/>
        <v>4794.3999999999996</v>
      </c>
      <c r="M543" s="7">
        <f t="shared" si="126"/>
        <v>0</v>
      </c>
      <c r="N543" s="35">
        <f t="shared" si="124"/>
        <v>4794.3999999999996</v>
      </c>
      <c r="O543" s="7">
        <f t="shared" si="126"/>
        <v>0</v>
      </c>
      <c r="P543" s="35">
        <f t="shared" si="121"/>
        <v>4794.3999999999996</v>
      </c>
      <c r="Q543" s="7">
        <f t="shared" si="126"/>
        <v>0</v>
      </c>
      <c r="R543" s="35">
        <f t="shared" si="122"/>
        <v>4794.3999999999996</v>
      </c>
      <c r="S543" s="7">
        <f t="shared" si="126"/>
        <v>0</v>
      </c>
      <c r="T543" s="35">
        <f t="shared" si="127"/>
        <v>4794.3999999999996</v>
      </c>
    </row>
    <row r="544" spans="1:20" ht="33.75" customHeight="1">
      <c r="A544" s="61" t="str">
        <f ca="1">IF(ISERROR(MATCH(E544,Код_КВР,0)),"",INDIRECT(ADDRESS(MATCH(E544,Код_КВР,0)+1,2,,,"КВР")))</f>
        <v>Иные закупки товаров, работ и услуг для обеспечения муниципальных нужд</v>
      </c>
      <c r="B544" s="45" t="s">
        <v>541</v>
      </c>
      <c r="C544" s="8" t="s">
        <v>217</v>
      </c>
      <c r="D544" s="1" t="s">
        <v>221</v>
      </c>
      <c r="E544" s="104">
        <v>240</v>
      </c>
      <c r="F544" s="7">
        <f t="shared" si="126"/>
        <v>4795</v>
      </c>
      <c r="G544" s="7">
        <f t="shared" si="126"/>
        <v>0</v>
      </c>
      <c r="H544" s="35">
        <f t="shared" si="116"/>
        <v>4795</v>
      </c>
      <c r="I544" s="7">
        <f t="shared" si="126"/>
        <v>0</v>
      </c>
      <c r="J544" s="35">
        <f t="shared" si="125"/>
        <v>4795</v>
      </c>
      <c r="K544" s="7">
        <f t="shared" si="126"/>
        <v>-0.6</v>
      </c>
      <c r="L544" s="35">
        <f t="shared" si="123"/>
        <v>4794.3999999999996</v>
      </c>
      <c r="M544" s="7">
        <f t="shared" si="126"/>
        <v>0</v>
      </c>
      <c r="N544" s="35">
        <f t="shared" si="124"/>
        <v>4794.3999999999996</v>
      </c>
      <c r="O544" s="7">
        <f t="shared" si="126"/>
        <v>0</v>
      </c>
      <c r="P544" s="35">
        <f t="shared" si="121"/>
        <v>4794.3999999999996</v>
      </c>
      <c r="Q544" s="7">
        <f t="shared" si="126"/>
        <v>0</v>
      </c>
      <c r="R544" s="35">
        <f t="shared" si="122"/>
        <v>4794.3999999999996</v>
      </c>
      <c r="S544" s="7">
        <f t="shared" si="126"/>
        <v>0</v>
      </c>
      <c r="T544" s="35">
        <f t="shared" si="127"/>
        <v>4794.3999999999996</v>
      </c>
    </row>
    <row r="545" spans="1:20" ht="33">
      <c r="A545" s="61" t="str">
        <f ca="1">IF(ISERROR(MATCH(E545,Код_КВР,0)),"",INDIRECT(ADDRESS(MATCH(E545,Код_КВР,0)+1,2,,,"КВР")))</f>
        <v xml:space="preserve">Прочая закупка товаров, работ и услуг для обеспечения муниципальных нужд         </v>
      </c>
      <c r="B545" s="45" t="s">
        <v>541</v>
      </c>
      <c r="C545" s="8" t="s">
        <v>217</v>
      </c>
      <c r="D545" s="1" t="s">
        <v>221</v>
      </c>
      <c r="E545" s="104">
        <v>244</v>
      </c>
      <c r="F545" s="7">
        <f>прил.6!G1729</f>
        <v>4795</v>
      </c>
      <c r="G545" s="7">
        <f>прил.6!H1729</f>
        <v>0</v>
      </c>
      <c r="H545" s="35">
        <f t="shared" ref="H545:H613" si="128">F545+G545</f>
        <v>4795</v>
      </c>
      <c r="I545" s="7">
        <f>прил.6!J1729</f>
        <v>0</v>
      </c>
      <c r="J545" s="35">
        <f t="shared" si="125"/>
        <v>4795</v>
      </c>
      <c r="K545" s="7">
        <f>прил.6!L1729</f>
        <v>-0.6</v>
      </c>
      <c r="L545" s="35">
        <f t="shared" si="123"/>
        <v>4794.3999999999996</v>
      </c>
      <c r="M545" s="7">
        <f>прил.6!N1729</f>
        <v>0</v>
      </c>
      <c r="N545" s="35">
        <f t="shared" si="124"/>
        <v>4794.3999999999996</v>
      </c>
      <c r="O545" s="7">
        <f>прил.6!P1729</f>
        <v>0</v>
      </c>
      <c r="P545" s="35">
        <f t="shared" si="121"/>
        <v>4794.3999999999996</v>
      </c>
      <c r="Q545" s="7">
        <f>прил.6!R1729</f>
        <v>0</v>
      </c>
      <c r="R545" s="35">
        <f t="shared" si="122"/>
        <v>4794.3999999999996</v>
      </c>
      <c r="S545" s="7">
        <f>прил.6!T1729</f>
        <v>0</v>
      </c>
      <c r="T545" s="35">
        <f t="shared" si="127"/>
        <v>4794.3999999999996</v>
      </c>
    </row>
    <row r="546" spans="1:20" ht="33">
      <c r="A546" s="61" t="str">
        <f ca="1">IF(ISERROR(MATCH(B546,Код_КЦСР,0)),"",INDIRECT(ADDRESS(MATCH(B546,Код_КЦСР,0)+1,2,,,"КЦСР")))</f>
        <v>Организация мероприятий по экологическому образованию и воспитанию населения</v>
      </c>
      <c r="B546" s="45" t="s">
        <v>543</v>
      </c>
      <c r="C546" s="8"/>
      <c r="D546" s="1"/>
      <c r="E546" s="104"/>
      <c r="F546" s="7">
        <f>F547+F552</f>
        <v>475</v>
      </c>
      <c r="G546" s="7">
        <f>G547+G552</f>
        <v>0</v>
      </c>
      <c r="H546" s="35">
        <f t="shared" si="128"/>
        <v>475</v>
      </c>
      <c r="I546" s="7">
        <f>I547+I552</f>
        <v>0</v>
      </c>
      <c r="J546" s="35">
        <f t="shared" si="125"/>
        <v>475</v>
      </c>
      <c r="K546" s="7">
        <f>K547+K552</f>
        <v>0</v>
      </c>
      <c r="L546" s="35">
        <f t="shared" si="123"/>
        <v>475</v>
      </c>
      <c r="M546" s="7">
        <f>M547+M552</f>
        <v>0</v>
      </c>
      <c r="N546" s="35">
        <f t="shared" si="124"/>
        <v>475</v>
      </c>
      <c r="O546" s="7">
        <f>O547+O552</f>
        <v>0</v>
      </c>
      <c r="P546" s="35">
        <f t="shared" si="121"/>
        <v>475</v>
      </c>
      <c r="Q546" s="7">
        <f>Q547+Q552</f>
        <v>0</v>
      </c>
      <c r="R546" s="35">
        <f t="shared" si="122"/>
        <v>475</v>
      </c>
      <c r="S546" s="7">
        <f>S547+S552</f>
        <v>0</v>
      </c>
      <c r="T546" s="35">
        <f t="shared" si="127"/>
        <v>475</v>
      </c>
    </row>
    <row r="547" spans="1:20">
      <c r="A547" s="61" t="str">
        <f ca="1">IF(ISERROR(MATCH(C547,Код_Раздел,0)),"",INDIRECT(ADDRESS(MATCH(C547,Код_Раздел,0)+1,2,,,"Раздел")))</f>
        <v>Образование</v>
      </c>
      <c r="B547" s="45" t="s">
        <v>543</v>
      </c>
      <c r="C547" s="8" t="s">
        <v>195</v>
      </c>
      <c r="D547" s="1"/>
      <c r="E547" s="104"/>
      <c r="F547" s="7">
        <f t="shared" ref="F547:S550" si="129">F548</f>
        <v>465</v>
      </c>
      <c r="G547" s="7">
        <f t="shared" si="129"/>
        <v>0</v>
      </c>
      <c r="H547" s="35">
        <f t="shared" si="128"/>
        <v>465</v>
      </c>
      <c r="I547" s="7">
        <f t="shared" si="129"/>
        <v>0</v>
      </c>
      <c r="J547" s="35">
        <f t="shared" si="125"/>
        <v>465</v>
      </c>
      <c r="K547" s="7">
        <f t="shared" si="129"/>
        <v>0</v>
      </c>
      <c r="L547" s="35">
        <f t="shared" si="123"/>
        <v>465</v>
      </c>
      <c r="M547" s="7">
        <f t="shared" si="129"/>
        <v>0</v>
      </c>
      <c r="N547" s="35">
        <f t="shared" si="124"/>
        <v>465</v>
      </c>
      <c r="O547" s="7">
        <f t="shared" si="129"/>
        <v>0</v>
      </c>
      <c r="P547" s="35">
        <f t="shared" si="121"/>
        <v>465</v>
      </c>
      <c r="Q547" s="7">
        <f t="shared" si="129"/>
        <v>0</v>
      </c>
      <c r="R547" s="35">
        <f t="shared" si="122"/>
        <v>465</v>
      </c>
      <c r="S547" s="7">
        <f t="shared" si="129"/>
        <v>0</v>
      </c>
      <c r="T547" s="35">
        <f t="shared" si="127"/>
        <v>465</v>
      </c>
    </row>
    <row r="548" spans="1:20">
      <c r="A548" s="12" t="s">
        <v>251</v>
      </c>
      <c r="B548" s="45" t="s">
        <v>543</v>
      </c>
      <c r="C548" s="8" t="s">
        <v>195</v>
      </c>
      <c r="D548" s="1" t="s">
        <v>219</v>
      </c>
      <c r="E548" s="104"/>
      <c r="F548" s="7">
        <f t="shared" si="129"/>
        <v>465</v>
      </c>
      <c r="G548" s="7">
        <f t="shared" si="129"/>
        <v>0</v>
      </c>
      <c r="H548" s="35">
        <f t="shared" si="128"/>
        <v>465</v>
      </c>
      <c r="I548" s="7">
        <f t="shared" si="129"/>
        <v>0</v>
      </c>
      <c r="J548" s="35">
        <f t="shared" si="125"/>
        <v>465</v>
      </c>
      <c r="K548" s="7">
        <f t="shared" si="129"/>
        <v>0</v>
      </c>
      <c r="L548" s="35">
        <f t="shared" si="123"/>
        <v>465</v>
      </c>
      <c r="M548" s="7">
        <f t="shared" si="129"/>
        <v>0</v>
      </c>
      <c r="N548" s="35">
        <f t="shared" si="124"/>
        <v>465</v>
      </c>
      <c r="O548" s="7">
        <f t="shared" si="129"/>
        <v>0</v>
      </c>
      <c r="P548" s="35">
        <f t="shared" si="121"/>
        <v>465</v>
      </c>
      <c r="Q548" s="7">
        <f t="shared" si="129"/>
        <v>0</v>
      </c>
      <c r="R548" s="35">
        <f t="shared" si="122"/>
        <v>465</v>
      </c>
      <c r="S548" s="7">
        <f t="shared" si="129"/>
        <v>0</v>
      </c>
      <c r="T548" s="35">
        <f t="shared" si="127"/>
        <v>465</v>
      </c>
    </row>
    <row r="549" spans="1:20" ht="33">
      <c r="A549" s="61" t="str">
        <f ca="1">IF(ISERROR(MATCH(E549,Код_КВР,0)),"",INDIRECT(ADDRESS(MATCH(E549,Код_КВР,0)+1,2,,,"КВР")))</f>
        <v>Предоставление субсидий бюджетным, автономным учреждениям и иным некоммерческим организациям</v>
      </c>
      <c r="B549" s="45" t="s">
        <v>543</v>
      </c>
      <c r="C549" s="8" t="s">
        <v>195</v>
      </c>
      <c r="D549" s="1" t="s">
        <v>219</v>
      </c>
      <c r="E549" s="104">
        <v>600</v>
      </c>
      <c r="F549" s="7">
        <f t="shared" si="129"/>
        <v>465</v>
      </c>
      <c r="G549" s="7">
        <f t="shared" si="129"/>
        <v>0</v>
      </c>
      <c r="H549" s="35">
        <f t="shared" si="128"/>
        <v>465</v>
      </c>
      <c r="I549" s="7">
        <f t="shared" si="129"/>
        <v>0</v>
      </c>
      <c r="J549" s="35">
        <f t="shared" si="125"/>
        <v>465</v>
      </c>
      <c r="K549" s="7">
        <f t="shared" si="129"/>
        <v>0</v>
      </c>
      <c r="L549" s="35">
        <f t="shared" si="123"/>
        <v>465</v>
      </c>
      <c r="M549" s="7">
        <f t="shared" si="129"/>
        <v>0</v>
      </c>
      <c r="N549" s="35">
        <f t="shared" si="124"/>
        <v>465</v>
      </c>
      <c r="O549" s="7">
        <f t="shared" si="129"/>
        <v>0</v>
      </c>
      <c r="P549" s="35">
        <f t="shared" si="121"/>
        <v>465</v>
      </c>
      <c r="Q549" s="7">
        <f t="shared" si="129"/>
        <v>0</v>
      </c>
      <c r="R549" s="35">
        <f t="shared" si="122"/>
        <v>465</v>
      </c>
      <c r="S549" s="7">
        <f t="shared" si="129"/>
        <v>0</v>
      </c>
      <c r="T549" s="35">
        <f t="shared" si="127"/>
        <v>465</v>
      </c>
    </row>
    <row r="550" spans="1:20">
      <c r="A550" s="61" t="str">
        <f ca="1">IF(ISERROR(MATCH(E550,Код_КВР,0)),"",INDIRECT(ADDRESS(MATCH(E550,Код_КВР,0)+1,2,,,"КВР")))</f>
        <v>Субсидии бюджетным учреждениям</v>
      </c>
      <c r="B550" s="45" t="s">
        <v>543</v>
      </c>
      <c r="C550" s="8" t="s">
        <v>195</v>
      </c>
      <c r="D550" s="1" t="s">
        <v>219</v>
      </c>
      <c r="E550" s="104">
        <v>610</v>
      </c>
      <c r="F550" s="7">
        <f t="shared" si="129"/>
        <v>465</v>
      </c>
      <c r="G550" s="7">
        <f t="shared" si="129"/>
        <v>0</v>
      </c>
      <c r="H550" s="35">
        <f t="shared" si="128"/>
        <v>465</v>
      </c>
      <c r="I550" s="7">
        <f t="shared" si="129"/>
        <v>0</v>
      </c>
      <c r="J550" s="35">
        <f t="shared" si="125"/>
        <v>465</v>
      </c>
      <c r="K550" s="7">
        <f t="shared" si="129"/>
        <v>0</v>
      </c>
      <c r="L550" s="35">
        <f t="shared" si="123"/>
        <v>465</v>
      </c>
      <c r="M550" s="7">
        <f t="shared" si="129"/>
        <v>0</v>
      </c>
      <c r="N550" s="35">
        <f t="shared" si="124"/>
        <v>465</v>
      </c>
      <c r="O550" s="7">
        <f t="shared" si="129"/>
        <v>0</v>
      </c>
      <c r="P550" s="35">
        <f t="shared" si="121"/>
        <v>465</v>
      </c>
      <c r="Q550" s="7">
        <f t="shared" si="129"/>
        <v>0</v>
      </c>
      <c r="R550" s="35">
        <f t="shared" si="122"/>
        <v>465</v>
      </c>
      <c r="S550" s="7">
        <f t="shared" si="129"/>
        <v>0</v>
      </c>
      <c r="T550" s="35">
        <f t="shared" si="127"/>
        <v>465</v>
      </c>
    </row>
    <row r="551" spans="1:20">
      <c r="A551" s="61" t="str">
        <f ca="1">IF(ISERROR(MATCH(E551,Код_КВР,0)),"",INDIRECT(ADDRESS(MATCH(E551,Код_КВР,0)+1,2,,,"КВР")))</f>
        <v>Субсидии бюджетным учреждениям на иные цели</v>
      </c>
      <c r="B551" s="45" t="s">
        <v>543</v>
      </c>
      <c r="C551" s="8" t="s">
        <v>195</v>
      </c>
      <c r="D551" s="1" t="s">
        <v>219</v>
      </c>
      <c r="E551" s="104">
        <v>612</v>
      </c>
      <c r="F551" s="7">
        <f>прил.6!G761</f>
        <v>465</v>
      </c>
      <c r="G551" s="7">
        <f>прил.6!H761</f>
        <v>0</v>
      </c>
      <c r="H551" s="35">
        <f t="shared" si="128"/>
        <v>465</v>
      </c>
      <c r="I551" s="7">
        <f>прил.6!J761</f>
        <v>0</v>
      </c>
      <c r="J551" s="35">
        <f t="shared" si="125"/>
        <v>465</v>
      </c>
      <c r="K551" s="7">
        <f>прил.6!L761</f>
        <v>0</v>
      </c>
      <c r="L551" s="35">
        <f t="shared" si="123"/>
        <v>465</v>
      </c>
      <c r="M551" s="7">
        <f>прил.6!N761</f>
        <v>0</v>
      </c>
      <c r="N551" s="35">
        <f t="shared" si="124"/>
        <v>465</v>
      </c>
      <c r="O551" s="7">
        <f>прил.6!P761</f>
        <v>0</v>
      </c>
      <c r="P551" s="35">
        <f t="shared" si="121"/>
        <v>465</v>
      </c>
      <c r="Q551" s="7">
        <f>прил.6!R761</f>
        <v>0</v>
      </c>
      <c r="R551" s="35">
        <f t="shared" si="122"/>
        <v>465</v>
      </c>
      <c r="S551" s="7">
        <f>прил.6!T761</f>
        <v>0</v>
      </c>
      <c r="T551" s="35">
        <f t="shared" si="127"/>
        <v>465</v>
      </c>
    </row>
    <row r="552" spans="1:20">
      <c r="A552" s="61" t="str">
        <f ca="1">IF(ISERROR(MATCH(C552,Код_Раздел,0)),"",INDIRECT(ADDRESS(MATCH(C552,Код_Раздел,0)+1,2,,,"Раздел")))</f>
        <v>Культура, кинематография</v>
      </c>
      <c r="B552" s="45" t="s">
        <v>543</v>
      </c>
      <c r="C552" s="8" t="s">
        <v>222</v>
      </c>
      <c r="D552" s="1"/>
      <c r="E552" s="104"/>
      <c r="F552" s="7">
        <f t="shared" ref="F552:S555" si="130">F553</f>
        <v>10</v>
      </c>
      <c r="G552" s="7">
        <f t="shared" si="130"/>
        <v>0</v>
      </c>
      <c r="H552" s="35">
        <f t="shared" si="128"/>
        <v>10</v>
      </c>
      <c r="I552" s="7">
        <f t="shared" si="130"/>
        <v>0</v>
      </c>
      <c r="J552" s="35">
        <f t="shared" si="125"/>
        <v>10</v>
      </c>
      <c r="K552" s="7">
        <f t="shared" si="130"/>
        <v>0</v>
      </c>
      <c r="L552" s="35">
        <f t="shared" si="123"/>
        <v>10</v>
      </c>
      <c r="M552" s="7">
        <f t="shared" si="130"/>
        <v>0</v>
      </c>
      <c r="N552" s="35">
        <f t="shared" si="124"/>
        <v>10</v>
      </c>
      <c r="O552" s="7">
        <f t="shared" si="130"/>
        <v>0</v>
      </c>
      <c r="P552" s="35">
        <f t="shared" si="121"/>
        <v>10</v>
      </c>
      <c r="Q552" s="7">
        <f t="shared" si="130"/>
        <v>0</v>
      </c>
      <c r="R552" s="35">
        <f t="shared" si="122"/>
        <v>10</v>
      </c>
      <c r="S552" s="7">
        <f t="shared" si="130"/>
        <v>0</v>
      </c>
      <c r="T552" s="35">
        <f t="shared" si="127"/>
        <v>10</v>
      </c>
    </row>
    <row r="553" spans="1:20">
      <c r="A553" s="12" t="s">
        <v>163</v>
      </c>
      <c r="B553" s="45" t="s">
        <v>543</v>
      </c>
      <c r="C553" s="8" t="s">
        <v>222</v>
      </c>
      <c r="D553" s="1" t="s">
        <v>216</v>
      </c>
      <c r="E553" s="104"/>
      <c r="F553" s="7">
        <f t="shared" si="130"/>
        <v>10</v>
      </c>
      <c r="G553" s="7">
        <f t="shared" si="130"/>
        <v>0</v>
      </c>
      <c r="H553" s="35">
        <f t="shared" si="128"/>
        <v>10</v>
      </c>
      <c r="I553" s="7">
        <f t="shared" si="130"/>
        <v>0</v>
      </c>
      <c r="J553" s="35">
        <f t="shared" si="125"/>
        <v>10</v>
      </c>
      <c r="K553" s="7">
        <f t="shared" si="130"/>
        <v>0</v>
      </c>
      <c r="L553" s="35">
        <f t="shared" si="123"/>
        <v>10</v>
      </c>
      <c r="M553" s="7">
        <f t="shared" si="130"/>
        <v>0</v>
      </c>
      <c r="N553" s="35">
        <f t="shared" si="124"/>
        <v>10</v>
      </c>
      <c r="O553" s="7">
        <f t="shared" si="130"/>
        <v>0</v>
      </c>
      <c r="P553" s="35">
        <f t="shared" si="121"/>
        <v>10</v>
      </c>
      <c r="Q553" s="7">
        <f t="shared" si="130"/>
        <v>0</v>
      </c>
      <c r="R553" s="35">
        <f t="shared" si="122"/>
        <v>10</v>
      </c>
      <c r="S553" s="7">
        <f t="shared" si="130"/>
        <v>0</v>
      </c>
      <c r="T553" s="35">
        <f t="shared" si="127"/>
        <v>10</v>
      </c>
    </row>
    <row r="554" spans="1:20" ht="33">
      <c r="A554" s="61" t="str">
        <f ca="1">IF(ISERROR(MATCH(E554,Код_КВР,0)),"",INDIRECT(ADDRESS(MATCH(E554,Код_КВР,0)+1,2,,,"КВР")))</f>
        <v>Предоставление субсидий бюджетным, автономным учреждениям и иным некоммерческим организациям</v>
      </c>
      <c r="B554" s="45" t="s">
        <v>543</v>
      </c>
      <c r="C554" s="8" t="s">
        <v>222</v>
      </c>
      <c r="D554" s="1" t="s">
        <v>216</v>
      </c>
      <c r="E554" s="104">
        <v>600</v>
      </c>
      <c r="F554" s="7">
        <f t="shared" si="130"/>
        <v>10</v>
      </c>
      <c r="G554" s="7">
        <f t="shared" si="130"/>
        <v>0</v>
      </c>
      <c r="H554" s="35">
        <f t="shared" si="128"/>
        <v>10</v>
      </c>
      <c r="I554" s="7">
        <f t="shared" si="130"/>
        <v>0</v>
      </c>
      <c r="J554" s="35">
        <f t="shared" si="125"/>
        <v>10</v>
      </c>
      <c r="K554" s="7">
        <f t="shared" si="130"/>
        <v>0</v>
      </c>
      <c r="L554" s="35">
        <f t="shared" si="123"/>
        <v>10</v>
      </c>
      <c r="M554" s="7">
        <f t="shared" si="130"/>
        <v>0</v>
      </c>
      <c r="N554" s="35">
        <f t="shared" si="124"/>
        <v>10</v>
      </c>
      <c r="O554" s="7">
        <f t="shared" si="130"/>
        <v>0</v>
      </c>
      <c r="P554" s="35">
        <f t="shared" si="121"/>
        <v>10</v>
      </c>
      <c r="Q554" s="7">
        <f t="shared" si="130"/>
        <v>0</v>
      </c>
      <c r="R554" s="35">
        <f t="shared" si="122"/>
        <v>10</v>
      </c>
      <c r="S554" s="7">
        <f t="shared" si="130"/>
        <v>0</v>
      </c>
      <c r="T554" s="35">
        <f t="shared" si="127"/>
        <v>10</v>
      </c>
    </row>
    <row r="555" spans="1:20">
      <c r="A555" s="61" t="str">
        <f ca="1">IF(ISERROR(MATCH(E555,Код_КВР,0)),"",INDIRECT(ADDRESS(MATCH(E555,Код_КВР,0)+1,2,,,"КВР")))</f>
        <v>Субсидии бюджетным учреждениям</v>
      </c>
      <c r="B555" s="45" t="s">
        <v>543</v>
      </c>
      <c r="C555" s="8" t="s">
        <v>222</v>
      </c>
      <c r="D555" s="1" t="s">
        <v>216</v>
      </c>
      <c r="E555" s="104">
        <v>610</v>
      </c>
      <c r="F555" s="7">
        <f t="shared" si="130"/>
        <v>10</v>
      </c>
      <c r="G555" s="7">
        <f t="shared" si="130"/>
        <v>0</v>
      </c>
      <c r="H555" s="35">
        <f t="shared" si="128"/>
        <v>10</v>
      </c>
      <c r="I555" s="7">
        <f t="shared" si="130"/>
        <v>0</v>
      </c>
      <c r="J555" s="35">
        <f t="shared" si="125"/>
        <v>10</v>
      </c>
      <c r="K555" s="7">
        <f t="shared" si="130"/>
        <v>0</v>
      </c>
      <c r="L555" s="35">
        <f t="shared" si="123"/>
        <v>10</v>
      </c>
      <c r="M555" s="7">
        <f t="shared" si="130"/>
        <v>0</v>
      </c>
      <c r="N555" s="35">
        <f t="shared" si="124"/>
        <v>10</v>
      </c>
      <c r="O555" s="7">
        <f t="shared" si="130"/>
        <v>0</v>
      </c>
      <c r="P555" s="35">
        <f t="shared" si="121"/>
        <v>10</v>
      </c>
      <c r="Q555" s="7">
        <f t="shared" si="130"/>
        <v>0</v>
      </c>
      <c r="R555" s="35">
        <f t="shared" si="122"/>
        <v>10</v>
      </c>
      <c r="S555" s="7">
        <f t="shared" si="130"/>
        <v>0</v>
      </c>
      <c r="T555" s="35">
        <f t="shared" si="127"/>
        <v>10</v>
      </c>
    </row>
    <row r="556" spans="1:20">
      <c r="A556" s="61" t="str">
        <f ca="1">IF(ISERROR(MATCH(E556,Код_КВР,0)),"",INDIRECT(ADDRESS(MATCH(E556,Код_КВР,0)+1,2,,,"КВР")))</f>
        <v>Субсидии бюджетным учреждениям на иные цели</v>
      </c>
      <c r="B556" s="45" t="s">
        <v>543</v>
      </c>
      <c r="C556" s="8" t="s">
        <v>222</v>
      </c>
      <c r="D556" s="1" t="s">
        <v>216</v>
      </c>
      <c r="E556" s="104">
        <v>612</v>
      </c>
      <c r="F556" s="7">
        <f>прил.6!G1125</f>
        <v>10</v>
      </c>
      <c r="G556" s="7">
        <f>прил.6!H1125</f>
        <v>0</v>
      </c>
      <c r="H556" s="35">
        <f t="shared" si="128"/>
        <v>10</v>
      </c>
      <c r="I556" s="7">
        <f>прил.6!J1125</f>
        <v>0</v>
      </c>
      <c r="J556" s="35">
        <f t="shared" si="125"/>
        <v>10</v>
      </c>
      <c r="K556" s="7">
        <f>прил.6!L1125</f>
        <v>0</v>
      </c>
      <c r="L556" s="35">
        <f t="shared" si="123"/>
        <v>10</v>
      </c>
      <c r="M556" s="7">
        <f>прил.6!N1125</f>
        <v>0</v>
      </c>
      <c r="N556" s="35">
        <f t="shared" si="124"/>
        <v>10</v>
      </c>
      <c r="O556" s="7">
        <f>прил.6!P1125</f>
        <v>0</v>
      </c>
      <c r="P556" s="35">
        <f t="shared" si="121"/>
        <v>10</v>
      </c>
      <c r="Q556" s="7">
        <f>прил.6!R1125</f>
        <v>0</v>
      </c>
      <c r="R556" s="35">
        <f t="shared" si="122"/>
        <v>10</v>
      </c>
      <c r="S556" s="7">
        <f>прил.6!T1125</f>
        <v>0</v>
      </c>
      <c r="T556" s="35">
        <f t="shared" si="127"/>
        <v>10</v>
      </c>
    </row>
    <row r="557" spans="1:20" ht="33">
      <c r="A557" s="61" t="str">
        <f ca="1">IF(ISERROR(MATCH(B557,Код_КЦСР,0)),"",INDIRECT(ADDRESS(MATCH(B557,Код_КЦСР,0)+1,2,,,"КЦСР")))</f>
        <v>Оборудование основных помещений МБДОУ бактерицидными лампами</v>
      </c>
      <c r="B557" s="45" t="s">
        <v>545</v>
      </c>
      <c r="C557" s="8"/>
      <c r="D557" s="1"/>
      <c r="E557" s="104"/>
      <c r="F557" s="7">
        <f t="shared" ref="F557:S561" si="131">F558</f>
        <v>30</v>
      </c>
      <c r="G557" s="7">
        <f t="shared" si="131"/>
        <v>0</v>
      </c>
      <c r="H557" s="35">
        <f t="shared" si="128"/>
        <v>30</v>
      </c>
      <c r="I557" s="7">
        <f t="shared" si="131"/>
        <v>0</v>
      </c>
      <c r="J557" s="35">
        <f t="shared" si="125"/>
        <v>30</v>
      </c>
      <c r="K557" s="7">
        <f t="shared" si="131"/>
        <v>0</v>
      </c>
      <c r="L557" s="35">
        <f t="shared" si="123"/>
        <v>30</v>
      </c>
      <c r="M557" s="7">
        <f t="shared" si="131"/>
        <v>0</v>
      </c>
      <c r="N557" s="35">
        <f t="shared" si="124"/>
        <v>30</v>
      </c>
      <c r="O557" s="7">
        <f t="shared" si="131"/>
        <v>0</v>
      </c>
      <c r="P557" s="35">
        <f t="shared" si="121"/>
        <v>30</v>
      </c>
      <c r="Q557" s="7">
        <f t="shared" si="131"/>
        <v>0</v>
      </c>
      <c r="R557" s="35">
        <f t="shared" si="122"/>
        <v>30</v>
      </c>
      <c r="S557" s="7">
        <f t="shared" si="131"/>
        <v>0</v>
      </c>
      <c r="T557" s="35">
        <f t="shared" si="127"/>
        <v>30</v>
      </c>
    </row>
    <row r="558" spans="1:20">
      <c r="A558" s="61" t="str">
        <f ca="1">IF(ISERROR(MATCH(C558,Код_Раздел,0)),"",INDIRECT(ADDRESS(MATCH(C558,Код_Раздел,0)+1,2,,,"Раздел")))</f>
        <v>Образование</v>
      </c>
      <c r="B558" s="45" t="s">
        <v>545</v>
      </c>
      <c r="C558" s="8" t="s">
        <v>195</v>
      </c>
      <c r="D558" s="1"/>
      <c r="E558" s="104"/>
      <c r="F558" s="7">
        <f t="shared" si="131"/>
        <v>30</v>
      </c>
      <c r="G558" s="7">
        <f t="shared" si="131"/>
        <v>0</v>
      </c>
      <c r="H558" s="35">
        <f t="shared" si="128"/>
        <v>30</v>
      </c>
      <c r="I558" s="7">
        <f t="shared" si="131"/>
        <v>0</v>
      </c>
      <c r="J558" s="35">
        <f t="shared" si="125"/>
        <v>30</v>
      </c>
      <c r="K558" s="7">
        <f t="shared" si="131"/>
        <v>0</v>
      </c>
      <c r="L558" s="35">
        <f t="shared" si="123"/>
        <v>30</v>
      </c>
      <c r="M558" s="7">
        <f t="shared" si="131"/>
        <v>0</v>
      </c>
      <c r="N558" s="35">
        <f t="shared" si="124"/>
        <v>30</v>
      </c>
      <c r="O558" s="7">
        <f t="shared" si="131"/>
        <v>0</v>
      </c>
      <c r="P558" s="35">
        <f t="shared" si="121"/>
        <v>30</v>
      </c>
      <c r="Q558" s="7">
        <f t="shared" si="131"/>
        <v>0</v>
      </c>
      <c r="R558" s="35">
        <f t="shared" si="122"/>
        <v>30</v>
      </c>
      <c r="S558" s="7">
        <f t="shared" si="131"/>
        <v>0</v>
      </c>
      <c r="T558" s="35">
        <f t="shared" si="127"/>
        <v>30</v>
      </c>
    </row>
    <row r="559" spans="1:20" ht="21" customHeight="1">
      <c r="A559" s="12" t="s">
        <v>251</v>
      </c>
      <c r="B559" s="45" t="s">
        <v>545</v>
      </c>
      <c r="C559" s="8" t="s">
        <v>195</v>
      </c>
      <c r="D559" s="1" t="s">
        <v>219</v>
      </c>
      <c r="E559" s="104"/>
      <c r="F559" s="7">
        <f t="shared" si="131"/>
        <v>30</v>
      </c>
      <c r="G559" s="7">
        <f t="shared" si="131"/>
        <v>0</v>
      </c>
      <c r="H559" s="35">
        <f t="shared" si="128"/>
        <v>30</v>
      </c>
      <c r="I559" s="7">
        <f t="shared" si="131"/>
        <v>0</v>
      </c>
      <c r="J559" s="35">
        <f t="shared" si="125"/>
        <v>30</v>
      </c>
      <c r="K559" s="7">
        <f t="shared" si="131"/>
        <v>0</v>
      </c>
      <c r="L559" s="35">
        <f t="shared" si="123"/>
        <v>30</v>
      </c>
      <c r="M559" s="7">
        <f t="shared" si="131"/>
        <v>0</v>
      </c>
      <c r="N559" s="35">
        <f t="shared" si="124"/>
        <v>30</v>
      </c>
      <c r="O559" s="7">
        <f t="shared" si="131"/>
        <v>0</v>
      </c>
      <c r="P559" s="35">
        <f t="shared" si="121"/>
        <v>30</v>
      </c>
      <c r="Q559" s="7">
        <f t="shared" si="131"/>
        <v>0</v>
      </c>
      <c r="R559" s="35">
        <f t="shared" si="122"/>
        <v>30</v>
      </c>
      <c r="S559" s="7">
        <f t="shared" si="131"/>
        <v>0</v>
      </c>
      <c r="T559" s="35">
        <f t="shared" si="127"/>
        <v>30</v>
      </c>
    </row>
    <row r="560" spans="1:20" ht="35.25" customHeight="1">
      <c r="A560" s="61" t="str">
        <f ca="1">IF(ISERROR(MATCH(E560,Код_КВР,0)),"",INDIRECT(ADDRESS(MATCH(E560,Код_КВР,0)+1,2,,,"КВР")))</f>
        <v>Предоставление субсидий бюджетным, автономным учреждениям и иным некоммерческим организациям</v>
      </c>
      <c r="B560" s="45" t="s">
        <v>545</v>
      </c>
      <c r="C560" s="8" t="s">
        <v>195</v>
      </c>
      <c r="D560" s="1" t="s">
        <v>219</v>
      </c>
      <c r="E560" s="104">
        <v>600</v>
      </c>
      <c r="F560" s="7">
        <f t="shared" si="131"/>
        <v>30</v>
      </c>
      <c r="G560" s="7">
        <f t="shared" si="131"/>
        <v>0</v>
      </c>
      <c r="H560" s="35">
        <f t="shared" si="128"/>
        <v>30</v>
      </c>
      <c r="I560" s="7">
        <f t="shared" si="131"/>
        <v>0</v>
      </c>
      <c r="J560" s="35">
        <f t="shared" si="125"/>
        <v>30</v>
      </c>
      <c r="K560" s="7">
        <f t="shared" si="131"/>
        <v>0</v>
      </c>
      <c r="L560" s="35">
        <f t="shared" si="123"/>
        <v>30</v>
      </c>
      <c r="M560" s="7">
        <f t="shared" si="131"/>
        <v>0</v>
      </c>
      <c r="N560" s="35">
        <f t="shared" si="124"/>
        <v>30</v>
      </c>
      <c r="O560" s="7">
        <f t="shared" si="131"/>
        <v>0</v>
      </c>
      <c r="P560" s="35">
        <f t="shared" si="121"/>
        <v>30</v>
      </c>
      <c r="Q560" s="7">
        <f t="shared" si="131"/>
        <v>0</v>
      </c>
      <c r="R560" s="35">
        <f t="shared" si="122"/>
        <v>30</v>
      </c>
      <c r="S560" s="7">
        <f t="shared" si="131"/>
        <v>0</v>
      </c>
      <c r="T560" s="35">
        <f t="shared" si="127"/>
        <v>30</v>
      </c>
    </row>
    <row r="561" spans="1:20" ht="18.75" customHeight="1">
      <c r="A561" s="61" t="str">
        <f ca="1">IF(ISERROR(MATCH(E561,Код_КВР,0)),"",INDIRECT(ADDRESS(MATCH(E561,Код_КВР,0)+1,2,,,"КВР")))</f>
        <v>Субсидии бюджетным учреждениям</v>
      </c>
      <c r="B561" s="45" t="s">
        <v>545</v>
      </c>
      <c r="C561" s="8" t="s">
        <v>195</v>
      </c>
      <c r="D561" s="1" t="s">
        <v>219</v>
      </c>
      <c r="E561" s="104">
        <v>610</v>
      </c>
      <c r="F561" s="7">
        <f t="shared" si="131"/>
        <v>30</v>
      </c>
      <c r="G561" s="7">
        <f t="shared" si="131"/>
        <v>0</v>
      </c>
      <c r="H561" s="35">
        <f t="shared" si="128"/>
        <v>30</v>
      </c>
      <c r="I561" s="7">
        <f t="shared" si="131"/>
        <v>0</v>
      </c>
      <c r="J561" s="35">
        <f t="shared" si="125"/>
        <v>30</v>
      </c>
      <c r="K561" s="7">
        <f t="shared" si="131"/>
        <v>0</v>
      </c>
      <c r="L561" s="35">
        <f t="shared" si="123"/>
        <v>30</v>
      </c>
      <c r="M561" s="7">
        <f t="shared" si="131"/>
        <v>0</v>
      </c>
      <c r="N561" s="35">
        <f t="shared" si="124"/>
        <v>30</v>
      </c>
      <c r="O561" s="7">
        <f t="shared" si="131"/>
        <v>0</v>
      </c>
      <c r="P561" s="35">
        <f t="shared" si="121"/>
        <v>30</v>
      </c>
      <c r="Q561" s="7">
        <f t="shared" si="131"/>
        <v>0</v>
      </c>
      <c r="R561" s="35">
        <f t="shared" si="122"/>
        <v>30</v>
      </c>
      <c r="S561" s="7">
        <f t="shared" si="131"/>
        <v>0</v>
      </c>
      <c r="T561" s="35">
        <f t="shared" si="127"/>
        <v>30</v>
      </c>
    </row>
    <row r="562" spans="1:20" ht="18.75" customHeight="1">
      <c r="A562" s="61" t="str">
        <f ca="1">IF(ISERROR(MATCH(E562,Код_КВР,0)),"",INDIRECT(ADDRESS(MATCH(E562,Код_КВР,0)+1,2,,,"КВР")))</f>
        <v>Субсидии бюджетным учреждениям на иные цели</v>
      </c>
      <c r="B562" s="45" t="s">
        <v>545</v>
      </c>
      <c r="C562" s="8" t="s">
        <v>195</v>
      </c>
      <c r="D562" s="1" t="s">
        <v>219</v>
      </c>
      <c r="E562" s="104">
        <v>612</v>
      </c>
      <c r="F562" s="7">
        <f>прил.6!G765</f>
        <v>30</v>
      </c>
      <c r="G562" s="7">
        <f>прил.6!H765</f>
        <v>0</v>
      </c>
      <c r="H562" s="35">
        <f t="shared" si="128"/>
        <v>30</v>
      </c>
      <c r="I562" s="7">
        <f>прил.6!J765</f>
        <v>0</v>
      </c>
      <c r="J562" s="35">
        <f t="shared" si="125"/>
        <v>30</v>
      </c>
      <c r="K562" s="7">
        <f>прил.6!L765</f>
        <v>0</v>
      </c>
      <c r="L562" s="35">
        <f t="shared" si="123"/>
        <v>30</v>
      </c>
      <c r="M562" s="7">
        <f>прил.6!N765</f>
        <v>0</v>
      </c>
      <c r="N562" s="35">
        <f t="shared" si="124"/>
        <v>30</v>
      </c>
      <c r="O562" s="7">
        <f>прил.6!P765</f>
        <v>0</v>
      </c>
      <c r="P562" s="35">
        <f t="shared" si="121"/>
        <v>30</v>
      </c>
      <c r="Q562" s="7">
        <f>прил.6!R765</f>
        <v>0</v>
      </c>
      <c r="R562" s="35">
        <f t="shared" si="122"/>
        <v>30</v>
      </c>
      <c r="S562" s="7">
        <f>прил.6!T765</f>
        <v>0</v>
      </c>
      <c r="T562" s="35">
        <f t="shared" si="127"/>
        <v>30</v>
      </c>
    </row>
    <row r="563" spans="1:20" ht="136.5" customHeight="1">
      <c r="A563" s="61" t="str">
        <f ca="1">IF(ISERROR(MATCH(B563,Код_КЦСР,0)),"",INDIRECT(ADDRESS(MATCH(B563,Код_КЦСР,0)+1,2,,,"КЦСР")))</f>
        <v>Осуществление сбора, транспортирования и утилизации ртутьсодержащих отходов от физических лиц (кроме потребителей ртутьсодержащих ламп, являющихся собственниками, нанимателями, пользователями помещений  в многоквартирных домах и имеющих заключенный собственниками указанных помещений договор управления многоквартирными домами или договор оказания услуги и (или) выполнения работ по содержанию и ремонту общего имущества в таких домах)</v>
      </c>
      <c r="B563" s="45" t="s">
        <v>546</v>
      </c>
      <c r="C563" s="8"/>
      <c r="D563" s="1"/>
      <c r="E563" s="104"/>
      <c r="F563" s="7">
        <f t="shared" ref="F563:S566" si="132">F564</f>
        <v>200</v>
      </c>
      <c r="G563" s="7">
        <f t="shared" si="132"/>
        <v>0</v>
      </c>
      <c r="H563" s="35">
        <f t="shared" si="128"/>
        <v>200</v>
      </c>
      <c r="I563" s="7">
        <f t="shared" si="132"/>
        <v>0</v>
      </c>
      <c r="J563" s="35">
        <f t="shared" si="125"/>
        <v>200</v>
      </c>
      <c r="K563" s="7">
        <f t="shared" si="132"/>
        <v>0</v>
      </c>
      <c r="L563" s="35">
        <f t="shared" si="123"/>
        <v>200</v>
      </c>
      <c r="M563" s="7">
        <f t="shared" si="132"/>
        <v>-164.3</v>
      </c>
      <c r="N563" s="35">
        <f t="shared" si="124"/>
        <v>35.699999999999989</v>
      </c>
      <c r="O563" s="7">
        <f t="shared" si="132"/>
        <v>0</v>
      </c>
      <c r="P563" s="35">
        <f t="shared" si="121"/>
        <v>35.699999999999989</v>
      </c>
      <c r="Q563" s="7">
        <f t="shared" si="132"/>
        <v>0</v>
      </c>
      <c r="R563" s="35">
        <f t="shared" si="122"/>
        <v>35.699999999999989</v>
      </c>
      <c r="S563" s="7">
        <f t="shared" si="132"/>
        <v>0</v>
      </c>
      <c r="T563" s="35">
        <f t="shared" si="127"/>
        <v>35.699999999999989</v>
      </c>
    </row>
    <row r="564" spans="1:20">
      <c r="A564" s="61" t="str">
        <f ca="1">IF(ISERROR(MATCH(C564,Код_Раздел,0)),"",INDIRECT(ADDRESS(MATCH(C564,Код_Раздел,0)+1,2,,,"Раздел")))</f>
        <v>Охрана окружающей среды</v>
      </c>
      <c r="B564" s="45" t="s">
        <v>546</v>
      </c>
      <c r="C564" s="8" t="s">
        <v>217</v>
      </c>
      <c r="D564" s="1"/>
      <c r="E564" s="104"/>
      <c r="F564" s="7">
        <f t="shared" si="132"/>
        <v>200</v>
      </c>
      <c r="G564" s="7">
        <f t="shared" si="132"/>
        <v>0</v>
      </c>
      <c r="H564" s="35">
        <f t="shared" si="128"/>
        <v>200</v>
      </c>
      <c r="I564" s="7">
        <f t="shared" si="132"/>
        <v>0</v>
      </c>
      <c r="J564" s="35">
        <f t="shared" si="125"/>
        <v>200</v>
      </c>
      <c r="K564" s="7">
        <f t="shared" si="132"/>
        <v>0</v>
      </c>
      <c r="L564" s="35">
        <f t="shared" si="123"/>
        <v>200</v>
      </c>
      <c r="M564" s="7">
        <f t="shared" si="132"/>
        <v>-164.3</v>
      </c>
      <c r="N564" s="35">
        <f t="shared" si="124"/>
        <v>35.699999999999989</v>
      </c>
      <c r="O564" s="7">
        <f t="shared" si="132"/>
        <v>0</v>
      </c>
      <c r="P564" s="35">
        <f t="shared" si="121"/>
        <v>35.699999999999989</v>
      </c>
      <c r="Q564" s="7">
        <f t="shared" si="132"/>
        <v>0</v>
      </c>
      <c r="R564" s="35">
        <f t="shared" si="122"/>
        <v>35.699999999999989</v>
      </c>
      <c r="S564" s="7">
        <f t="shared" si="132"/>
        <v>0</v>
      </c>
      <c r="T564" s="35">
        <f t="shared" si="127"/>
        <v>35.699999999999989</v>
      </c>
    </row>
    <row r="565" spans="1:20">
      <c r="A565" s="12" t="s">
        <v>255</v>
      </c>
      <c r="B565" s="45" t="s">
        <v>546</v>
      </c>
      <c r="C565" s="8" t="s">
        <v>217</v>
      </c>
      <c r="D565" s="1" t="s">
        <v>221</v>
      </c>
      <c r="E565" s="104"/>
      <c r="F565" s="7">
        <f t="shared" si="132"/>
        <v>200</v>
      </c>
      <c r="G565" s="7">
        <f t="shared" si="132"/>
        <v>0</v>
      </c>
      <c r="H565" s="35">
        <f t="shared" si="128"/>
        <v>200</v>
      </c>
      <c r="I565" s="7">
        <f t="shared" si="132"/>
        <v>0</v>
      </c>
      <c r="J565" s="35">
        <f t="shared" si="125"/>
        <v>200</v>
      </c>
      <c r="K565" s="7">
        <f t="shared" si="132"/>
        <v>0</v>
      </c>
      <c r="L565" s="35">
        <f t="shared" si="123"/>
        <v>200</v>
      </c>
      <c r="M565" s="7">
        <f t="shared" si="132"/>
        <v>-164.3</v>
      </c>
      <c r="N565" s="35">
        <f t="shared" si="124"/>
        <v>35.699999999999989</v>
      </c>
      <c r="O565" s="7">
        <f t="shared" si="132"/>
        <v>0</v>
      </c>
      <c r="P565" s="35">
        <f t="shared" si="121"/>
        <v>35.699999999999989</v>
      </c>
      <c r="Q565" s="7">
        <f t="shared" si="132"/>
        <v>0</v>
      </c>
      <c r="R565" s="35">
        <f t="shared" si="122"/>
        <v>35.699999999999989</v>
      </c>
      <c r="S565" s="7">
        <f t="shared" si="132"/>
        <v>0</v>
      </c>
      <c r="T565" s="35">
        <f t="shared" si="127"/>
        <v>35.699999999999989</v>
      </c>
    </row>
    <row r="566" spans="1:20">
      <c r="A566" s="61" t="str">
        <f ca="1">IF(ISERROR(MATCH(E566,Код_КВР,0)),"",INDIRECT(ADDRESS(MATCH(E566,Код_КВР,0)+1,2,,,"КВР")))</f>
        <v>Иные бюджетные ассигнования</v>
      </c>
      <c r="B566" s="45" t="s">
        <v>546</v>
      </c>
      <c r="C566" s="8" t="s">
        <v>217</v>
      </c>
      <c r="D566" s="1" t="s">
        <v>221</v>
      </c>
      <c r="E566" s="104">
        <v>800</v>
      </c>
      <c r="F566" s="7">
        <f t="shared" si="132"/>
        <v>200</v>
      </c>
      <c r="G566" s="7">
        <f t="shared" si="132"/>
        <v>0</v>
      </c>
      <c r="H566" s="35">
        <f t="shared" si="128"/>
        <v>200</v>
      </c>
      <c r="I566" s="7">
        <f t="shared" si="132"/>
        <v>0</v>
      </c>
      <c r="J566" s="35">
        <f t="shared" si="125"/>
        <v>200</v>
      </c>
      <c r="K566" s="7">
        <f t="shared" si="132"/>
        <v>0</v>
      </c>
      <c r="L566" s="35">
        <f t="shared" si="123"/>
        <v>200</v>
      </c>
      <c r="M566" s="7">
        <f t="shared" si="132"/>
        <v>-164.3</v>
      </c>
      <c r="N566" s="35">
        <f t="shared" si="124"/>
        <v>35.699999999999989</v>
      </c>
      <c r="O566" s="7">
        <f t="shared" si="132"/>
        <v>0</v>
      </c>
      <c r="P566" s="35">
        <f t="shared" si="121"/>
        <v>35.699999999999989</v>
      </c>
      <c r="Q566" s="7">
        <f t="shared" si="132"/>
        <v>0</v>
      </c>
      <c r="R566" s="35">
        <f t="shared" si="122"/>
        <v>35.699999999999989</v>
      </c>
      <c r="S566" s="7">
        <f t="shared" si="132"/>
        <v>0</v>
      </c>
      <c r="T566" s="35">
        <f t="shared" si="127"/>
        <v>35.699999999999989</v>
      </c>
    </row>
    <row r="567" spans="1:20" ht="52.7" customHeight="1">
      <c r="A567" s="61" t="str">
        <f ca="1">IF(ISERROR(MATCH(E567,Код_КВР,0)),"",INDIRECT(ADDRESS(MATCH(E567,Код_КВР,0)+1,2,,,"КВР")))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567" s="45" t="s">
        <v>546</v>
      </c>
      <c r="C567" s="8" t="s">
        <v>217</v>
      </c>
      <c r="D567" s="1" t="s">
        <v>221</v>
      </c>
      <c r="E567" s="104">
        <v>810</v>
      </c>
      <c r="F567" s="7">
        <f>прил.6!G531</f>
        <v>200</v>
      </c>
      <c r="G567" s="7">
        <f>прил.6!H531</f>
        <v>0</v>
      </c>
      <c r="H567" s="35">
        <f t="shared" si="128"/>
        <v>200</v>
      </c>
      <c r="I567" s="7">
        <f>прил.6!J531</f>
        <v>0</v>
      </c>
      <c r="J567" s="35">
        <f t="shared" si="125"/>
        <v>200</v>
      </c>
      <c r="K567" s="7">
        <f>прил.6!L531</f>
        <v>0</v>
      </c>
      <c r="L567" s="35">
        <f t="shared" si="123"/>
        <v>200</v>
      </c>
      <c r="M567" s="7">
        <f>прил.6!N531</f>
        <v>-164.3</v>
      </c>
      <c r="N567" s="35">
        <f t="shared" si="124"/>
        <v>35.699999999999989</v>
      </c>
      <c r="O567" s="7">
        <f>прил.6!P531</f>
        <v>0</v>
      </c>
      <c r="P567" s="35">
        <f t="shared" si="121"/>
        <v>35.699999999999989</v>
      </c>
      <c r="Q567" s="7">
        <f>прил.6!R531</f>
        <v>0</v>
      </c>
      <c r="R567" s="35">
        <f t="shared" si="122"/>
        <v>35.699999999999989</v>
      </c>
      <c r="S567" s="7">
        <f>прил.6!T531</f>
        <v>0</v>
      </c>
      <c r="T567" s="35">
        <f t="shared" si="127"/>
        <v>35.699999999999989</v>
      </c>
    </row>
    <row r="568" spans="1:20" ht="37.5" customHeight="1">
      <c r="A568" s="61" t="str">
        <f ca="1">IF(ISERROR(MATCH(B568,Код_КЦСР,0)),"",INDIRECT(ADDRESS(MATCH(B568,Код_КЦСР,0)+1,2,,,"КЦСР")))</f>
        <v>Муниципальная программа «Содействие развитию потребительского рынка в городе Череповце на 2013-2017 годы»</v>
      </c>
      <c r="B568" s="45" t="s">
        <v>547</v>
      </c>
      <c r="C568" s="8"/>
      <c r="D568" s="1"/>
      <c r="E568" s="104"/>
      <c r="F568" s="7">
        <f t="shared" ref="F568:S573" si="133">F569</f>
        <v>150</v>
      </c>
      <c r="G568" s="7">
        <f t="shared" si="133"/>
        <v>0</v>
      </c>
      <c r="H568" s="35">
        <f t="shared" si="128"/>
        <v>150</v>
      </c>
      <c r="I568" s="7">
        <f t="shared" si="133"/>
        <v>0</v>
      </c>
      <c r="J568" s="35">
        <f t="shared" si="125"/>
        <v>150</v>
      </c>
      <c r="K568" s="7">
        <f t="shared" si="133"/>
        <v>0</v>
      </c>
      <c r="L568" s="35">
        <f t="shared" si="123"/>
        <v>150</v>
      </c>
      <c r="M568" s="7">
        <f t="shared" si="133"/>
        <v>0</v>
      </c>
      <c r="N568" s="35">
        <f t="shared" si="124"/>
        <v>150</v>
      </c>
      <c r="O568" s="7">
        <f t="shared" si="133"/>
        <v>0</v>
      </c>
      <c r="P568" s="35">
        <f t="shared" si="121"/>
        <v>150</v>
      </c>
      <c r="Q568" s="7">
        <f t="shared" si="133"/>
        <v>0</v>
      </c>
      <c r="R568" s="35">
        <f t="shared" si="122"/>
        <v>150</v>
      </c>
      <c r="S568" s="7">
        <f t="shared" si="133"/>
        <v>0</v>
      </c>
      <c r="T568" s="35">
        <f t="shared" si="127"/>
        <v>150</v>
      </c>
    </row>
    <row r="569" spans="1:20" ht="52.7" customHeight="1">
      <c r="A569" s="61" t="str">
        <f ca="1">IF(ISERROR(MATCH(B569,Код_КЦСР,0)),"",INDIRECT(ADDRESS(MATCH(B569,Код_КЦСР,0)+1,2,,,"КЦСР")))</f>
        <v>Повышение качества и безопасности товаров и услуг на потребительском рынке посредством проведения конкурсов среди предприятий сферы потребительского рынка</v>
      </c>
      <c r="B569" s="45" t="s">
        <v>549</v>
      </c>
      <c r="C569" s="8"/>
      <c r="D569" s="1"/>
      <c r="E569" s="104"/>
      <c r="F569" s="7">
        <f t="shared" si="133"/>
        <v>150</v>
      </c>
      <c r="G569" s="7">
        <f t="shared" si="133"/>
        <v>0</v>
      </c>
      <c r="H569" s="35">
        <f t="shared" si="128"/>
        <v>150</v>
      </c>
      <c r="I569" s="7">
        <f t="shared" si="133"/>
        <v>0</v>
      </c>
      <c r="J569" s="35">
        <f t="shared" si="125"/>
        <v>150</v>
      </c>
      <c r="K569" s="7">
        <f t="shared" si="133"/>
        <v>0</v>
      </c>
      <c r="L569" s="35">
        <f t="shared" si="123"/>
        <v>150</v>
      </c>
      <c r="M569" s="7">
        <f t="shared" si="133"/>
        <v>0</v>
      </c>
      <c r="N569" s="35">
        <f t="shared" si="124"/>
        <v>150</v>
      </c>
      <c r="O569" s="7">
        <f t="shared" si="133"/>
        <v>0</v>
      </c>
      <c r="P569" s="35">
        <f t="shared" si="121"/>
        <v>150</v>
      </c>
      <c r="Q569" s="7">
        <f t="shared" si="133"/>
        <v>0</v>
      </c>
      <c r="R569" s="35">
        <f t="shared" si="122"/>
        <v>150</v>
      </c>
      <c r="S569" s="7">
        <f t="shared" si="133"/>
        <v>0</v>
      </c>
      <c r="T569" s="35">
        <f t="shared" si="127"/>
        <v>150</v>
      </c>
    </row>
    <row r="570" spans="1:20">
      <c r="A570" s="61" t="str">
        <f ca="1">IF(ISERROR(MATCH(C570,Код_Раздел,0)),"",INDIRECT(ADDRESS(MATCH(C570,Код_Раздел,0)+1,2,,,"Раздел")))</f>
        <v>Общегосударственные  вопросы</v>
      </c>
      <c r="B570" s="104" t="s">
        <v>549</v>
      </c>
      <c r="C570" s="8" t="s">
        <v>213</v>
      </c>
      <c r="D570" s="1"/>
      <c r="E570" s="104"/>
      <c r="F570" s="7">
        <f t="shared" si="133"/>
        <v>150</v>
      </c>
      <c r="G570" s="7">
        <f t="shared" si="133"/>
        <v>0</v>
      </c>
      <c r="H570" s="35">
        <f t="shared" si="128"/>
        <v>150</v>
      </c>
      <c r="I570" s="7">
        <f t="shared" si="133"/>
        <v>0</v>
      </c>
      <c r="J570" s="35">
        <f t="shared" si="125"/>
        <v>150</v>
      </c>
      <c r="K570" s="7">
        <f t="shared" si="133"/>
        <v>0</v>
      </c>
      <c r="L570" s="35">
        <f t="shared" si="123"/>
        <v>150</v>
      </c>
      <c r="M570" s="7">
        <f t="shared" si="133"/>
        <v>0</v>
      </c>
      <c r="N570" s="35">
        <f t="shared" si="124"/>
        <v>150</v>
      </c>
      <c r="O570" s="7">
        <f t="shared" si="133"/>
        <v>0</v>
      </c>
      <c r="P570" s="35">
        <f t="shared" si="121"/>
        <v>150</v>
      </c>
      <c r="Q570" s="7">
        <f t="shared" si="133"/>
        <v>0</v>
      </c>
      <c r="R570" s="35">
        <f t="shared" si="122"/>
        <v>150</v>
      </c>
      <c r="S570" s="7">
        <f t="shared" si="133"/>
        <v>0</v>
      </c>
      <c r="T570" s="35">
        <f t="shared" si="127"/>
        <v>150</v>
      </c>
    </row>
    <row r="571" spans="1:20">
      <c r="A571" s="12" t="s">
        <v>237</v>
      </c>
      <c r="B571" s="104" t="s">
        <v>549</v>
      </c>
      <c r="C571" s="8" t="s">
        <v>213</v>
      </c>
      <c r="D571" s="1" t="s">
        <v>190</v>
      </c>
      <c r="E571" s="104"/>
      <c r="F571" s="7">
        <f t="shared" si="133"/>
        <v>150</v>
      </c>
      <c r="G571" s="7">
        <f t="shared" si="133"/>
        <v>0</v>
      </c>
      <c r="H571" s="35">
        <f t="shared" si="128"/>
        <v>150</v>
      </c>
      <c r="I571" s="7">
        <f t="shared" si="133"/>
        <v>0</v>
      </c>
      <c r="J571" s="35">
        <f t="shared" si="125"/>
        <v>150</v>
      </c>
      <c r="K571" s="7">
        <f t="shared" si="133"/>
        <v>0</v>
      </c>
      <c r="L571" s="35">
        <f t="shared" si="123"/>
        <v>150</v>
      </c>
      <c r="M571" s="7">
        <f t="shared" si="133"/>
        <v>0</v>
      </c>
      <c r="N571" s="35">
        <f t="shared" si="124"/>
        <v>150</v>
      </c>
      <c r="O571" s="7">
        <f t="shared" si="133"/>
        <v>0</v>
      </c>
      <c r="P571" s="35">
        <f t="shared" si="121"/>
        <v>150</v>
      </c>
      <c r="Q571" s="7">
        <f t="shared" si="133"/>
        <v>0</v>
      </c>
      <c r="R571" s="35">
        <f t="shared" si="122"/>
        <v>150</v>
      </c>
      <c r="S571" s="7">
        <f t="shared" si="133"/>
        <v>0</v>
      </c>
      <c r="T571" s="35">
        <f t="shared" si="127"/>
        <v>150</v>
      </c>
    </row>
    <row r="572" spans="1:20">
      <c r="A572" s="61" t="str">
        <f ca="1">IF(ISERROR(MATCH(E572,Код_КВР,0)),"",INDIRECT(ADDRESS(MATCH(E572,Код_КВР,0)+1,2,,,"КВР")))</f>
        <v>Закупка товаров, работ и услуг для муниципальных нужд</v>
      </c>
      <c r="B572" s="104" t="s">
        <v>549</v>
      </c>
      <c r="C572" s="8" t="s">
        <v>213</v>
      </c>
      <c r="D572" s="1" t="s">
        <v>190</v>
      </c>
      <c r="E572" s="104">
        <v>200</v>
      </c>
      <c r="F572" s="7">
        <f t="shared" si="133"/>
        <v>150</v>
      </c>
      <c r="G572" s="7">
        <f t="shared" si="133"/>
        <v>0</v>
      </c>
      <c r="H572" s="35">
        <f t="shared" si="128"/>
        <v>150</v>
      </c>
      <c r="I572" s="7">
        <f t="shared" si="133"/>
        <v>0</v>
      </c>
      <c r="J572" s="35">
        <f t="shared" si="125"/>
        <v>150</v>
      </c>
      <c r="K572" s="7">
        <f t="shared" si="133"/>
        <v>0</v>
      </c>
      <c r="L572" s="35">
        <f t="shared" si="123"/>
        <v>150</v>
      </c>
      <c r="M572" s="7">
        <f t="shared" si="133"/>
        <v>0</v>
      </c>
      <c r="N572" s="35">
        <f t="shared" si="124"/>
        <v>150</v>
      </c>
      <c r="O572" s="7">
        <f t="shared" si="133"/>
        <v>0</v>
      </c>
      <c r="P572" s="35">
        <f t="shared" si="121"/>
        <v>150</v>
      </c>
      <c r="Q572" s="7">
        <f t="shared" si="133"/>
        <v>0</v>
      </c>
      <c r="R572" s="35">
        <f t="shared" si="122"/>
        <v>150</v>
      </c>
      <c r="S572" s="7">
        <f t="shared" si="133"/>
        <v>0</v>
      </c>
      <c r="T572" s="35">
        <f t="shared" si="127"/>
        <v>150</v>
      </c>
    </row>
    <row r="573" spans="1:20" ht="33">
      <c r="A573" s="61" t="str">
        <f ca="1">IF(ISERROR(MATCH(E573,Код_КВР,0)),"",INDIRECT(ADDRESS(MATCH(E573,Код_КВР,0)+1,2,,,"КВР")))</f>
        <v>Иные закупки товаров, работ и услуг для обеспечения муниципальных нужд</v>
      </c>
      <c r="B573" s="104" t="s">
        <v>549</v>
      </c>
      <c r="C573" s="8" t="s">
        <v>213</v>
      </c>
      <c r="D573" s="1" t="s">
        <v>190</v>
      </c>
      <c r="E573" s="104">
        <v>240</v>
      </c>
      <c r="F573" s="7">
        <f t="shared" si="133"/>
        <v>150</v>
      </c>
      <c r="G573" s="7">
        <f t="shared" si="133"/>
        <v>0</v>
      </c>
      <c r="H573" s="35">
        <f t="shared" si="128"/>
        <v>150</v>
      </c>
      <c r="I573" s="7">
        <f t="shared" si="133"/>
        <v>0</v>
      </c>
      <c r="J573" s="35">
        <f t="shared" si="125"/>
        <v>150</v>
      </c>
      <c r="K573" s="7">
        <f t="shared" si="133"/>
        <v>0</v>
      </c>
      <c r="L573" s="35">
        <f t="shared" si="123"/>
        <v>150</v>
      </c>
      <c r="M573" s="7">
        <f t="shared" si="133"/>
        <v>0</v>
      </c>
      <c r="N573" s="35">
        <f t="shared" si="124"/>
        <v>150</v>
      </c>
      <c r="O573" s="7">
        <f t="shared" si="133"/>
        <v>0</v>
      </c>
      <c r="P573" s="35">
        <f t="shared" si="121"/>
        <v>150</v>
      </c>
      <c r="Q573" s="7">
        <f t="shared" si="133"/>
        <v>0</v>
      </c>
      <c r="R573" s="35">
        <f t="shared" si="122"/>
        <v>150</v>
      </c>
      <c r="S573" s="7">
        <f t="shared" si="133"/>
        <v>0</v>
      </c>
      <c r="T573" s="35">
        <f t="shared" si="127"/>
        <v>150</v>
      </c>
    </row>
    <row r="574" spans="1:20" ht="33">
      <c r="A574" s="61" t="str">
        <f ca="1">IF(ISERROR(MATCH(E574,Код_КВР,0)),"",INDIRECT(ADDRESS(MATCH(E574,Код_КВР,0)+1,2,,,"КВР")))</f>
        <v xml:space="preserve">Прочая закупка товаров, работ и услуг для обеспечения муниципальных нужд         </v>
      </c>
      <c r="B574" s="104" t="s">
        <v>549</v>
      </c>
      <c r="C574" s="8" t="s">
        <v>213</v>
      </c>
      <c r="D574" s="1" t="s">
        <v>190</v>
      </c>
      <c r="E574" s="104">
        <v>244</v>
      </c>
      <c r="F574" s="7">
        <f>прил.6!G94</f>
        <v>150</v>
      </c>
      <c r="G574" s="7">
        <f>прил.6!H94</f>
        <v>0</v>
      </c>
      <c r="H574" s="35">
        <f t="shared" si="128"/>
        <v>150</v>
      </c>
      <c r="I574" s="7">
        <f>прил.6!J94</f>
        <v>0</v>
      </c>
      <c r="J574" s="35">
        <f t="shared" si="125"/>
        <v>150</v>
      </c>
      <c r="K574" s="7">
        <f>прил.6!L94</f>
        <v>0</v>
      </c>
      <c r="L574" s="35">
        <f t="shared" si="123"/>
        <v>150</v>
      </c>
      <c r="M574" s="7">
        <f>прил.6!N94</f>
        <v>0</v>
      </c>
      <c r="N574" s="35">
        <f t="shared" si="124"/>
        <v>150</v>
      </c>
      <c r="O574" s="7">
        <f>прил.6!P94</f>
        <v>0</v>
      </c>
      <c r="P574" s="35">
        <f t="shared" si="121"/>
        <v>150</v>
      </c>
      <c r="Q574" s="7">
        <f>прил.6!R94</f>
        <v>0</v>
      </c>
      <c r="R574" s="35">
        <f t="shared" si="122"/>
        <v>150</v>
      </c>
      <c r="S574" s="7">
        <f>прил.6!T94</f>
        <v>0</v>
      </c>
      <c r="T574" s="35">
        <f t="shared" si="127"/>
        <v>150</v>
      </c>
    </row>
    <row r="575" spans="1:20" ht="49.5">
      <c r="A575" s="61" t="str">
        <f ca="1">IF(ISERROR(MATCH(B575,Код_КЦСР,0)),"",INDIRECT(ADDRESS(MATCH(B575,Код_КЦСР,0)+1,2,,,"КЦСР")))</f>
        <v>Муниципальная программа «Поддержка и развитие малого и среднего предпринимательства в городе Череповце на 2013-2017 годы»</v>
      </c>
      <c r="B575" s="45" t="s">
        <v>550</v>
      </c>
      <c r="C575" s="8"/>
      <c r="D575" s="1"/>
      <c r="E575" s="104"/>
      <c r="F575" s="7">
        <f>F576+F581</f>
        <v>3117.5</v>
      </c>
      <c r="G575" s="7">
        <f>G576+G581</f>
        <v>0</v>
      </c>
      <c r="H575" s="35">
        <f t="shared" si="128"/>
        <v>3117.5</v>
      </c>
      <c r="I575" s="7">
        <f>I576+I581</f>
        <v>0</v>
      </c>
      <c r="J575" s="35">
        <f t="shared" si="125"/>
        <v>3117.5</v>
      </c>
      <c r="K575" s="7">
        <f>K576+K581</f>
        <v>0</v>
      </c>
      <c r="L575" s="35">
        <f t="shared" si="123"/>
        <v>3117.5</v>
      </c>
      <c r="M575" s="7">
        <f>M576+M581</f>
        <v>278</v>
      </c>
      <c r="N575" s="35">
        <f t="shared" si="124"/>
        <v>3395.5</v>
      </c>
      <c r="O575" s="7">
        <f>O576+O581</f>
        <v>0</v>
      </c>
      <c r="P575" s="35">
        <f t="shared" si="121"/>
        <v>3395.5</v>
      </c>
      <c r="Q575" s="7">
        <f>Q576+Q581+Q586</f>
        <v>312.60000000000002</v>
      </c>
      <c r="R575" s="35">
        <f t="shared" si="122"/>
        <v>3708.1</v>
      </c>
      <c r="S575" s="7">
        <f>S576+S581+S586</f>
        <v>0</v>
      </c>
      <c r="T575" s="35">
        <f t="shared" si="127"/>
        <v>3708.1</v>
      </c>
    </row>
    <row r="576" spans="1:20" ht="35.25" customHeight="1">
      <c r="A576" s="61" t="str">
        <f ca="1">IF(ISERROR(MATCH(B576,Код_КЦСР,0)),"",INDIRECT(ADDRESS(MATCH(B576,Код_КЦСР,0)+1,2,,,"КЦСР")))</f>
        <v>Субсидии организациям, образующим инфраструктуру поддержки МСП: НП «Агентство Городского Развития»</v>
      </c>
      <c r="B576" s="45" t="s">
        <v>552</v>
      </c>
      <c r="C576" s="8"/>
      <c r="D576" s="1"/>
      <c r="E576" s="104"/>
      <c r="F576" s="7">
        <f t="shared" ref="F576:S579" si="134">F577</f>
        <v>3115</v>
      </c>
      <c r="G576" s="7">
        <f t="shared" si="134"/>
        <v>0</v>
      </c>
      <c r="H576" s="35">
        <f t="shared" si="128"/>
        <v>3115</v>
      </c>
      <c r="I576" s="7">
        <f t="shared" si="134"/>
        <v>0</v>
      </c>
      <c r="J576" s="35">
        <f t="shared" si="125"/>
        <v>3115</v>
      </c>
      <c r="K576" s="7">
        <f t="shared" si="134"/>
        <v>0</v>
      </c>
      <c r="L576" s="35">
        <f t="shared" si="123"/>
        <v>3115</v>
      </c>
      <c r="M576" s="7">
        <f t="shared" si="134"/>
        <v>278</v>
      </c>
      <c r="N576" s="35">
        <f t="shared" si="124"/>
        <v>3393</v>
      </c>
      <c r="O576" s="7">
        <f t="shared" si="134"/>
        <v>0</v>
      </c>
      <c r="P576" s="35">
        <f t="shared" si="121"/>
        <v>3393</v>
      </c>
      <c r="Q576" s="7">
        <f t="shared" si="134"/>
        <v>0</v>
      </c>
      <c r="R576" s="35">
        <f t="shared" si="122"/>
        <v>3393</v>
      </c>
      <c r="S576" s="7">
        <f t="shared" si="134"/>
        <v>0</v>
      </c>
      <c r="T576" s="35">
        <f t="shared" si="127"/>
        <v>3393</v>
      </c>
    </row>
    <row r="577" spans="1:20" ht="17.25" customHeight="1">
      <c r="A577" s="61" t="str">
        <f ca="1">IF(ISERROR(MATCH(C577,Код_Раздел,0)),"",INDIRECT(ADDRESS(MATCH(C577,Код_Раздел,0)+1,2,,,"Раздел")))</f>
        <v>Национальная экономика</v>
      </c>
      <c r="B577" s="45" t="s">
        <v>552</v>
      </c>
      <c r="C577" s="8" t="s">
        <v>216</v>
      </c>
      <c r="D577" s="1"/>
      <c r="E577" s="104"/>
      <c r="F577" s="7">
        <f t="shared" si="134"/>
        <v>3115</v>
      </c>
      <c r="G577" s="7">
        <f t="shared" si="134"/>
        <v>0</v>
      </c>
      <c r="H577" s="35">
        <f t="shared" si="128"/>
        <v>3115</v>
      </c>
      <c r="I577" s="7">
        <f t="shared" si="134"/>
        <v>0</v>
      </c>
      <c r="J577" s="35">
        <f t="shared" si="125"/>
        <v>3115</v>
      </c>
      <c r="K577" s="7">
        <f t="shared" si="134"/>
        <v>0</v>
      </c>
      <c r="L577" s="35">
        <f t="shared" si="123"/>
        <v>3115</v>
      </c>
      <c r="M577" s="7">
        <f t="shared" si="134"/>
        <v>278</v>
      </c>
      <c r="N577" s="35">
        <f t="shared" si="124"/>
        <v>3393</v>
      </c>
      <c r="O577" s="7">
        <f t="shared" si="134"/>
        <v>0</v>
      </c>
      <c r="P577" s="35">
        <f t="shared" si="121"/>
        <v>3393</v>
      </c>
      <c r="Q577" s="7">
        <f t="shared" si="134"/>
        <v>0</v>
      </c>
      <c r="R577" s="35">
        <f t="shared" si="122"/>
        <v>3393</v>
      </c>
      <c r="S577" s="7">
        <f t="shared" si="134"/>
        <v>0</v>
      </c>
      <c r="T577" s="35">
        <f t="shared" si="127"/>
        <v>3393</v>
      </c>
    </row>
    <row r="578" spans="1:20" ht="19.5" customHeight="1">
      <c r="A578" s="12" t="s">
        <v>223</v>
      </c>
      <c r="B578" s="45" t="s">
        <v>552</v>
      </c>
      <c r="C578" s="8" t="s">
        <v>216</v>
      </c>
      <c r="D578" s="8" t="s">
        <v>196</v>
      </c>
      <c r="E578" s="104"/>
      <c r="F578" s="7">
        <f t="shared" si="134"/>
        <v>3115</v>
      </c>
      <c r="G578" s="7">
        <f t="shared" si="134"/>
        <v>0</v>
      </c>
      <c r="H578" s="35">
        <f t="shared" si="128"/>
        <v>3115</v>
      </c>
      <c r="I578" s="7">
        <f t="shared" si="134"/>
        <v>0</v>
      </c>
      <c r="J578" s="35">
        <f t="shared" si="125"/>
        <v>3115</v>
      </c>
      <c r="K578" s="7">
        <f t="shared" si="134"/>
        <v>0</v>
      </c>
      <c r="L578" s="35">
        <f t="shared" si="123"/>
        <v>3115</v>
      </c>
      <c r="M578" s="7">
        <f t="shared" si="134"/>
        <v>278</v>
      </c>
      <c r="N578" s="35">
        <f t="shared" si="124"/>
        <v>3393</v>
      </c>
      <c r="O578" s="7">
        <f t="shared" si="134"/>
        <v>0</v>
      </c>
      <c r="P578" s="35">
        <f t="shared" si="121"/>
        <v>3393</v>
      </c>
      <c r="Q578" s="7">
        <f t="shared" si="134"/>
        <v>0</v>
      </c>
      <c r="R578" s="35">
        <f t="shared" si="122"/>
        <v>3393</v>
      </c>
      <c r="S578" s="7">
        <f t="shared" si="134"/>
        <v>0</v>
      </c>
      <c r="T578" s="35">
        <f t="shared" si="127"/>
        <v>3393</v>
      </c>
    </row>
    <row r="579" spans="1:20" ht="36.75" customHeight="1">
      <c r="A579" s="61" t="str">
        <f ca="1">IF(ISERROR(MATCH(E579,Код_КВР,0)),"",INDIRECT(ADDRESS(MATCH(E579,Код_КВР,0)+1,2,,,"КВР")))</f>
        <v>Предоставление субсидий бюджетным, автономным учреждениям и иным некоммерческим организациям</v>
      </c>
      <c r="B579" s="45" t="s">
        <v>552</v>
      </c>
      <c r="C579" s="8" t="s">
        <v>216</v>
      </c>
      <c r="D579" s="8" t="s">
        <v>196</v>
      </c>
      <c r="E579" s="104">
        <v>600</v>
      </c>
      <c r="F579" s="7">
        <f t="shared" si="134"/>
        <v>3115</v>
      </c>
      <c r="G579" s="7">
        <f t="shared" si="134"/>
        <v>0</v>
      </c>
      <c r="H579" s="35">
        <f t="shared" si="128"/>
        <v>3115</v>
      </c>
      <c r="I579" s="7">
        <f t="shared" si="134"/>
        <v>0</v>
      </c>
      <c r="J579" s="35">
        <f t="shared" si="125"/>
        <v>3115</v>
      </c>
      <c r="K579" s="7">
        <f t="shared" si="134"/>
        <v>0</v>
      </c>
      <c r="L579" s="35">
        <f t="shared" si="123"/>
        <v>3115</v>
      </c>
      <c r="M579" s="7">
        <f t="shared" si="134"/>
        <v>278</v>
      </c>
      <c r="N579" s="35">
        <f t="shared" si="124"/>
        <v>3393</v>
      </c>
      <c r="O579" s="7">
        <f t="shared" si="134"/>
        <v>0</v>
      </c>
      <c r="P579" s="35">
        <f t="shared" si="121"/>
        <v>3393</v>
      </c>
      <c r="Q579" s="7">
        <f t="shared" si="134"/>
        <v>0</v>
      </c>
      <c r="R579" s="35">
        <f t="shared" si="122"/>
        <v>3393</v>
      </c>
      <c r="S579" s="7">
        <f t="shared" si="134"/>
        <v>0</v>
      </c>
      <c r="T579" s="35">
        <f t="shared" si="127"/>
        <v>3393</v>
      </c>
    </row>
    <row r="580" spans="1:20" ht="35.25" customHeight="1">
      <c r="A580" s="61" t="str">
        <f ca="1">IF(ISERROR(MATCH(E580,Код_КВР,0)),"",INDIRECT(ADDRESS(MATCH(E580,Код_КВР,0)+1,2,,,"КВР")))</f>
        <v>Субсидии некоммерческим организациям (за исключением государственных (муниципальных) учреждений)</v>
      </c>
      <c r="B580" s="45" t="s">
        <v>552</v>
      </c>
      <c r="C580" s="8" t="s">
        <v>216</v>
      </c>
      <c r="D580" s="8" t="s">
        <v>196</v>
      </c>
      <c r="E580" s="104">
        <v>630</v>
      </c>
      <c r="F580" s="7">
        <f>прил.6!G281</f>
        <v>3115</v>
      </c>
      <c r="G580" s="7">
        <f>прил.6!H281</f>
        <v>0</v>
      </c>
      <c r="H580" s="35">
        <f t="shared" si="128"/>
        <v>3115</v>
      </c>
      <c r="I580" s="7">
        <f>прил.6!J281</f>
        <v>0</v>
      </c>
      <c r="J580" s="35">
        <f t="shared" si="125"/>
        <v>3115</v>
      </c>
      <c r="K580" s="7">
        <f>прил.6!L281</f>
        <v>0</v>
      </c>
      <c r="L580" s="35">
        <f t="shared" si="123"/>
        <v>3115</v>
      </c>
      <c r="M580" s="7">
        <f>прил.6!N281</f>
        <v>278</v>
      </c>
      <c r="N580" s="35">
        <f t="shared" si="124"/>
        <v>3393</v>
      </c>
      <c r="O580" s="7">
        <f>прил.6!P281</f>
        <v>0</v>
      </c>
      <c r="P580" s="35">
        <f t="shared" si="121"/>
        <v>3393</v>
      </c>
      <c r="Q580" s="7">
        <f>прил.6!R281</f>
        <v>0</v>
      </c>
      <c r="R580" s="35">
        <f t="shared" si="122"/>
        <v>3393</v>
      </c>
      <c r="S580" s="7">
        <f>прил.6!T281</f>
        <v>0</v>
      </c>
      <c r="T580" s="35">
        <f t="shared" si="127"/>
        <v>3393</v>
      </c>
    </row>
    <row r="581" spans="1:20" ht="50.25" customHeight="1">
      <c r="A581" s="61" t="str">
        <f ca="1">IF(ISERROR(MATCH(B581,Код_КЦСР,0)),"",INDIRECT(ADDRESS(MATCH(B581,Код_КЦСР,0)+1,2,,,"КЦСР")))</f>
        <v>Субсидии организациям, образующим инфраструктуру поддержки МСП: Вологодская торгово-промышленная палата (членский взнос)</v>
      </c>
      <c r="B581" s="47" t="s">
        <v>554</v>
      </c>
      <c r="C581" s="8"/>
      <c r="D581" s="1"/>
      <c r="E581" s="104"/>
      <c r="F581" s="7">
        <f t="shared" ref="F581:S584" si="135">F582</f>
        <v>2.5</v>
      </c>
      <c r="G581" s="7">
        <f t="shared" si="135"/>
        <v>0</v>
      </c>
      <c r="H581" s="35">
        <f t="shared" si="128"/>
        <v>2.5</v>
      </c>
      <c r="I581" s="7">
        <f t="shared" si="135"/>
        <v>0</v>
      </c>
      <c r="J581" s="35">
        <f t="shared" si="125"/>
        <v>2.5</v>
      </c>
      <c r="K581" s="7">
        <f t="shared" si="135"/>
        <v>0</v>
      </c>
      <c r="L581" s="35">
        <f t="shared" si="123"/>
        <v>2.5</v>
      </c>
      <c r="M581" s="7">
        <f t="shared" si="135"/>
        <v>0</v>
      </c>
      <c r="N581" s="35">
        <f t="shared" si="124"/>
        <v>2.5</v>
      </c>
      <c r="O581" s="7">
        <f t="shared" si="135"/>
        <v>0</v>
      </c>
      <c r="P581" s="35">
        <f t="shared" si="121"/>
        <v>2.5</v>
      </c>
      <c r="Q581" s="7">
        <f t="shared" si="135"/>
        <v>0</v>
      </c>
      <c r="R581" s="35">
        <f t="shared" si="122"/>
        <v>2.5</v>
      </c>
      <c r="S581" s="7">
        <f t="shared" si="135"/>
        <v>0</v>
      </c>
      <c r="T581" s="35">
        <f t="shared" si="127"/>
        <v>2.5</v>
      </c>
    </row>
    <row r="582" spans="1:20">
      <c r="A582" s="61" t="str">
        <f ca="1">IF(ISERROR(MATCH(C582,Код_Раздел,0)),"",INDIRECT(ADDRESS(MATCH(C582,Код_Раздел,0)+1,2,,,"Раздел")))</f>
        <v>Национальная экономика</v>
      </c>
      <c r="B582" s="47" t="s">
        <v>554</v>
      </c>
      <c r="C582" s="8" t="s">
        <v>216</v>
      </c>
      <c r="D582" s="1"/>
      <c r="E582" s="104"/>
      <c r="F582" s="7">
        <f t="shared" si="135"/>
        <v>2.5</v>
      </c>
      <c r="G582" s="7">
        <f t="shared" si="135"/>
        <v>0</v>
      </c>
      <c r="H582" s="35">
        <f t="shared" si="128"/>
        <v>2.5</v>
      </c>
      <c r="I582" s="7">
        <f t="shared" si="135"/>
        <v>0</v>
      </c>
      <c r="J582" s="35">
        <f t="shared" si="125"/>
        <v>2.5</v>
      </c>
      <c r="K582" s="7">
        <f t="shared" si="135"/>
        <v>0</v>
      </c>
      <c r="L582" s="35">
        <f t="shared" si="123"/>
        <v>2.5</v>
      </c>
      <c r="M582" s="7">
        <f t="shared" si="135"/>
        <v>0</v>
      </c>
      <c r="N582" s="35">
        <f t="shared" si="124"/>
        <v>2.5</v>
      </c>
      <c r="O582" s="7">
        <f t="shared" si="135"/>
        <v>0</v>
      </c>
      <c r="P582" s="35">
        <f t="shared" si="121"/>
        <v>2.5</v>
      </c>
      <c r="Q582" s="7">
        <f t="shared" si="135"/>
        <v>0</v>
      </c>
      <c r="R582" s="35">
        <f t="shared" si="122"/>
        <v>2.5</v>
      </c>
      <c r="S582" s="7">
        <f t="shared" si="135"/>
        <v>0</v>
      </c>
      <c r="T582" s="35">
        <f t="shared" si="127"/>
        <v>2.5</v>
      </c>
    </row>
    <row r="583" spans="1:20">
      <c r="A583" s="12" t="s">
        <v>223</v>
      </c>
      <c r="B583" s="47" t="s">
        <v>554</v>
      </c>
      <c r="C583" s="8" t="s">
        <v>216</v>
      </c>
      <c r="D583" s="8" t="s">
        <v>196</v>
      </c>
      <c r="E583" s="104"/>
      <c r="F583" s="7">
        <f t="shared" si="135"/>
        <v>2.5</v>
      </c>
      <c r="G583" s="7">
        <f t="shared" si="135"/>
        <v>0</v>
      </c>
      <c r="H583" s="35">
        <f t="shared" si="128"/>
        <v>2.5</v>
      </c>
      <c r="I583" s="7">
        <f t="shared" si="135"/>
        <v>0</v>
      </c>
      <c r="J583" s="35">
        <f t="shared" si="125"/>
        <v>2.5</v>
      </c>
      <c r="K583" s="7">
        <f t="shared" si="135"/>
        <v>0</v>
      </c>
      <c r="L583" s="35">
        <f t="shared" si="123"/>
        <v>2.5</v>
      </c>
      <c r="M583" s="7">
        <f t="shared" si="135"/>
        <v>0</v>
      </c>
      <c r="N583" s="35">
        <f t="shared" si="124"/>
        <v>2.5</v>
      </c>
      <c r="O583" s="7">
        <f t="shared" si="135"/>
        <v>0</v>
      </c>
      <c r="P583" s="35">
        <f t="shared" si="121"/>
        <v>2.5</v>
      </c>
      <c r="Q583" s="7">
        <f t="shared" si="135"/>
        <v>0</v>
      </c>
      <c r="R583" s="35">
        <f t="shared" si="122"/>
        <v>2.5</v>
      </c>
      <c r="S583" s="7">
        <f t="shared" si="135"/>
        <v>0</v>
      </c>
      <c r="T583" s="35">
        <f t="shared" si="127"/>
        <v>2.5</v>
      </c>
    </row>
    <row r="584" spans="1:20" ht="33">
      <c r="A584" s="61" t="str">
        <f ca="1">IF(ISERROR(MATCH(E584,Код_КВР,0)),"",INDIRECT(ADDRESS(MATCH(E584,Код_КВР,0)+1,2,,,"КВР")))</f>
        <v>Предоставление субсидий бюджетным, автономным учреждениям и иным некоммерческим организациям</v>
      </c>
      <c r="B584" s="47" t="s">
        <v>554</v>
      </c>
      <c r="C584" s="8" t="s">
        <v>216</v>
      </c>
      <c r="D584" s="8" t="s">
        <v>196</v>
      </c>
      <c r="E584" s="104">
        <v>600</v>
      </c>
      <c r="F584" s="7">
        <f t="shared" si="135"/>
        <v>2.5</v>
      </c>
      <c r="G584" s="7">
        <f t="shared" si="135"/>
        <v>0</v>
      </c>
      <c r="H584" s="35">
        <f t="shared" si="128"/>
        <v>2.5</v>
      </c>
      <c r="I584" s="7">
        <f t="shared" si="135"/>
        <v>0</v>
      </c>
      <c r="J584" s="35">
        <f t="shared" si="125"/>
        <v>2.5</v>
      </c>
      <c r="K584" s="7">
        <f t="shared" si="135"/>
        <v>0</v>
      </c>
      <c r="L584" s="35">
        <f t="shared" si="123"/>
        <v>2.5</v>
      </c>
      <c r="M584" s="7">
        <f t="shared" si="135"/>
        <v>0</v>
      </c>
      <c r="N584" s="35">
        <f t="shared" si="124"/>
        <v>2.5</v>
      </c>
      <c r="O584" s="7">
        <f t="shared" si="135"/>
        <v>0</v>
      </c>
      <c r="P584" s="35">
        <f t="shared" si="121"/>
        <v>2.5</v>
      </c>
      <c r="Q584" s="7">
        <f t="shared" si="135"/>
        <v>0</v>
      </c>
      <c r="R584" s="35">
        <f t="shared" si="122"/>
        <v>2.5</v>
      </c>
      <c r="S584" s="7">
        <f t="shared" si="135"/>
        <v>0</v>
      </c>
      <c r="T584" s="35">
        <f t="shared" si="127"/>
        <v>2.5</v>
      </c>
    </row>
    <row r="585" spans="1:20" ht="33">
      <c r="A585" s="61" t="str">
        <f ca="1">IF(ISERROR(MATCH(E585,Код_КВР,0)),"",INDIRECT(ADDRESS(MATCH(E585,Код_КВР,0)+1,2,,,"КВР")))</f>
        <v>Субсидии некоммерческим организациям (за исключением государственных (муниципальных) учреждений)</v>
      </c>
      <c r="B585" s="47" t="s">
        <v>554</v>
      </c>
      <c r="C585" s="8" t="s">
        <v>216</v>
      </c>
      <c r="D585" s="8" t="s">
        <v>196</v>
      </c>
      <c r="E585" s="104">
        <v>630</v>
      </c>
      <c r="F585" s="13">
        <f>прил.6!G284</f>
        <v>2.5</v>
      </c>
      <c r="G585" s="13">
        <f>прил.6!H284</f>
        <v>0</v>
      </c>
      <c r="H585" s="35">
        <f t="shared" si="128"/>
        <v>2.5</v>
      </c>
      <c r="I585" s="13">
        <f>прил.6!J284</f>
        <v>0</v>
      </c>
      <c r="J585" s="35">
        <f t="shared" si="125"/>
        <v>2.5</v>
      </c>
      <c r="K585" s="13">
        <f>прил.6!L284</f>
        <v>0</v>
      </c>
      <c r="L585" s="35">
        <f t="shared" si="123"/>
        <v>2.5</v>
      </c>
      <c r="M585" s="13">
        <f>прил.6!N284</f>
        <v>0</v>
      </c>
      <c r="N585" s="35">
        <f t="shared" si="124"/>
        <v>2.5</v>
      </c>
      <c r="O585" s="13">
        <f>прил.6!P284</f>
        <v>0</v>
      </c>
      <c r="P585" s="35">
        <f t="shared" si="121"/>
        <v>2.5</v>
      </c>
      <c r="Q585" s="13">
        <f>прил.6!R284</f>
        <v>0</v>
      </c>
      <c r="R585" s="35">
        <f t="shared" si="122"/>
        <v>2.5</v>
      </c>
      <c r="S585" s="13">
        <f>прил.6!T284</f>
        <v>0</v>
      </c>
      <c r="T585" s="35">
        <f t="shared" si="127"/>
        <v>2.5</v>
      </c>
    </row>
    <row r="586" spans="1:20" ht="49.5">
      <c r="A586" s="61" t="str">
        <f ca="1">IF(ISERROR(MATCH(B586,Код_КЦСР,0)),"",INDIRECT(ADDRESS(MATCH(B586,Код_КЦСР,0)+1,2,,,"КЦСР")))</f>
        <v>Государственная поддержка малого и среднего предпринимательства, включая крестьянские (фермерские) хозяйства, за счет субсидий из федерального бюджета</v>
      </c>
      <c r="B586" s="47" t="s">
        <v>643</v>
      </c>
      <c r="C586" s="8"/>
      <c r="D586" s="1"/>
      <c r="E586" s="111"/>
      <c r="F586" s="13"/>
      <c r="G586" s="13"/>
      <c r="H586" s="35"/>
      <c r="I586" s="13"/>
      <c r="J586" s="35"/>
      <c r="K586" s="13"/>
      <c r="L586" s="35"/>
      <c r="M586" s="13"/>
      <c r="N586" s="35"/>
      <c r="O586" s="13"/>
      <c r="P586" s="35"/>
      <c r="Q586" s="13">
        <f>Q587</f>
        <v>312.60000000000002</v>
      </c>
      <c r="R586" s="35">
        <f t="shared" si="122"/>
        <v>312.60000000000002</v>
      </c>
      <c r="S586" s="13">
        <f>S587</f>
        <v>0</v>
      </c>
      <c r="T586" s="35">
        <f t="shared" si="127"/>
        <v>312.60000000000002</v>
      </c>
    </row>
    <row r="587" spans="1:20">
      <c r="A587" s="61" t="str">
        <f ca="1">IF(ISERROR(MATCH(C587,Код_Раздел,0)),"",INDIRECT(ADDRESS(MATCH(C587,Код_Раздел,0)+1,2,,,"Раздел")))</f>
        <v>Национальная экономика</v>
      </c>
      <c r="B587" s="47" t="s">
        <v>643</v>
      </c>
      <c r="C587" s="8" t="s">
        <v>216</v>
      </c>
      <c r="D587" s="1"/>
      <c r="E587" s="111"/>
      <c r="F587" s="13"/>
      <c r="G587" s="13"/>
      <c r="H587" s="35"/>
      <c r="I587" s="13"/>
      <c r="J587" s="35"/>
      <c r="K587" s="13"/>
      <c r="L587" s="35"/>
      <c r="M587" s="13"/>
      <c r="N587" s="35"/>
      <c r="O587" s="13"/>
      <c r="P587" s="35"/>
      <c r="Q587" s="13">
        <f>Q588</f>
        <v>312.60000000000002</v>
      </c>
      <c r="R587" s="35">
        <f t="shared" si="122"/>
        <v>312.60000000000002</v>
      </c>
      <c r="S587" s="13">
        <f>S588</f>
        <v>0</v>
      </c>
      <c r="T587" s="35">
        <f t="shared" si="127"/>
        <v>312.60000000000002</v>
      </c>
    </row>
    <row r="588" spans="1:20">
      <c r="A588" s="12" t="s">
        <v>223</v>
      </c>
      <c r="B588" s="47" t="s">
        <v>643</v>
      </c>
      <c r="C588" s="8" t="s">
        <v>216</v>
      </c>
      <c r="D588" s="8" t="s">
        <v>196</v>
      </c>
      <c r="E588" s="111"/>
      <c r="F588" s="13"/>
      <c r="G588" s="13"/>
      <c r="H588" s="35"/>
      <c r="I588" s="13"/>
      <c r="J588" s="35"/>
      <c r="K588" s="13"/>
      <c r="L588" s="35"/>
      <c r="M588" s="13"/>
      <c r="N588" s="35"/>
      <c r="O588" s="13"/>
      <c r="P588" s="35"/>
      <c r="Q588" s="13">
        <f>Q589</f>
        <v>312.60000000000002</v>
      </c>
      <c r="R588" s="35">
        <f t="shared" si="122"/>
        <v>312.60000000000002</v>
      </c>
      <c r="S588" s="13">
        <f>S589</f>
        <v>0</v>
      </c>
      <c r="T588" s="35">
        <f t="shared" si="127"/>
        <v>312.60000000000002</v>
      </c>
    </row>
    <row r="589" spans="1:20" ht="21.95" customHeight="1">
      <c r="A589" s="61" t="str">
        <f ca="1">IF(ISERROR(MATCH(E589,Код_КВР,0)),"",INDIRECT(ADDRESS(MATCH(E589,Код_КВР,0)+1,2,,,"КВР")))</f>
        <v>Иные бюджетные ассигнования</v>
      </c>
      <c r="B589" s="47" t="s">
        <v>643</v>
      </c>
      <c r="C589" s="8" t="s">
        <v>216</v>
      </c>
      <c r="D589" s="8" t="s">
        <v>196</v>
      </c>
      <c r="E589" s="111">
        <v>800</v>
      </c>
      <c r="F589" s="13"/>
      <c r="G589" s="13"/>
      <c r="H589" s="35"/>
      <c r="I589" s="13"/>
      <c r="J589" s="35"/>
      <c r="K589" s="13"/>
      <c r="L589" s="35"/>
      <c r="M589" s="13"/>
      <c r="N589" s="35"/>
      <c r="O589" s="13"/>
      <c r="P589" s="35"/>
      <c r="Q589" s="13">
        <f>Q590</f>
        <v>312.60000000000002</v>
      </c>
      <c r="R589" s="35">
        <f t="shared" si="122"/>
        <v>312.60000000000002</v>
      </c>
      <c r="S589" s="13">
        <f>S590</f>
        <v>0</v>
      </c>
      <c r="T589" s="35">
        <f t="shared" si="127"/>
        <v>312.60000000000002</v>
      </c>
    </row>
    <row r="590" spans="1:20" ht="49.5">
      <c r="A590" s="61" t="str">
        <f ca="1">IF(ISERROR(MATCH(E590,Код_КВР,0)),"",INDIRECT(ADDRESS(MATCH(E590,Код_КВР,0)+1,2,,,"КВР")))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590" s="47" t="s">
        <v>643</v>
      </c>
      <c r="C590" s="8" t="s">
        <v>216</v>
      </c>
      <c r="D590" s="8" t="s">
        <v>196</v>
      </c>
      <c r="E590" s="111">
        <v>810</v>
      </c>
      <c r="F590" s="13"/>
      <c r="G590" s="13"/>
      <c r="H590" s="35"/>
      <c r="I590" s="13"/>
      <c r="J590" s="35"/>
      <c r="K590" s="13"/>
      <c r="L590" s="35"/>
      <c r="M590" s="13"/>
      <c r="N590" s="35"/>
      <c r="O590" s="13"/>
      <c r="P590" s="35"/>
      <c r="Q590" s="13">
        <f>прил.6!R287</f>
        <v>312.60000000000002</v>
      </c>
      <c r="R590" s="35">
        <f t="shared" si="122"/>
        <v>312.60000000000002</v>
      </c>
      <c r="S590" s="13">
        <f>прил.6!T287</f>
        <v>0</v>
      </c>
      <c r="T590" s="35">
        <f t="shared" si="127"/>
        <v>312.60000000000002</v>
      </c>
    </row>
    <row r="591" spans="1:20" ht="33">
      <c r="A591" s="61" t="str">
        <f ca="1">IF(ISERROR(MATCH(B591,Код_КЦСР,0)),"",INDIRECT(ADDRESS(MATCH(B591,Код_КЦСР,0)+1,2,,,"КЦСР")))</f>
        <v>Муниципальная программа «Повышение инвестиционной привлекательности города Череповца» на 2014-2018 годы</v>
      </c>
      <c r="B591" s="45" t="s">
        <v>556</v>
      </c>
      <c r="C591" s="8"/>
      <c r="D591" s="1"/>
      <c r="E591" s="104"/>
      <c r="F591" s="7">
        <f>F592+F597+F602</f>
        <v>11791.2</v>
      </c>
      <c r="G591" s="7">
        <f>G592+G597+G602</f>
        <v>0</v>
      </c>
      <c r="H591" s="35">
        <f t="shared" si="128"/>
        <v>11791.2</v>
      </c>
      <c r="I591" s="7">
        <f>I592+I597+I602</f>
        <v>0</v>
      </c>
      <c r="J591" s="35">
        <f t="shared" si="125"/>
        <v>11791.2</v>
      </c>
      <c r="K591" s="7">
        <f>K592+K597+K602</f>
        <v>0</v>
      </c>
      <c r="L591" s="35">
        <f t="shared" si="123"/>
        <v>11791.2</v>
      </c>
      <c r="M591" s="7">
        <f>M592+M597+M602</f>
        <v>0</v>
      </c>
      <c r="N591" s="35">
        <f t="shared" si="124"/>
        <v>11791.2</v>
      </c>
      <c r="O591" s="7">
        <f>O592+O597+O602</f>
        <v>0</v>
      </c>
      <c r="P591" s="35">
        <f t="shared" si="121"/>
        <v>11791.2</v>
      </c>
      <c r="Q591" s="7">
        <f>Q592+Q597+Q602</f>
        <v>0</v>
      </c>
      <c r="R591" s="35">
        <f t="shared" si="122"/>
        <v>11791.2</v>
      </c>
      <c r="S591" s="7">
        <f>S592+S597+S602</f>
        <v>0</v>
      </c>
      <c r="T591" s="35">
        <f t="shared" si="127"/>
        <v>11791.2</v>
      </c>
    </row>
    <row r="592" spans="1:20" ht="33">
      <c r="A592" s="61" t="str">
        <f ca="1">IF(ISERROR(MATCH(B592,Код_КЦСР,0)),"",INDIRECT(ADDRESS(MATCH(B592,Код_КЦСР,0)+1,2,,,"КЦСР")))</f>
        <v>Стимулирование экономического роста путем привлечения инвесторов</v>
      </c>
      <c r="B592" s="45" t="s">
        <v>558</v>
      </c>
      <c r="C592" s="8"/>
      <c r="D592" s="1"/>
      <c r="E592" s="104"/>
      <c r="F592" s="7">
        <f t="shared" ref="F592:S595" si="136">F593</f>
        <v>5549.9</v>
      </c>
      <c r="G592" s="7">
        <f t="shared" si="136"/>
        <v>0</v>
      </c>
      <c r="H592" s="35">
        <f t="shared" si="128"/>
        <v>5549.9</v>
      </c>
      <c r="I592" s="7">
        <f t="shared" si="136"/>
        <v>0</v>
      </c>
      <c r="J592" s="35">
        <f t="shared" si="125"/>
        <v>5549.9</v>
      </c>
      <c r="K592" s="7">
        <f t="shared" si="136"/>
        <v>0</v>
      </c>
      <c r="L592" s="35">
        <f t="shared" si="123"/>
        <v>5549.9</v>
      </c>
      <c r="M592" s="7">
        <f t="shared" si="136"/>
        <v>0</v>
      </c>
      <c r="N592" s="35">
        <f t="shared" si="124"/>
        <v>5549.9</v>
      </c>
      <c r="O592" s="7">
        <f t="shared" si="136"/>
        <v>0</v>
      </c>
      <c r="P592" s="35">
        <f t="shared" si="121"/>
        <v>5549.9</v>
      </c>
      <c r="Q592" s="7">
        <f t="shared" si="136"/>
        <v>0</v>
      </c>
      <c r="R592" s="35">
        <f t="shared" si="122"/>
        <v>5549.9</v>
      </c>
      <c r="S592" s="7">
        <f t="shared" si="136"/>
        <v>0</v>
      </c>
      <c r="T592" s="35">
        <f t="shared" si="127"/>
        <v>5549.9</v>
      </c>
    </row>
    <row r="593" spans="1:20">
      <c r="A593" s="61" t="str">
        <f ca="1">IF(ISERROR(MATCH(C593,Код_Раздел,0)),"",INDIRECT(ADDRESS(MATCH(C593,Код_Раздел,0)+1,2,,,"Раздел")))</f>
        <v>Национальная экономика</v>
      </c>
      <c r="B593" s="45" t="s">
        <v>558</v>
      </c>
      <c r="C593" s="8" t="s">
        <v>216</v>
      </c>
      <c r="D593" s="1"/>
      <c r="E593" s="104"/>
      <c r="F593" s="7">
        <f t="shared" si="136"/>
        <v>5549.9</v>
      </c>
      <c r="G593" s="7">
        <f t="shared" si="136"/>
        <v>0</v>
      </c>
      <c r="H593" s="35">
        <f t="shared" si="128"/>
        <v>5549.9</v>
      </c>
      <c r="I593" s="7">
        <f t="shared" si="136"/>
        <v>0</v>
      </c>
      <c r="J593" s="35">
        <f t="shared" si="125"/>
        <v>5549.9</v>
      </c>
      <c r="K593" s="7">
        <f t="shared" si="136"/>
        <v>0</v>
      </c>
      <c r="L593" s="35">
        <f t="shared" si="123"/>
        <v>5549.9</v>
      </c>
      <c r="M593" s="7">
        <f t="shared" si="136"/>
        <v>0</v>
      </c>
      <c r="N593" s="35">
        <f t="shared" si="124"/>
        <v>5549.9</v>
      </c>
      <c r="O593" s="7">
        <f t="shared" si="136"/>
        <v>0</v>
      </c>
      <c r="P593" s="35">
        <f t="shared" si="121"/>
        <v>5549.9</v>
      </c>
      <c r="Q593" s="7">
        <f t="shared" si="136"/>
        <v>0</v>
      </c>
      <c r="R593" s="35">
        <f t="shared" si="122"/>
        <v>5549.9</v>
      </c>
      <c r="S593" s="7">
        <f t="shared" si="136"/>
        <v>0</v>
      </c>
      <c r="T593" s="35">
        <f t="shared" si="127"/>
        <v>5549.9</v>
      </c>
    </row>
    <row r="594" spans="1:20">
      <c r="A594" s="12" t="s">
        <v>223</v>
      </c>
      <c r="B594" s="45" t="s">
        <v>558</v>
      </c>
      <c r="C594" s="8" t="s">
        <v>216</v>
      </c>
      <c r="D594" s="8" t="s">
        <v>196</v>
      </c>
      <c r="E594" s="104"/>
      <c r="F594" s="7">
        <f t="shared" si="136"/>
        <v>5549.9</v>
      </c>
      <c r="G594" s="7">
        <f t="shared" si="136"/>
        <v>0</v>
      </c>
      <c r="H594" s="35">
        <f t="shared" si="128"/>
        <v>5549.9</v>
      </c>
      <c r="I594" s="7">
        <f t="shared" si="136"/>
        <v>0</v>
      </c>
      <c r="J594" s="35">
        <f t="shared" si="125"/>
        <v>5549.9</v>
      </c>
      <c r="K594" s="7">
        <f t="shared" si="136"/>
        <v>0</v>
      </c>
      <c r="L594" s="35">
        <f t="shared" si="123"/>
        <v>5549.9</v>
      </c>
      <c r="M594" s="7">
        <f t="shared" si="136"/>
        <v>0</v>
      </c>
      <c r="N594" s="35">
        <f t="shared" si="124"/>
        <v>5549.9</v>
      </c>
      <c r="O594" s="7">
        <f t="shared" si="136"/>
        <v>0</v>
      </c>
      <c r="P594" s="35">
        <f t="shared" si="121"/>
        <v>5549.9</v>
      </c>
      <c r="Q594" s="7">
        <f t="shared" si="136"/>
        <v>0</v>
      </c>
      <c r="R594" s="35">
        <f t="shared" si="122"/>
        <v>5549.9</v>
      </c>
      <c r="S594" s="7">
        <f t="shared" si="136"/>
        <v>0</v>
      </c>
      <c r="T594" s="35">
        <f t="shared" si="127"/>
        <v>5549.9</v>
      </c>
    </row>
    <row r="595" spans="1:20" ht="33">
      <c r="A595" s="61" t="str">
        <f ca="1">IF(ISERROR(MATCH(E595,Код_КВР,0)),"",INDIRECT(ADDRESS(MATCH(E595,Код_КВР,0)+1,2,,,"КВР")))</f>
        <v>Предоставление субсидий бюджетным, автономным учреждениям и иным некоммерческим организациям</v>
      </c>
      <c r="B595" s="45" t="s">
        <v>558</v>
      </c>
      <c r="C595" s="8" t="s">
        <v>216</v>
      </c>
      <c r="D595" s="8" t="s">
        <v>196</v>
      </c>
      <c r="E595" s="104">
        <v>600</v>
      </c>
      <c r="F595" s="7">
        <f t="shared" si="136"/>
        <v>5549.9</v>
      </c>
      <c r="G595" s="7">
        <f t="shared" si="136"/>
        <v>0</v>
      </c>
      <c r="H595" s="35">
        <f t="shared" si="128"/>
        <v>5549.9</v>
      </c>
      <c r="I595" s="7">
        <f t="shared" si="136"/>
        <v>0</v>
      </c>
      <c r="J595" s="35">
        <f t="shared" si="125"/>
        <v>5549.9</v>
      </c>
      <c r="K595" s="7">
        <f t="shared" si="136"/>
        <v>0</v>
      </c>
      <c r="L595" s="35">
        <f t="shared" si="123"/>
        <v>5549.9</v>
      </c>
      <c r="M595" s="7">
        <f t="shared" si="136"/>
        <v>0</v>
      </c>
      <c r="N595" s="35">
        <f t="shared" si="124"/>
        <v>5549.9</v>
      </c>
      <c r="O595" s="7">
        <f t="shared" si="136"/>
        <v>0</v>
      </c>
      <c r="P595" s="35">
        <f t="shared" ref="P595:P658" si="137">N595+O595</f>
        <v>5549.9</v>
      </c>
      <c r="Q595" s="7">
        <f t="shared" si="136"/>
        <v>0</v>
      </c>
      <c r="R595" s="35">
        <f t="shared" ref="R595:R658" si="138">P595+Q595</f>
        <v>5549.9</v>
      </c>
      <c r="S595" s="7">
        <f t="shared" si="136"/>
        <v>0</v>
      </c>
      <c r="T595" s="35">
        <f t="shared" si="127"/>
        <v>5549.9</v>
      </c>
    </row>
    <row r="596" spans="1:20" ht="33">
      <c r="A596" s="61" t="str">
        <f ca="1">IF(ISERROR(MATCH(E596,Код_КВР,0)),"",INDIRECT(ADDRESS(MATCH(E596,Код_КВР,0)+1,2,,,"КВР")))</f>
        <v>Субсидии некоммерческим организациям (за исключением государственных (муниципальных) учреждений)</v>
      </c>
      <c r="B596" s="45" t="s">
        <v>558</v>
      </c>
      <c r="C596" s="8" t="s">
        <v>216</v>
      </c>
      <c r="D596" s="8" t="s">
        <v>196</v>
      </c>
      <c r="E596" s="104">
        <v>630</v>
      </c>
      <c r="F596" s="7">
        <f>прил.6!G291</f>
        <v>5549.9</v>
      </c>
      <c r="G596" s="7">
        <f>прил.6!H291</f>
        <v>0</v>
      </c>
      <c r="H596" s="35">
        <f t="shared" si="128"/>
        <v>5549.9</v>
      </c>
      <c r="I596" s="7">
        <f>прил.6!J291</f>
        <v>0</v>
      </c>
      <c r="J596" s="35">
        <f t="shared" si="125"/>
        <v>5549.9</v>
      </c>
      <c r="K596" s="7">
        <f>прил.6!L291</f>
        <v>0</v>
      </c>
      <c r="L596" s="35">
        <f t="shared" si="123"/>
        <v>5549.9</v>
      </c>
      <c r="M596" s="7">
        <f>прил.6!N291</f>
        <v>0</v>
      </c>
      <c r="N596" s="35">
        <f t="shared" si="124"/>
        <v>5549.9</v>
      </c>
      <c r="O596" s="7">
        <f>прил.6!P291</f>
        <v>0</v>
      </c>
      <c r="P596" s="35">
        <f t="shared" si="137"/>
        <v>5549.9</v>
      </c>
      <c r="Q596" s="7">
        <f>прил.6!R291</f>
        <v>0</v>
      </c>
      <c r="R596" s="35">
        <f t="shared" si="138"/>
        <v>5549.9</v>
      </c>
      <c r="S596" s="7">
        <f>прил.6!T291</f>
        <v>0</v>
      </c>
      <c r="T596" s="35">
        <f t="shared" si="127"/>
        <v>5549.9</v>
      </c>
    </row>
    <row r="597" spans="1:20" ht="33">
      <c r="A597" s="61" t="str">
        <f ca="1">IF(ISERROR(MATCH(B597,Код_КЦСР,0)),"",INDIRECT(ADDRESS(MATCH(B597,Код_КЦСР,0)+1,2,,,"КЦСР")))</f>
        <v>Информационное и нормативно-правовое сопровождение инвестиционной деятельности</v>
      </c>
      <c r="B597" s="45" t="s">
        <v>560</v>
      </c>
      <c r="C597" s="8"/>
      <c r="D597" s="1"/>
      <c r="E597" s="104"/>
      <c r="F597" s="7">
        <f t="shared" ref="F597:S600" si="139">F598</f>
        <v>2874.8</v>
      </c>
      <c r="G597" s="7">
        <f t="shared" si="139"/>
        <v>0</v>
      </c>
      <c r="H597" s="35">
        <f t="shared" si="128"/>
        <v>2874.8</v>
      </c>
      <c r="I597" s="7">
        <f t="shared" si="139"/>
        <v>0</v>
      </c>
      <c r="J597" s="35">
        <f t="shared" si="125"/>
        <v>2874.8</v>
      </c>
      <c r="K597" s="7">
        <f t="shared" si="139"/>
        <v>0</v>
      </c>
      <c r="L597" s="35">
        <f t="shared" si="123"/>
        <v>2874.8</v>
      </c>
      <c r="M597" s="7">
        <f t="shared" si="139"/>
        <v>0</v>
      </c>
      <c r="N597" s="35">
        <f t="shared" si="124"/>
        <v>2874.8</v>
      </c>
      <c r="O597" s="7">
        <f t="shared" si="139"/>
        <v>0</v>
      </c>
      <c r="P597" s="35">
        <f t="shared" si="137"/>
        <v>2874.8</v>
      </c>
      <c r="Q597" s="7">
        <f t="shared" si="139"/>
        <v>0</v>
      </c>
      <c r="R597" s="35">
        <f t="shared" si="138"/>
        <v>2874.8</v>
      </c>
      <c r="S597" s="7">
        <f t="shared" si="139"/>
        <v>0</v>
      </c>
      <c r="T597" s="35">
        <f t="shared" si="127"/>
        <v>2874.8</v>
      </c>
    </row>
    <row r="598" spans="1:20">
      <c r="A598" s="61" t="str">
        <f ca="1">IF(ISERROR(MATCH(C598,Код_Раздел,0)),"",INDIRECT(ADDRESS(MATCH(C598,Код_Раздел,0)+1,2,,,"Раздел")))</f>
        <v>Национальная экономика</v>
      </c>
      <c r="B598" s="45" t="s">
        <v>560</v>
      </c>
      <c r="C598" s="8" t="s">
        <v>216</v>
      </c>
      <c r="D598" s="1"/>
      <c r="E598" s="104"/>
      <c r="F598" s="7">
        <f t="shared" si="139"/>
        <v>2874.8</v>
      </c>
      <c r="G598" s="7">
        <f t="shared" si="139"/>
        <v>0</v>
      </c>
      <c r="H598" s="35">
        <f t="shared" si="128"/>
        <v>2874.8</v>
      </c>
      <c r="I598" s="7">
        <f t="shared" si="139"/>
        <v>0</v>
      </c>
      <c r="J598" s="35">
        <f t="shared" si="125"/>
        <v>2874.8</v>
      </c>
      <c r="K598" s="7">
        <f t="shared" si="139"/>
        <v>0</v>
      </c>
      <c r="L598" s="35">
        <f t="shared" si="123"/>
        <v>2874.8</v>
      </c>
      <c r="M598" s="7">
        <f t="shared" si="139"/>
        <v>0</v>
      </c>
      <c r="N598" s="35">
        <f t="shared" si="124"/>
        <v>2874.8</v>
      </c>
      <c r="O598" s="7">
        <f t="shared" si="139"/>
        <v>0</v>
      </c>
      <c r="P598" s="35">
        <f t="shared" si="137"/>
        <v>2874.8</v>
      </c>
      <c r="Q598" s="7">
        <f t="shared" si="139"/>
        <v>0</v>
      </c>
      <c r="R598" s="35">
        <f t="shared" si="138"/>
        <v>2874.8</v>
      </c>
      <c r="S598" s="7">
        <f t="shared" si="139"/>
        <v>0</v>
      </c>
      <c r="T598" s="35">
        <f t="shared" si="127"/>
        <v>2874.8</v>
      </c>
    </row>
    <row r="599" spans="1:20">
      <c r="A599" s="12" t="s">
        <v>223</v>
      </c>
      <c r="B599" s="45" t="s">
        <v>560</v>
      </c>
      <c r="C599" s="8" t="s">
        <v>216</v>
      </c>
      <c r="D599" s="8" t="s">
        <v>196</v>
      </c>
      <c r="E599" s="104"/>
      <c r="F599" s="7">
        <f t="shared" si="139"/>
        <v>2874.8</v>
      </c>
      <c r="G599" s="7">
        <f t="shared" si="139"/>
        <v>0</v>
      </c>
      <c r="H599" s="35">
        <f t="shared" si="128"/>
        <v>2874.8</v>
      </c>
      <c r="I599" s="7">
        <f t="shared" si="139"/>
        <v>0</v>
      </c>
      <c r="J599" s="35">
        <f t="shared" si="125"/>
        <v>2874.8</v>
      </c>
      <c r="K599" s="7">
        <f t="shared" si="139"/>
        <v>0</v>
      </c>
      <c r="L599" s="35">
        <f t="shared" si="123"/>
        <v>2874.8</v>
      </c>
      <c r="M599" s="7">
        <f t="shared" si="139"/>
        <v>0</v>
      </c>
      <c r="N599" s="35">
        <f t="shared" si="124"/>
        <v>2874.8</v>
      </c>
      <c r="O599" s="7">
        <f t="shared" si="139"/>
        <v>0</v>
      </c>
      <c r="P599" s="35">
        <f t="shared" si="137"/>
        <v>2874.8</v>
      </c>
      <c r="Q599" s="7">
        <f t="shared" si="139"/>
        <v>0</v>
      </c>
      <c r="R599" s="35">
        <f t="shared" si="138"/>
        <v>2874.8</v>
      </c>
      <c r="S599" s="7">
        <f t="shared" si="139"/>
        <v>0</v>
      </c>
      <c r="T599" s="35">
        <f t="shared" si="127"/>
        <v>2874.8</v>
      </c>
    </row>
    <row r="600" spans="1:20" ht="33">
      <c r="A600" s="61" t="str">
        <f ca="1">IF(ISERROR(MATCH(E600,Код_КВР,0)),"",INDIRECT(ADDRESS(MATCH(E600,Код_КВР,0)+1,2,,,"КВР")))</f>
        <v>Предоставление субсидий бюджетным, автономным учреждениям и иным некоммерческим организациям</v>
      </c>
      <c r="B600" s="45" t="s">
        <v>560</v>
      </c>
      <c r="C600" s="8" t="s">
        <v>216</v>
      </c>
      <c r="D600" s="8" t="s">
        <v>196</v>
      </c>
      <c r="E600" s="104">
        <v>600</v>
      </c>
      <c r="F600" s="7">
        <f t="shared" si="139"/>
        <v>2874.8</v>
      </c>
      <c r="G600" s="7">
        <f t="shared" si="139"/>
        <v>0</v>
      </c>
      <c r="H600" s="35">
        <f t="shared" si="128"/>
        <v>2874.8</v>
      </c>
      <c r="I600" s="7">
        <f t="shared" si="139"/>
        <v>0</v>
      </c>
      <c r="J600" s="35">
        <f t="shared" si="125"/>
        <v>2874.8</v>
      </c>
      <c r="K600" s="7">
        <f t="shared" si="139"/>
        <v>0</v>
      </c>
      <c r="L600" s="35">
        <f t="shared" si="123"/>
        <v>2874.8</v>
      </c>
      <c r="M600" s="7">
        <f t="shared" si="139"/>
        <v>0</v>
      </c>
      <c r="N600" s="35">
        <f t="shared" si="124"/>
        <v>2874.8</v>
      </c>
      <c r="O600" s="7">
        <f t="shared" si="139"/>
        <v>0</v>
      </c>
      <c r="P600" s="35">
        <f t="shared" si="137"/>
        <v>2874.8</v>
      </c>
      <c r="Q600" s="7">
        <f t="shared" si="139"/>
        <v>0</v>
      </c>
      <c r="R600" s="35">
        <f t="shared" si="138"/>
        <v>2874.8</v>
      </c>
      <c r="S600" s="7">
        <f t="shared" si="139"/>
        <v>0</v>
      </c>
      <c r="T600" s="35">
        <f t="shared" si="127"/>
        <v>2874.8</v>
      </c>
    </row>
    <row r="601" spans="1:20" ht="33">
      <c r="A601" s="61" t="str">
        <f ca="1">IF(ISERROR(MATCH(E601,Код_КВР,0)),"",INDIRECT(ADDRESS(MATCH(E601,Код_КВР,0)+1,2,,,"КВР")))</f>
        <v>Субсидии некоммерческим организациям (за исключением государственных (муниципальных) учреждений)</v>
      </c>
      <c r="B601" s="45" t="s">
        <v>560</v>
      </c>
      <c r="C601" s="8" t="s">
        <v>216</v>
      </c>
      <c r="D601" s="8" t="s">
        <v>196</v>
      </c>
      <c r="E601" s="104">
        <v>630</v>
      </c>
      <c r="F601" s="7">
        <f>прил.6!G294</f>
        <v>2874.8</v>
      </c>
      <c r="G601" s="7">
        <f>прил.6!H294</f>
        <v>0</v>
      </c>
      <c r="H601" s="35">
        <f t="shared" si="128"/>
        <v>2874.8</v>
      </c>
      <c r="I601" s="7">
        <f>прил.6!J294</f>
        <v>0</v>
      </c>
      <c r="J601" s="35">
        <f t="shared" si="125"/>
        <v>2874.8</v>
      </c>
      <c r="K601" s="7">
        <f>прил.6!L294</f>
        <v>0</v>
      </c>
      <c r="L601" s="35">
        <f t="shared" si="123"/>
        <v>2874.8</v>
      </c>
      <c r="M601" s="7">
        <f>прил.6!N294</f>
        <v>0</v>
      </c>
      <c r="N601" s="35">
        <f t="shared" si="124"/>
        <v>2874.8</v>
      </c>
      <c r="O601" s="7">
        <f>прил.6!P294</f>
        <v>0</v>
      </c>
      <c r="P601" s="35">
        <f t="shared" si="137"/>
        <v>2874.8</v>
      </c>
      <c r="Q601" s="7">
        <f>прил.6!R294</f>
        <v>0</v>
      </c>
      <c r="R601" s="35">
        <f t="shared" si="138"/>
        <v>2874.8</v>
      </c>
      <c r="S601" s="7">
        <f>прил.6!T294</f>
        <v>0</v>
      </c>
      <c r="T601" s="35">
        <f t="shared" si="127"/>
        <v>2874.8</v>
      </c>
    </row>
    <row r="602" spans="1:20">
      <c r="A602" s="61" t="str">
        <f ca="1">IF(ISERROR(MATCH(B602,Код_КЦСР,0)),"",INDIRECT(ADDRESS(MATCH(B602,Код_КЦСР,0)+1,2,,,"КЦСР")))</f>
        <v>Комплексное сопровождение инвестиционных проектов</v>
      </c>
      <c r="B602" s="45" t="s">
        <v>562</v>
      </c>
      <c r="C602" s="8"/>
      <c r="D602" s="1"/>
      <c r="E602" s="104"/>
      <c r="F602" s="7">
        <f t="shared" ref="F602:S605" si="140">F603</f>
        <v>3366.5</v>
      </c>
      <c r="G602" s="7">
        <f t="shared" si="140"/>
        <v>0</v>
      </c>
      <c r="H602" s="35">
        <f t="shared" si="128"/>
        <v>3366.5</v>
      </c>
      <c r="I602" s="7">
        <f t="shared" si="140"/>
        <v>0</v>
      </c>
      <c r="J602" s="35">
        <f t="shared" si="125"/>
        <v>3366.5</v>
      </c>
      <c r="K602" s="7">
        <f t="shared" si="140"/>
        <v>0</v>
      </c>
      <c r="L602" s="35">
        <f t="shared" si="123"/>
        <v>3366.5</v>
      </c>
      <c r="M602" s="7">
        <f t="shared" si="140"/>
        <v>0</v>
      </c>
      <c r="N602" s="35">
        <f t="shared" si="124"/>
        <v>3366.5</v>
      </c>
      <c r="O602" s="7">
        <f t="shared" si="140"/>
        <v>0</v>
      </c>
      <c r="P602" s="35">
        <f t="shared" si="137"/>
        <v>3366.5</v>
      </c>
      <c r="Q602" s="7">
        <f t="shared" si="140"/>
        <v>0</v>
      </c>
      <c r="R602" s="35">
        <f t="shared" si="138"/>
        <v>3366.5</v>
      </c>
      <c r="S602" s="7">
        <f t="shared" si="140"/>
        <v>0</v>
      </c>
      <c r="T602" s="35">
        <f t="shared" si="127"/>
        <v>3366.5</v>
      </c>
    </row>
    <row r="603" spans="1:20">
      <c r="A603" s="61" t="str">
        <f ca="1">IF(ISERROR(MATCH(C603,Код_Раздел,0)),"",INDIRECT(ADDRESS(MATCH(C603,Код_Раздел,0)+1,2,,,"Раздел")))</f>
        <v>Национальная экономика</v>
      </c>
      <c r="B603" s="45" t="s">
        <v>562</v>
      </c>
      <c r="C603" s="8" t="s">
        <v>216</v>
      </c>
      <c r="D603" s="1"/>
      <c r="E603" s="104"/>
      <c r="F603" s="7">
        <f t="shared" si="140"/>
        <v>3366.5</v>
      </c>
      <c r="G603" s="7">
        <f t="shared" si="140"/>
        <v>0</v>
      </c>
      <c r="H603" s="35">
        <f t="shared" si="128"/>
        <v>3366.5</v>
      </c>
      <c r="I603" s="7">
        <f t="shared" si="140"/>
        <v>0</v>
      </c>
      <c r="J603" s="35">
        <f t="shared" si="125"/>
        <v>3366.5</v>
      </c>
      <c r="K603" s="7">
        <f t="shared" si="140"/>
        <v>0</v>
      </c>
      <c r="L603" s="35">
        <f t="shared" ref="L603:L666" si="141">J603+K603</f>
        <v>3366.5</v>
      </c>
      <c r="M603" s="7">
        <f t="shared" si="140"/>
        <v>0</v>
      </c>
      <c r="N603" s="35">
        <f t="shared" ref="N603:N666" si="142">L603+M603</f>
        <v>3366.5</v>
      </c>
      <c r="O603" s="7">
        <f t="shared" si="140"/>
        <v>0</v>
      </c>
      <c r="P603" s="35">
        <f t="shared" si="137"/>
        <v>3366.5</v>
      </c>
      <c r="Q603" s="7">
        <f t="shared" si="140"/>
        <v>0</v>
      </c>
      <c r="R603" s="35">
        <f t="shared" si="138"/>
        <v>3366.5</v>
      </c>
      <c r="S603" s="7">
        <f t="shared" si="140"/>
        <v>0</v>
      </c>
      <c r="T603" s="35">
        <f t="shared" si="127"/>
        <v>3366.5</v>
      </c>
    </row>
    <row r="604" spans="1:20">
      <c r="A604" s="12" t="s">
        <v>223</v>
      </c>
      <c r="B604" s="45" t="s">
        <v>562</v>
      </c>
      <c r="C604" s="8" t="s">
        <v>216</v>
      </c>
      <c r="D604" s="8" t="s">
        <v>196</v>
      </c>
      <c r="E604" s="104"/>
      <c r="F604" s="7">
        <f t="shared" si="140"/>
        <v>3366.5</v>
      </c>
      <c r="G604" s="7">
        <f t="shared" si="140"/>
        <v>0</v>
      </c>
      <c r="H604" s="35">
        <f t="shared" si="128"/>
        <v>3366.5</v>
      </c>
      <c r="I604" s="7">
        <f t="shared" si="140"/>
        <v>0</v>
      </c>
      <c r="J604" s="35">
        <f t="shared" si="125"/>
        <v>3366.5</v>
      </c>
      <c r="K604" s="7">
        <f t="shared" si="140"/>
        <v>0</v>
      </c>
      <c r="L604" s="35">
        <f t="shared" si="141"/>
        <v>3366.5</v>
      </c>
      <c r="M604" s="7">
        <f t="shared" si="140"/>
        <v>0</v>
      </c>
      <c r="N604" s="35">
        <f t="shared" si="142"/>
        <v>3366.5</v>
      </c>
      <c r="O604" s="7">
        <f t="shared" si="140"/>
        <v>0</v>
      </c>
      <c r="P604" s="35">
        <f t="shared" si="137"/>
        <v>3366.5</v>
      </c>
      <c r="Q604" s="7">
        <f t="shared" si="140"/>
        <v>0</v>
      </c>
      <c r="R604" s="35">
        <f t="shared" si="138"/>
        <v>3366.5</v>
      </c>
      <c r="S604" s="7">
        <f t="shared" si="140"/>
        <v>0</v>
      </c>
      <c r="T604" s="35">
        <f t="shared" ref="T604:T667" si="143">R604+S604</f>
        <v>3366.5</v>
      </c>
    </row>
    <row r="605" spans="1:20" ht="36.75" customHeight="1">
      <c r="A605" s="61" t="str">
        <f ca="1">IF(ISERROR(MATCH(E605,Код_КВР,0)),"",INDIRECT(ADDRESS(MATCH(E605,Код_КВР,0)+1,2,,,"КВР")))</f>
        <v>Предоставление субсидий бюджетным, автономным учреждениям и иным некоммерческим организациям</v>
      </c>
      <c r="B605" s="45" t="s">
        <v>562</v>
      </c>
      <c r="C605" s="8" t="s">
        <v>216</v>
      </c>
      <c r="D605" s="8" t="s">
        <v>196</v>
      </c>
      <c r="E605" s="104">
        <v>600</v>
      </c>
      <c r="F605" s="7">
        <f t="shared" si="140"/>
        <v>3366.5</v>
      </c>
      <c r="G605" s="7">
        <f t="shared" si="140"/>
        <v>0</v>
      </c>
      <c r="H605" s="35">
        <f t="shared" si="128"/>
        <v>3366.5</v>
      </c>
      <c r="I605" s="7">
        <f t="shared" si="140"/>
        <v>0</v>
      </c>
      <c r="J605" s="35">
        <f t="shared" si="125"/>
        <v>3366.5</v>
      </c>
      <c r="K605" s="7">
        <f t="shared" si="140"/>
        <v>0</v>
      </c>
      <c r="L605" s="35">
        <f t="shared" si="141"/>
        <v>3366.5</v>
      </c>
      <c r="M605" s="7">
        <f t="shared" si="140"/>
        <v>0</v>
      </c>
      <c r="N605" s="35">
        <f t="shared" si="142"/>
        <v>3366.5</v>
      </c>
      <c r="O605" s="7">
        <f t="shared" si="140"/>
        <v>0</v>
      </c>
      <c r="P605" s="35">
        <f t="shared" si="137"/>
        <v>3366.5</v>
      </c>
      <c r="Q605" s="7">
        <f t="shared" si="140"/>
        <v>0</v>
      </c>
      <c r="R605" s="35">
        <f t="shared" si="138"/>
        <v>3366.5</v>
      </c>
      <c r="S605" s="7">
        <f t="shared" si="140"/>
        <v>0</v>
      </c>
      <c r="T605" s="35">
        <f t="shared" si="143"/>
        <v>3366.5</v>
      </c>
    </row>
    <row r="606" spans="1:20" ht="36" customHeight="1">
      <c r="A606" s="61" t="str">
        <f ca="1">IF(ISERROR(MATCH(E606,Код_КВР,0)),"",INDIRECT(ADDRESS(MATCH(E606,Код_КВР,0)+1,2,,,"КВР")))</f>
        <v>Субсидии некоммерческим организациям (за исключением государственных (муниципальных) учреждений)</v>
      </c>
      <c r="B606" s="45" t="s">
        <v>562</v>
      </c>
      <c r="C606" s="8" t="s">
        <v>216</v>
      </c>
      <c r="D606" s="8" t="s">
        <v>196</v>
      </c>
      <c r="E606" s="104">
        <v>630</v>
      </c>
      <c r="F606" s="7">
        <f>прил.6!G297</f>
        <v>3366.5</v>
      </c>
      <c r="G606" s="7">
        <f>прил.6!H297</f>
        <v>0</v>
      </c>
      <c r="H606" s="35">
        <f t="shared" si="128"/>
        <v>3366.5</v>
      </c>
      <c r="I606" s="7">
        <f>прил.6!J297</f>
        <v>0</v>
      </c>
      <c r="J606" s="35">
        <f t="shared" ref="J606:J672" si="144">H606+I606</f>
        <v>3366.5</v>
      </c>
      <c r="K606" s="7">
        <f>прил.6!L297</f>
        <v>0</v>
      </c>
      <c r="L606" s="35">
        <f t="shared" si="141"/>
        <v>3366.5</v>
      </c>
      <c r="M606" s="7">
        <f>прил.6!N297</f>
        <v>0</v>
      </c>
      <c r="N606" s="35">
        <f t="shared" si="142"/>
        <v>3366.5</v>
      </c>
      <c r="O606" s="7">
        <f>прил.6!P297</f>
        <v>0</v>
      </c>
      <c r="P606" s="35">
        <f t="shared" si="137"/>
        <v>3366.5</v>
      </c>
      <c r="Q606" s="7">
        <f>прил.6!R297</f>
        <v>0</v>
      </c>
      <c r="R606" s="35">
        <f t="shared" si="138"/>
        <v>3366.5</v>
      </c>
      <c r="S606" s="7">
        <f>прил.6!T297</f>
        <v>0</v>
      </c>
      <c r="T606" s="35">
        <f t="shared" si="143"/>
        <v>3366.5</v>
      </c>
    </row>
    <row r="607" spans="1:20" ht="35.25" customHeight="1">
      <c r="A607" s="61" t="str">
        <f ca="1">IF(ISERROR(MATCH(B607,Код_КЦСР,0)),"",INDIRECT(ADDRESS(MATCH(B607,Код_КЦСР,0)+1,2,,,"КЦСР")))</f>
        <v>Муниципальная программа «Развитие молодежной политики» на 2013-2018 годы</v>
      </c>
      <c r="B607" s="43" t="s">
        <v>564</v>
      </c>
      <c r="C607" s="8"/>
      <c r="D607" s="1"/>
      <c r="E607" s="104"/>
      <c r="F607" s="7">
        <f>F608+F614+F620</f>
        <v>9011.5999999999985</v>
      </c>
      <c r="G607" s="7">
        <f>G608+G614+G620</f>
        <v>0</v>
      </c>
      <c r="H607" s="35">
        <f t="shared" si="128"/>
        <v>9011.5999999999985</v>
      </c>
      <c r="I607" s="7">
        <f>I608+I614+I620</f>
        <v>0</v>
      </c>
      <c r="J607" s="35">
        <f t="shared" si="144"/>
        <v>9011.5999999999985</v>
      </c>
      <c r="K607" s="7">
        <f>K608+K614+K620</f>
        <v>-100.6</v>
      </c>
      <c r="L607" s="35">
        <f t="shared" si="141"/>
        <v>8910.9999999999982</v>
      </c>
      <c r="M607" s="7">
        <f>M608+M614+M620</f>
        <v>0</v>
      </c>
      <c r="N607" s="35">
        <f t="shared" si="142"/>
        <v>8910.9999999999982</v>
      </c>
      <c r="O607" s="7">
        <f>O608+O614+O620</f>
        <v>0</v>
      </c>
      <c r="P607" s="35">
        <f t="shared" si="137"/>
        <v>8910.9999999999982</v>
      </c>
      <c r="Q607" s="7">
        <f>Q608+Q614+Q620</f>
        <v>-17.399999999999999</v>
      </c>
      <c r="R607" s="35">
        <f t="shared" si="138"/>
        <v>8893.5999999999985</v>
      </c>
      <c r="S607" s="7">
        <f>S608+S614+S620</f>
        <v>0</v>
      </c>
      <c r="T607" s="35">
        <f t="shared" si="143"/>
        <v>8893.5999999999985</v>
      </c>
    </row>
    <row r="608" spans="1:20" ht="36" customHeight="1">
      <c r="A608" s="61" t="str">
        <f ca="1">IF(ISERROR(MATCH(B608,Код_КЦСР,0)),"",INDIRECT(ADDRESS(MATCH(B608,Код_КЦСР,0)+1,2,,,"КЦСР")))</f>
        <v>Организация временного трудоустройства несовершеннолетних в возрасте от 14 до 18 лет</v>
      </c>
      <c r="B608" s="43" t="s">
        <v>566</v>
      </c>
      <c r="C608" s="8"/>
      <c r="D608" s="1"/>
      <c r="E608" s="104"/>
      <c r="F608" s="7">
        <f t="shared" ref="F608:S612" si="145">F609</f>
        <v>1338.9</v>
      </c>
      <c r="G608" s="7">
        <f t="shared" si="145"/>
        <v>0</v>
      </c>
      <c r="H608" s="35">
        <f t="shared" si="128"/>
        <v>1338.9</v>
      </c>
      <c r="I608" s="7">
        <f t="shared" si="145"/>
        <v>0</v>
      </c>
      <c r="J608" s="35">
        <f t="shared" si="144"/>
        <v>1338.9</v>
      </c>
      <c r="K608" s="7">
        <f t="shared" si="145"/>
        <v>0</v>
      </c>
      <c r="L608" s="35">
        <f t="shared" si="141"/>
        <v>1338.9</v>
      </c>
      <c r="M608" s="7">
        <f t="shared" si="145"/>
        <v>0</v>
      </c>
      <c r="N608" s="35">
        <f t="shared" si="142"/>
        <v>1338.9</v>
      </c>
      <c r="O608" s="7">
        <f t="shared" si="145"/>
        <v>0</v>
      </c>
      <c r="P608" s="35">
        <f t="shared" si="137"/>
        <v>1338.9</v>
      </c>
      <c r="Q608" s="7">
        <f t="shared" si="145"/>
        <v>-17.399999999999999</v>
      </c>
      <c r="R608" s="35">
        <f t="shared" si="138"/>
        <v>1321.5</v>
      </c>
      <c r="S608" s="7">
        <f t="shared" si="145"/>
        <v>0</v>
      </c>
      <c r="T608" s="35">
        <f t="shared" si="143"/>
        <v>1321.5</v>
      </c>
    </row>
    <row r="609" spans="1:20" ht="20.25" customHeight="1">
      <c r="A609" s="61" t="str">
        <f ca="1">IF(ISERROR(MATCH(C609,Код_Раздел,0)),"",INDIRECT(ADDRESS(MATCH(C609,Код_Раздел,0)+1,2,,,"Раздел")))</f>
        <v>Национальная экономика</v>
      </c>
      <c r="B609" s="43" t="s">
        <v>566</v>
      </c>
      <c r="C609" s="8" t="s">
        <v>216</v>
      </c>
      <c r="D609" s="1"/>
      <c r="E609" s="104"/>
      <c r="F609" s="7">
        <f t="shared" si="145"/>
        <v>1338.9</v>
      </c>
      <c r="G609" s="7">
        <f t="shared" si="145"/>
        <v>0</v>
      </c>
      <c r="H609" s="35">
        <f t="shared" si="128"/>
        <v>1338.9</v>
      </c>
      <c r="I609" s="7">
        <f t="shared" si="145"/>
        <v>0</v>
      </c>
      <c r="J609" s="35">
        <f t="shared" si="144"/>
        <v>1338.9</v>
      </c>
      <c r="K609" s="7">
        <f t="shared" si="145"/>
        <v>0</v>
      </c>
      <c r="L609" s="35">
        <f t="shared" si="141"/>
        <v>1338.9</v>
      </c>
      <c r="M609" s="7">
        <f t="shared" si="145"/>
        <v>0</v>
      </c>
      <c r="N609" s="35">
        <f t="shared" si="142"/>
        <v>1338.9</v>
      </c>
      <c r="O609" s="7">
        <f t="shared" si="145"/>
        <v>0</v>
      </c>
      <c r="P609" s="35">
        <f t="shared" si="137"/>
        <v>1338.9</v>
      </c>
      <c r="Q609" s="7">
        <f t="shared" si="145"/>
        <v>-17.399999999999999</v>
      </c>
      <c r="R609" s="35">
        <f t="shared" si="138"/>
        <v>1321.5</v>
      </c>
      <c r="S609" s="7">
        <f t="shared" si="145"/>
        <v>0</v>
      </c>
      <c r="T609" s="35">
        <f t="shared" si="143"/>
        <v>1321.5</v>
      </c>
    </row>
    <row r="610" spans="1:20" ht="18.75" customHeight="1">
      <c r="A610" s="76" t="s">
        <v>203</v>
      </c>
      <c r="B610" s="43" t="s">
        <v>566</v>
      </c>
      <c r="C610" s="8" t="s">
        <v>216</v>
      </c>
      <c r="D610" s="1" t="s">
        <v>213</v>
      </c>
      <c r="E610" s="104"/>
      <c r="F610" s="7">
        <f t="shared" si="145"/>
        <v>1338.9</v>
      </c>
      <c r="G610" s="7">
        <f t="shared" si="145"/>
        <v>0</v>
      </c>
      <c r="H610" s="35">
        <f t="shared" si="128"/>
        <v>1338.9</v>
      </c>
      <c r="I610" s="7">
        <f t="shared" si="145"/>
        <v>0</v>
      </c>
      <c r="J610" s="35">
        <f t="shared" si="144"/>
        <v>1338.9</v>
      </c>
      <c r="K610" s="7">
        <f t="shared" si="145"/>
        <v>0</v>
      </c>
      <c r="L610" s="35">
        <f t="shared" si="141"/>
        <v>1338.9</v>
      </c>
      <c r="M610" s="7">
        <f t="shared" si="145"/>
        <v>0</v>
      </c>
      <c r="N610" s="35">
        <f t="shared" si="142"/>
        <v>1338.9</v>
      </c>
      <c r="O610" s="7">
        <f t="shared" si="145"/>
        <v>0</v>
      </c>
      <c r="P610" s="35">
        <f t="shared" si="137"/>
        <v>1338.9</v>
      </c>
      <c r="Q610" s="7">
        <f t="shared" si="145"/>
        <v>-17.399999999999999</v>
      </c>
      <c r="R610" s="35">
        <f t="shared" si="138"/>
        <v>1321.5</v>
      </c>
      <c r="S610" s="7">
        <f t="shared" si="145"/>
        <v>0</v>
      </c>
      <c r="T610" s="35">
        <f t="shared" si="143"/>
        <v>1321.5</v>
      </c>
    </row>
    <row r="611" spans="1:20" ht="33">
      <c r="A611" s="61" t="str">
        <f ca="1">IF(ISERROR(MATCH(E611,Код_КВР,0)),"",INDIRECT(ADDRESS(MATCH(E611,Код_КВР,0)+1,2,,,"КВР")))</f>
        <v>Предоставление субсидий бюджетным, автономным учреждениям и иным некоммерческим организациям</v>
      </c>
      <c r="B611" s="43" t="s">
        <v>566</v>
      </c>
      <c r="C611" s="8" t="s">
        <v>216</v>
      </c>
      <c r="D611" s="1" t="s">
        <v>213</v>
      </c>
      <c r="E611" s="104">
        <v>600</v>
      </c>
      <c r="F611" s="7">
        <f t="shared" si="145"/>
        <v>1338.9</v>
      </c>
      <c r="G611" s="7">
        <f t="shared" si="145"/>
        <v>0</v>
      </c>
      <c r="H611" s="35">
        <f t="shared" si="128"/>
        <v>1338.9</v>
      </c>
      <c r="I611" s="7">
        <f t="shared" si="145"/>
        <v>0</v>
      </c>
      <c r="J611" s="35">
        <f t="shared" si="144"/>
        <v>1338.9</v>
      </c>
      <c r="K611" s="7">
        <f t="shared" si="145"/>
        <v>0</v>
      </c>
      <c r="L611" s="35">
        <f t="shared" si="141"/>
        <v>1338.9</v>
      </c>
      <c r="M611" s="7">
        <f t="shared" si="145"/>
        <v>0</v>
      </c>
      <c r="N611" s="35">
        <f t="shared" si="142"/>
        <v>1338.9</v>
      </c>
      <c r="O611" s="7">
        <f t="shared" si="145"/>
        <v>0</v>
      </c>
      <c r="P611" s="35">
        <f t="shared" si="137"/>
        <v>1338.9</v>
      </c>
      <c r="Q611" s="7">
        <f t="shared" si="145"/>
        <v>-17.399999999999999</v>
      </c>
      <c r="R611" s="35">
        <f t="shared" si="138"/>
        <v>1321.5</v>
      </c>
      <c r="S611" s="7">
        <f t="shared" si="145"/>
        <v>0</v>
      </c>
      <c r="T611" s="35">
        <f t="shared" si="143"/>
        <v>1321.5</v>
      </c>
    </row>
    <row r="612" spans="1:20">
      <c r="A612" s="61" t="str">
        <f ca="1">IF(ISERROR(MATCH(E612,Код_КВР,0)),"",INDIRECT(ADDRESS(MATCH(E612,Код_КВР,0)+1,2,,,"КВР")))</f>
        <v>Субсидии бюджетным учреждениям</v>
      </c>
      <c r="B612" s="43" t="s">
        <v>566</v>
      </c>
      <c r="C612" s="8" t="s">
        <v>216</v>
      </c>
      <c r="D612" s="1" t="s">
        <v>213</v>
      </c>
      <c r="E612" s="104">
        <v>610</v>
      </c>
      <c r="F612" s="7">
        <f t="shared" si="145"/>
        <v>1338.9</v>
      </c>
      <c r="G612" s="7">
        <f t="shared" si="145"/>
        <v>0</v>
      </c>
      <c r="H612" s="35">
        <f t="shared" si="128"/>
        <v>1338.9</v>
      </c>
      <c r="I612" s="7">
        <f t="shared" si="145"/>
        <v>0</v>
      </c>
      <c r="J612" s="35">
        <f t="shared" si="144"/>
        <v>1338.9</v>
      </c>
      <c r="K612" s="7">
        <f t="shared" si="145"/>
        <v>0</v>
      </c>
      <c r="L612" s="35">
        <f t="shared" si="141"/>
        <v>1338.9</v>
      </c>
      <c r="M612" s="7">
        <f t="shared" si="145"/>
        <v>0</v>
      </c>
      <c r="N612" s="35">
        <f t="shared" si="142"/>
        <v>1338.9</v>
      </c>
      <c r="O612" s="7">
        <f t="shared" si="145"/>
        <v>0</v>
      </c>
      <c r="P612" s="35">
        <f t="shared" si="137"/>
        <v>1338.9</v>
      </c>
      <c r="Q612" s="7">
        <f t="shared" si="145"/>
        <v>-17.399999999999999</v>
      </c>
      <c r="R612" s="35">
        <f t="shared" si="138"/>
        <v>1321.5</v>
      </c>
      <c r="S612" s="7">
        <f t="shared" si="145"/>
        <v>0</v>
      </c>
      <c r="T612" s="35">
        <f t="shared" si="143"/>
        <v>1321.5</v>
      </c>
    </row>
    <row r="613" spans="1:20" ht="49.5">
      <c r="A613" s="61" t="str">
        <f ca="1">IF(ISERROR(MATCH(E613,Код_КВР,0)),"",INDIRECT(ADDRESS(MATCH(E613,Код_КВР,0)+1,2,,,"КВР")))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13" s="43" t="s">
        <v>566</v>
      </c>
      <c r="C613" s="8" t="s">
        <v>216</v>
      </c>
      <c r="D613" s="1" t="s">
        <v>213</v>
      </c>
      <c r="E613" s="104">
        <v>611</v>
      </c>
      <c r="F613" s="7">
        <f>прил.6!G239</f>
        <v>1338.9</v>
      </c>
      <c r="G613" s="7">
        <f>прил.6!H239</f>
        <v>0</v>
      </c>
      <c r="H613" s="35">
        <f t="shared" si="128"/>
        <v>1338.9</v>
      </c>
      <c r="I613" s="7">
        <f>прил.6!J239</f>
        <v>0</v>
      </c>
      <c r="J613" s="35">
        <f t="shared" si="144"/>
        <v>1338.9</v>
      </c>
      <c r="K613" s="7">
        <f>прил.6!L239</f>
        <v>0</v>
      </c>
      <c r="L613" s="35">
        <f t="shared" si="141"/>
        <v>1338.9</v>
      </c>
      <c r="M613" s="7">
        <f>прил.6!N239</f>
        <v>0</v>
      </c>
      <c r="N613" s="35">
        <f t="shared" si="142"/>
        <v>1338.9</v>
      </c>
      <c r="O613" s="7">
        <f>прил.6!P239</f>
        <v>0</v>
      </c>
      <c r="P613" s="35">
        <f t="shared" si="137"/>
        <v>1338.9</v>
      </c>
      <c r="Q613" s="7">
        <f>прил.6!R239</f>
        <v>-17.399999999999999</v>
      </c>
      <c r="R613" s="35">
        <f t="shared" si="138"/>
        <v>1321.5</v>
      </c>
      <c r="S613" s="7">
        <f>прил.6!T239</f>
        <v>0</v>
      </c>
      <c r="T613" s="35">
        <f t="shared" si="143"/>
        <v>1321.5</v>
      </c>
    </row>
    <row r="614" spans="1:20" ht="70.7" customHeight="1">
      <c r="A614" s="61" t="str">
        <f ca="1">IF(ISERROR(MATCH(B614,Код_КЦСР,0)),"",INDIRECT(ADDRESS(MATCH(B614,Код_КЦСР,0)+1,2,,,"КЦСР")))</f>
        <v>Организация и проведение мероприятий с детьми и молодежью в рамках плана мероприятий с детьми и молодежью за счет средств городского бюджета, утверждаемого постановлением мэрии города</v>
      </c>
      <c r="B614" s="43" t="s">
        <v>568</v>
      </c>
      <c r="C614" s="8"/>
      <c r="D614" s="1"/>
      <c r="E614" s="104"/>
      <c r="F614" s="7">
        <f t="shared" ref="F614:S618" si="146">F615</f>
        <v>844.8</v>
      </c>
      <c r="G614" s="7">
        <f t="shared" si="146"/>
        <v>0</v>
      </c>
      <c r="H614" s="35">
        <f t="shared" ref="H614:H680" si="147">F614+G614</f>
        <v>844.8</v>
      </c>
      <c r="I614" s="7">
        <f t="shared" si="146"/>
        <v>0</v>
      </c>
      <c r="J614" s="35">
        <f t="shared" si="144"/>
        <v>844.8</v>
      </c>
      <c r="K614" s="7">
        <f t="shared" si="146"/>
        <v>0</v>
      </c>
      <c r="L614" s="35">
        <f t="shared" si="141"/>
        <v>844.8</v>
      </c>
      <c r="M614" s="7">
        <f t="shared" si="146"/>
        <v>0</v>
      </c>
      <c r="N614" s="35">
        <f t="shared" si="142"/>
        <v>844.8</v>
      </c>
      <c r="O614" s="7">
        <f t="shared" si="146"/>
        <v>0</v>
      </c>
      <c r="P614" s="35">
        <f t="shared" si="137"/>
        <v>844.8</v>
      </c>
      <c r="Q614" s="7">
        <f t="shared" si="146"/>
        <v>0</v>
      </c>
      <c r="R614" s="35">
        <f t="shared" si="138"/>
        <v>844.8</v>
      </c>
      <c r="S614" s="7">
        <f t="shared" si="146"/>
        <v>0</v>
      </c>
      <c r="T614" s="35">
        <f t="shared" si="143"/>
        <v>844.8</v>
      </c>
    </row>
    <row r="615" spans="1:20">
      <c r="A615" s="61" t="str">
        <f ca="1">IF(ISERROR(MATCH(C615,Код_Раздел,0)),"",INDIRECT(ADDRESS(MATCH(C615,Код_Раздел,0)+1,2,,,"Раздел")))</f>
        <v>Образование</v>
      </c>
      <c r="B615" s="43" t="s">
        <v>568</v>
      </c>
      <c r="C615" s="8" t="s">
        <v>195</v>
      </c>
      <c r="D615" s="1"/>
      <c r="E615" s="104"/>
      <c r="F615" s="7">
        <f t="shared" si="146"/>
        <v>844.8</v>
      </c>
      <c r="G615" s="7">
        <f t="shared" si="146"/>
        <v>0</v>
      </c>
      <c r="H615" s="35">
        <f t="shared" si="147"/>
        <v>844.8</v>
      </c>
      <c r="I615" s="7">
        <f t="shared" si="146"/>
        <v>0</v>
      </c>
      <c r="J615" s="35">
        <f t="shared" si="144"/>
        <v>844.8</v>
      </c>
      <c r="K615" s="7">
        <f t="shared" si="146"/>
        <v>0</v>
      </c>
      <c r="L615" s="35">
        <f t="shared" si="141"/>
        <v>844.8</v>
      </c>
      <c r="M615" s="7">
        <f t="shared" si="146"/>
        <v>0</v>
      </c>
      <c r="N615" s="35">
        <f t="shared" si="142"/>
        <v>844.8</v>
      </c>
      <c r="O615" s="7">
        <f t="shared" si="146"/>
        <v>0</v>
      </c>
      <c r="P615" s="35">
        <f t="shared" si="137"/>
        <v>844.8</v>
      </c>
      <c r="Q615" s="7">
        <f t="shared" si="146"/>
        <v>0</v>
      </c>
      <c r="R615" s="35">
        <f t="shared" si="138"/>
        <v>844.8</v>
      </c>
      <c r="S615" s="7">
        <f t="shared" si="146"/>
        <v>0</v>
      </c>
      <c r="T615" s="35">
        <f t="shared" si="143"/>
        <v>844.8</v>
      </c>
    </row>
    <row r="616" spans="1:20">
      <c r="A616" s="12" t="s">
        <v>199</v>
      </c>
      <c r="B616" s="43" t="s">
        <v>568</v>
      </c>
      <c r="C616" s="8" t="s">
        <v>195</v>
      </c>
      <c r="D616" s="1" t="s">
        <v>195</v>
      </c>
      <c r="E616" s="104"/>
      <c r="F616" s="7">
        <f t="shared" si="146"/>
        <v>844.8</v>
      </c>
      <c r="G616" s="7">
        <f t="shared" si="146"/>
        <v>0</v>
      </c>
      <c r="H616" s="35">
        <f t="shared" si="147"/>
        <v>844.8</v>
      </c>
      <c r="I616" s="7">
        <f t="shared" si="146"/>
        <v>0</v>
      </c>
      <c r="J616" s="35">
        <f t="shared" si="144"/>
        <v>844.8</v>
      </c>
      <c r="K616" s="7">
        <f t="shared" si="146"/>
        <v>0</v>
      </c>
      <c r="L616" s="35">
        <f t="shared" si="141"/>
        <v>844.8</v>
      </c>
      <c r="M616" s="7">
        <f t="shared" si="146"/>
        <v>0</v>
      </c>
      <c r="N616" s="35">
        <f t="shared" si="142"/>
        <v>844.8</v>
      </c>
      <c r="O616" s="7">
        <f t="shared" si="146"/>
        <v>0</v>
      </c>
      <c r="P616" s="35">
        <f t="shared" si="137"/>
        <v>844.8</v>
      </c>
      <c r="Q616" s="7">
        <f t="shared" si="146"/>
        <v>0</v>
      </c>
      <c r="R616" s="35">
        <f t="shared" si="138"/>
        <v>844.8</v>
      </c>
      <c r="S616" s="7">
        <f t="shared" si="146"/>
        <v>0</v>
      </c>
      <c r="T616" s="35">
        <f t="shared" si="143"/>
        <v>844.8</v>
      </c>
    </row>
    <row r="617" spans="1:20" ht="36.75" customHeight="1">
      <c r="A617" s="61" t="str">
        <f ca="1">IF(ISERROR(MATCH(E617,Код_КВР,0)),"",INDIRECT(ADDRESS(MATCH(E617,Код_КВР,0)+1,2,,,"КВР")))</f>
        <v>Предоставление субсидий бюджетным, автономным учреждениям и иным некоммерческим организациям</v>
      </c>
      <c r="B617" s="43" t="s">
        <v>568</v>
      </c>
      <c r="C617" s="8" t="s">
        <v>195</v>
      </c>
      <c r="D617" s="1" t="s">
        <v>195</v>
      </c>
      <c r="E617" s="104">
        <v>600</v>
      </c>
      <c r="F617" s="7">
        <f t="shared" si="146"/>
        <v>844.8</v>
      </c>
      <c r="G617" s="7">
        <f t="shared" si="146"/>
        <v>0</v>
      </c>
      <c r="H617" s="35">
        <f t="shared" si="147"/>
        <v>844.8</v>
      </c>
      <c r="I617" s="7">
        <f t="shared" si="146"/>
        <v>0</v>
      </c>
      <c r="J617" s="35">
        <f t="shared" si="144"/>
        <v>844.8</v>
      </c>
      <c r="K617" s="7">
        <f t="shared" si="146"/>
        <v>0</v>
      </c>
      <c r="L617" s="35">
        <f t="shared" si="141"/>
        <v>844.8</v>
      </c>
      <c r="M617" s="7">
        <f t="shared" si="146"/>
        <v>0</v>
      </c>
      <c r="N617" s="35">
        <f t="shared" si="142"/>
        <v>844.8</v>
      </c>
      <c r="O617" s="7">
        <f t="shared" si="146"/>
        <v>0</v>
      </c>
      <c r="P617" s="35">
        <f t="shared" si="137"/>
        <v>844.8</v>
      </c>
      <c r="Q617" s="7">
        <f t="shared" si="146"/>
        <v>0</v>
      </c>
      <c r="R617" s="35">
        <f t="shared" si="138"/>
        <v>844.8</v>
      </c>
      <c r="S617" s="7">
        <f t="shared" si="146"/>
        <v>0</v>
      </c>
      <c r="T617" s="35">
        <f t="shared" si="143"/>
        <v>844.8</v>
      </c>
    </row>
    <row r="618" spans="1:20" ht="20.25" customHeight="1">
      <c r="A618" s="61" t="str">
        <f ca="1">IF(ISERROR(MATCH(E618,Код_КВР,0)),"",INDIRECT(ADDRESS(MATCH(E618,Код_КВР,0)+1,2,,,"КВР")))</f>
        <v>Субсидии бюджетным учреждениям</v>
      </c>
      <c r="B618" s="43" t="s">
        <v>568</v>
      </c>
      <c r="C618" s="8" t="s">
        <v>195</v>
      </c>
      <c r="D618" s="1" t="s">
        <v>195</v>
      </c>
      <c r="E618" s="104">
        <v>610</v>
      </c>
      <c r="F618" s="7">
        <f t="shared" si="146"/>
        <v>844.8</v>
      </c>
      <c r="G618" s="7">
        <f t="shared" si="146"/>
        <v>0</v>
      </c>
      <c r="H618" s="35">
        <f t="shared" si="147"/>
        <v>844.8</v>
      </c>
      <c r="I618" s="7">
        <f t="shared" si="146"/>
        <v>0</v>
      </c>
      <c r="J618" s="35">
        <f t="shared" si="144"/>
        <v>844.8</v>
      </c>
      <c r="K618" s="7">
        <f t="shared" si="146"/>
        <v>0</v>
      </c>
      <c r="L618" s="35">
        <f t="shared" si="141"/>
        <v>844.8</v>
      </c>
      <c r="M618" s="7">
        <f t="shared" si="146"/>
        <v>0</v>
      </c>
      <c r="N618" s="35">
        <f t="shared" si="142"/>
        <v>844.8</v>
      </c>
      <c r="O618" s="7">
        <f t="shared" si="146"/>
        <v>0</v>
      </c>
      <c r="P618" s="35">
        <f t="shared" si="137"/>
        <v>844.8</v>
      </c>
      <c r="Q618" s="7">
        <f t="shared" si="146"/>
        <v>0</v>
      </c>
      <c r="R618" s="35">
        <f t="shared" si="138"/>
        <v>844.8</v>
      </c>
      <c r="S618" s="7">
        <f t="shared" si="146"/>
        <v>0</v>
      </c>
      <c r="T618" s="35">
        <f t="shared" si="143"/>
        <v>844.8</v>
      </c>
    </row>
    <row r="619" spans="1:20" ht="53.25" customHeight="1">
      <c r="A619" s="61" t="str">
        <f ca="1">IF(ISERROR(MATCH(E619,Код_КВР,0)),"",INDIRECT(ADDRESS(MATCH(E619,Код_КВР,0)+1,2,,,"КВР")))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19" s="43" t="s">
        <v>568</v>
      </c>
      <c r="C619" s="8" t="s">
        <v>195</v>
      </c>
      <c r="D619" s="1" t="s">
        <v>195</v>
      </c>
      <c r="E619" s="104">
        <v>611</v>
      </c>
      <c r="F619" s="7">
        <f>прил.6!G309</f>
        <v>844.8</v>
      </c>
      <c r="G619" s="7">
        <f>прил.6!H309</f>
        <v>0</v>
      </c>
      <c r="H619" s="35">
        <f t="shared" si="147"/>
        <v>844.8</v>
      </c>
      <c r="I619" s="7">
        <f>прил.6!J309</f>
        <v>0</v>
      </c>
      <c r="J619" s="35">
        <f t="shared" si="144"/>
        <v>844.8</v>
      </c>
      <c r="K619" s="7">
        <f>прил.6!L309</f>
        <v>0</v>
      </c>
      <c r="L619" s="35">
        <f t="shared" si="141"/>
        <v>844.8</v>
      </c>
      <c r="M619" s="7">
        <f>прил.6!N309</f>
        <v>0</v>
      </c>
      <c r="N619" s="35">
        <f t="shared" si="142"/>
        <v>844.8</v>
      </c>
      <c r="O619" s="7">
        <f>прил.6!P309</f>
        <v>0</v>
      </c>
      <c r="P619" s="35">
        <f t="shared" si="137"/>
        <v>844.8</v>
      </c>
      <c r="Q619" s="7">
        <f>прил.6!R309</f>
        <v>0</v>
      </c>
      <c r="R619" s="35">
        <f t="shared" si="138"/>
        <v>844.8</v>
      </c>
      <c r="S619" s="7">
        <f>прил.6!T309</f>
        <v>0</v>
      </c>
      <c r="T619" s="35">
        <f t="shared" si="143"/>
        <v>844.8</v>
      </c>
    </row>
    <row r="620" spans="1:20" ht="69.75" customHeight="1">
      <c r="A620" s="61" t="str">
        <f ca="1">IF(ISERROR(MATCH(B620,Код_КЦСР,0)),"",INDIRECT(ADDRESS(MATCH(B620,Код_КЦСР,0)+1,2,,,"КЦСР")))</f>
        <v>Организация и проведение мероприятий с детьми и молодежью, организация поддержки детских и молодежных общественных объединений в рамках текущей деятельности муниципального бюджетного учреждения «Череповецкий молодежный центр»</v>
      </c>
      <c r="B620" s="43" t="s">
        <v>569</v>
      </c>
      <c r="C620" s="8"/>
      <c r="D620" s="1"/>
      <c r="E620" s="104"/>
      <c r="F620" s="7">
        <f t="shared" ref="F620:S624" si="148">F621</f>
        <v>6827.9</v>
      </c>
      <c r="G620" s="7">
        <f t="shared" si="148"/>
        <v>0</v>
      </c>
      <c r="H620" s="35">
        <f t="shared" si="147"/>
        <v>6827.9</v>
      </c>
      <c r="I620" s="7">
        <f t="shared" si="148"/>
        <v>0</v>
      </c>
      <c r="J620" s="35">
        <f t="shared" si="144"/>
        <v>6827.9</v>
      </c>
      <c r="K620" s="7">
        <f t="shared" si="148"/>
        <v>-100.6</v>
      </c>
      <c r="L620" s="35">
        <f t="shared" si="141"/>
        <v>6727.2999999999993</v>
      </c>
      <c r="M620" s="7">
        <f t="shared" si="148"/>
        <v>0</v>
      </c>
      <c r="N620" s="35">
        <f t="shared" si="142"/>
        <v>6727.2999999999993</v>
      </c>
      <c r="O620" s="7">
        <f t="shared" si="148"/>
        <v>0</v>
      </c>
      <c r="P620" s="35">
        <f t="shared" si="137"/>
        <v>6727.2999999999993</v>
      </c>
      <c r="Q620" s="7">
        <f t="shared" si="148"/>
        <v>0</v>
      </c>
      <c r="R620" s="35">
        <f t="shared" si="138"/>
        <v>6727.2999999999993</v>
      </c>
      <c r="S620" s="7">
        <f t="shared" si="148"/>
        <v>0</v>
      </c>
      <c r="T620" s="35">
        <f t="shared" si="143"/>
        <v>6727.2999999999993</v>
      </c>
    </row>
    <row r="621" spans="1:20">
      <c r="A621" s="61" t="str">
        <f ca="1">IF(ISERROR(MATCH(C621,Код_Раздел,0)),"",INDIRECT(ADDRESS(MATCH(C621,Код_Раздел,0)+1,2,,,"Раздел")))</f>
        <v>Образование</v>
      </c>
      <c r="B621" s="43" t="s">
        <v>569</v>
      </c>
      <c r="C621" s="8" t="s">
        <v>195</v>
      </c>
      <c r="D621" s="1"/>
      <c r="E621" s="104"/>
      <c r="F621" s="7">
        <f t="shared" si="148"/>
        <v>6827.9</v>
      </c>
      <c r="G621" s="7">
        <f t="shared" si="148"/>
        <v>0</v>
      </c>
      <c r="H621" s="35">
        <f t="shared" si="147"/>
        <v>6827.9</v>
      </c>
      <c r="I621" s="7">
        <f t="shared" si="148"/>
        <v>0</v>
      </c>
      <c r="J621" s="35">
        <f t="shared" si="144"/>
        <v>6827.9</v>
      </c>
      <c r="K621" s="7">
        <f t="shared" si="148"/>
        <v>-100.6</v>
      </c>
      <c r="L621" s="35">
        <f t="shared" si="141"/>
        <v>6727.2999999999993</v>
      </c>
      <c r="M621" s="7">
        <f t="shared" si="148"/>
        <v>0</v>
      </c>
      <c r="N621" s="35">
        <f t="shared" si="142"/>
        <v>6727.2999999999993</v>
      </c>
      <c r="O621" s="7">
        <f t="shared" si="148"/>
        <v>0</v>
      </c>
      <c r="P621" s="35">
        <f t="shared" si="137"/>
        <v>6727.2999999999993</v>
      </c>
      <c r="Q621" s="7">
        <f t="shared" si="148"/>
        <v>0</v>
      </c>
      <c r="R621" s="35">
        <f t="shared" si="138"/>
        <v>6727.2999999999993</v>
      </c>
      <c r="S621" s="7">
        <f t="shared" si="148"/>
        <v>0</v>
      </c>
      <c r="T621" s="35">
        <f t="shared" si="143"/>
        <v>6727.2999999999993</v>
      </c>
    </row>
    <row r="622" spans="1:20">
      <c r="A622" s="12" t="s">
        <v>199</v>
      </c>
      <c r="B622" s="43" t="s">
        <v>569</v>
      </c>
      <c r="C622" s="8" t="s">
        <v>195</v>
      </c>
      <c r="D622" s="1" t="s">
        <v>195</v>
      </c>
      <c r="E622" s="104"/>
      <c r="F622" s="7">
        <f t="shared" si="148"/>
        <v>6827.9</v>
      </c>
      <c r="G622" s="7">
        <f t="shared" si="148"/>
        <v>0</v>
      </c>
      <c r="H622" s="35">
        <f t="shared" si="147"/>
        <v>6827.9</v>
      </c>
      <c r="I622" s="7">
        <f t="shared" si="148"/>
        <v>0</v>
      </c>
      <c r="J622" s="35">
        <f t="shared" si="144"/>
        <v>6827.9</v>
      </c>
      <c r="K622" s="7">
        <f t="shared" si="148"/>
        <v>-100.6</v>
      </c>
      <c r="L622" s="35">
        <f t="shared" si="141"/>
        <v>6727.2999999999993</v>
      </c>
      <c r="M622" s="7">
        <f t="shared" si="148"/>
        <v>0</v>
      </c>
      <c r="N622" s="35">
        <f t="shared" si="142"/>
        <v>6727.2999999999993</v>
      </c>
      <c r="O622" s="7">
        <f t="shared" si="148"/>
        <v>0</v>
      </c>
      <c r="P622" s="35">
        <f t="shared" si="137"/>
        <v>6727.2999999999993</v>
      </c>
      <c r="Q622" s="7">
        <f t="shared" si="148"/>
        <v>0</v>
      </c>
      <c r="R622" s="35">
        <f t="shared" si="138"/>
        <v>6727.2999999999993</v>
      </c>
      <c r="S622" s="7">
        <f t="shared" si="148"/>
        <v>0</v>
      </c>
      <c r="T622" s="35">
        <f t="shared" si="143"/>
        <v>6727.2999999999993</v>
      </c>
    </row>
    <row r="623" spans="1:20" ht="36" customHeight="1">
      <c r="A623" s="61" t="str">
        <f ca="1">IF(ISERROR(MATCH(E623,Код_КВР,0)),"",INDIRECT(ADDRESS(MATCH(E623,Код_КВР,0)+1,2,,,"КВР")))</f>
        <v>Предоставление субсидий бюджетным, автономным учреждениям и иным некоммерческим организациям</v>
      </c>
      <c r="B623" s="43" t="s">
        <v>569</v>
      </c>
      <c r="C623" s="8" t="s">
        <v>195</v>
      </c>
      <c r="D623" s="1" t="s">
        <v>195</v>
      </c>
      <c r="E623" s="104">
        <v>600</v>
      </c>
      <c r="F623" s="7">
        <f t="shared" si="148"/>
        <v>6827.9</v>
      </c>
      <c r="G623" s="7">
        <f t="shared" si="148"/>
        <v>0</v>
      </c>
      <c r="H623" s="35">
        <f t="shared" si="147"/>
        <v>6827.9</v>
      </c>
      <c r="I623" s="7">
        <f t="shared" si="148"/>
        <v>0</v>
      </c>
      <c r="J623" s="35">
        <f t="shared" si="144"/>
        <v>6827.9</v>
      </c>
      <c r="K623" s="7">
        <f t="shared" si="148"/>
        <v>-100.6</v>
      </c>
      <c r="L623" s="35">
        <f t="shared" si="141"/>
        <v>6727.2999999999993</v>
      </c>
      <c r="M623" s="7">
        <f t="shared" si="148"/>
        <v>0</v>
      </c>
      <c r="N623" s="35">
        <f t="shared" si="142"/>
        <v>6727.2999999999993</v>
      </c>
      <c r="O623" s="7">
        <f t="shared" si="148"/>
        <v>0</v>
      </c>
      <c r="P623" s="35">
        <f t="shared" si="137"/>
        <v>6727.2999999999993</v>
      </c>
      <c r="Q623" s="7">
        <f t="shared" si="148"/>
        <v>0</v>
      </c>
      <c r="R623" s="35">
        <f t="shared" si="138"/>
        <v>6727.2999999999993</v>
      </c>
      <c r="S623" s="7">
        <f t="shared" si="148"/>
        <v>0</v>
      </c>
      <c r="T623" s="35">
        <f t="shared" si="143"/>
        <v>6727.2999999999993</v>
      </c>
    </row>
    <row r="624" spans="1:20" ht="18.75" customHeight="1">
      <c r="A624" s="61" t="str">
        <f ca="1">IF(ISERROR(MATCH(E624,Код_КВР,0)),"",INDIRECT(ADDRESS(MATCH(E624,Код_КВР,0)+1,2,,,"КВР")))</f>
        <v>Субсидии бюджетным учреждениям</v>
      </c>
      <c r="B624" s="43" t="s">
        <v>569</v>
      </c>
      <c r="C624" s="8" t="s">
        <v>195</v>
      </c>
      <c r="D624" s="1" t="s">
        <v>195</v>
      </c>
      <c r="E624" s="104">
        <v>610</v>
      </c>
      <c r="F624" s="7">
        <f t="shared" si="148"/>
        <v>6827.9</v>
      </c>
      <c r="G624" s="7">
        <f t="shared" si="148"/>
        <v>0</v>
      </c>
      <c r="H624" s="35">
        <f t="shared" si="147"/>
        <v>6827.9</v>
      </c>
      <c r="I624" s="7">
        <f t="shared" si="148"/>
        <v>0</v>
      </c>
      <c r="J624" s="35">
        <f t="shared" si="144"/>
        <v>6827.9</v>
      </c>
      <c r="K624" s="7">
        <f t="shared" si="148"/>
        <v>-100.6</v>
      </c>
      <c r="L624" s="35">
        <f t="shared" si="141"/>
        <v>6727.2999999999993</v>
      </c>
      <c r="M624" s="7">
        <f t="shared" si="148"/>
        <v>0</v>
      </c>
      <c r="N624" s="35">
        <f t="shared" si="142"/>
        <v>6727.2999999999993</v>
      </c>
      <c r="O624" s="7">
        <f t="shared" si="148"/>
        <v>0</v>
      </c>
      <c r="P624" s="35">
        <f t="shared" si="137"/>
        <v>6727.2999999999993</v>
      </c>
      <c r="Q624" s="7">
        <f t="shared" si="148"/>
        <v>0</v>
      </c>
      <c r="R624" s="35">
        <f t="shared" si="138"/>
        <v>6727.2999999999993</v>
      </c>
      <c r="S624" s="7">
        <f t="shared" si="148"/>
        <v>0</v>
      </c>
      <c r="T624" s="35">
        <f t="shared" si="143"/>
        <v>6727.2999999999993</v>
      </c>
    </row>
    <row r="625" spans="1:20" ht="54" customHeight="1">
      <c r="A625" s="61" t="str">
        <f ca="1">IF(ISERROR(MATCH(E625,Код_КВР,0)),"",INDIRECT(ADDRESS(MATCH(E625,Код_КВР,0)+1,2,,,"КВР")))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25" s="43" t="s">
        <v>569</v>
      </c>
      <c r="C625" s="8" t="s">
        <v>195</v>
      </c>
      <c r="D625" s="1" t="s">
        <v>195</v>
      </c>
      <c r="E625" s="104">
        <v>611</v>
      </c>
      <c r="F625" s="7">
        <f>прил.6!G313</f>
        <v>6827.9</v>
      </c>
      <c r="G625" s="7">
        <f>прил.6!H313</f>
        <v>0</v>
      </c>
      <c r="H625" s="35">
        <f t="shared" si="147"/>
        <v>6827.9</v>
      </c>
      <c r="I625" s="7">
        <f>прил.6!J313</f>
        <v>0</v>
      </c>
      <c r="J625" s="35">
        <f t="shared" si="144"/>
        <v>6827.9</v>
      </c>
      <c r="K625" s="7">
        <f>прил.6!L313</f>
        <v>-100.6</v>
      </c>
      <c r="L625" s="35">
        <f t="shared" si="141"/>
        <v>6727.2999999999993</v>
      </c>
      <c r="M625" s="7">
        <f>прил.6!N313</f>
        <v>0</v>
      </c>
      <c r="N625" s="35">
        <f t="shared" si="142"/>
        <v>6727.2999999999993</v>
      </c>
      <c r="O625" s="7">
        <f>прил.6!P313</f>
        <v>0</v>
      </c>
      <c r="P625" s="35">
        <f t="shared" si="137"/>
        <v>6727.2999999999993</v>
      </c>
      <c r="Q625" s="7">
        <f>прил.6!R313</f>
        <v>0</v>
      </c>
      <c r="R625" s="35">
        <f t="shared" si="138"/>
        <v>6727.2999999999993</v>
      </c>
      <c r="S625" s="7">
        <f>прил.6!T313</f>
        <v>0</v>
      </c>
      <c r="T625" s="35">
        <f t="shared" si="143"/>
        <v>6727.2999999999993</v>
      </c>
    </row>
    <row r="626" spans="1:20" ht="19.5" customHeight="1">
      <c r="A626" s="61" t="str">
        <f ca="1">IF(ISERROR(MATCH(B626,Код_КЦСР,0)),"",INDIRECT(ADDRESS(MATCH(B626,Код_КЦСР,0)+1,2,,,"КЦСР")))</f>
        <v>Муниципальная программа «Здоровый город» на 2014-2022 годы</v>
      </c>
      <c r="B626" s="43" t="s">
        <v>570</v>
      </c>
      <c r="C626" s="8"/>
      <c r="D626" s="1"/>
      <c r="E626" s="104"/>
      <c r="F626" s="7">
        <f>F627+F643+F669+F689+F700+F716</f>
        <v>2291.3000000000002</v>
      </c>
      <c r="G626" s="7">
        <f>G627+G643+G669+G689+G700+G716</f>
        <v>0</v>
      </c>
      <c r="H626" s="35">
        <f t="shared" si="147"/>
        <v>2291.3000000000002</v>
      </c>
      <c r="I626" s="7">
        <f>I627+I643+I669+I689+I700+I716</f>
        <v>0</v>
      </c>
      <c r="J626" s="35">
        <f t="shared" si="144"/>
        <v>2291.3000000000002</v>
      </c>
      <c r="K626" s="7">
        <f>K627+K643+K669+K689+K700+K716</f>
        <v>0</v>
      </c>
      <c r="L626" s="35">
        <f t="shared" si="141"/>
        <v>2291.3000000000002</v>
      </c>
      <c r="M626" s="7">
        <f>M627+M643+M669+M689+M700+M716</f>
        <v>0</v>
      </c>
      <c r="N626" s="35">
        <f t="shared" si="142"/>
        <v>2291.3000000000002</v>
      </c>
      <c r="O626" s="7">
        <f>O627+O643+O669+O689+O700+O716</f>
        <v>0</v>
      </c>
      <c r="P626" s="35">
        <f t="shared" si="137"/>
        <v>2291.3000000000002</v>
      </c>
      <c r="Q626" s="7">
        <f>Q627+Q643+Q669+Q689+Q700+Q716</f>
        <v>-30</v>
      </c>
      <c r="R626" s="35">
        <f t="shared" si="138"/>
        <v>2261.3000000000002</v>
      </c>
      <c r="S626" s="7">
        <f>S627+S643+S669+S689+S700+S716</f>
        <v>0</v>
      </c>
      <c r="T626" s="35">
        <f t="shared" si="143"/>
        <v>2261.3000000000002</v>
      </c>
    </row>
    <row r="627" spans="1:20" ht="20.25" customHeight="1">
      <c r="A627" s="61" t="str">
        <f ca="1">IF(ISERROR(MATCH(B627,Код_КЦСР,0)),"",INDIRECT(ADDRESS(MATCH(B627,Код_КЦСР,0)+1,2,,,"КЦСР")))</f>
        <v>Организационно-методическое обеспечение Программы</v>
      </c>
      <c r="B627" s="43" t="s">
        <v>572</v>
      </c>
      <c r="C627" s="8"/>
      <c r="D627" s="1"/>
      <c r="E627" s="104"/>
      <c r="F627" s="7">
        <f>F628+F638</f>
        <v>954</v>
      </c>
      <c r="G627" s="7">
        <f>G628+G638</f>
        <v>0</v>
      </c>
      <c r="H627" s="35">
        <f t="shared" si="147"/>
        <v>954</v>
      </c>
      <c r="I627" s="7">
        <f>I628+I638</f>
        <v>0</v>
      </c>
      <c r="J627" s="35">
        <f t="shared" si="144"/>
        <v>954</v>
      </c>
      <c r="K627" s="7">
        <f>K628+K638</f>
        <v>0</v>
      </c>
      <c r="L627" s="35">
        <f t="shared" si="141"/>
        <v>954</v>
      </c>
      <c r="M627" s="7">
        <f>M628+M638</f>
        <v>0</v>
      </c>
      <c r="N627" s="35">
        <f t="shared" si="142"/>
        <v>954</v>
      </c>
      <c r="O627" s="7">
        <f>O628+O638</f>
        <v>0</v>
      </c>
      <c r="P627" s="35">
        <f t="shared" si="137"/>
        <v>954</v>
      </c>
      <c r="Q627" s="7">
        <f>Q628+Q638</f>
        <v>-14.3</v>
      </c>
      <c r="R627" s="35">
        <f t="shared" si="138"/>
        <v>939.7</v>
      </c>
      <c r="S627" s="7">
        <f>S628+S638</f>
        <v>0</v>
      </c>
      <c r="T627" s="35">
        <f t="shared" si="143"/>
        <v>939.7</v>
      </c>
    </row>
    <row r="628" spans="1:20" ht="18.75" customHeight="1">
      <c r="A628" s="61" t="str">
        <f ca="1">IF(ISERROR(MATCH(C628,Код_Раздел,0)),"",INDIRECT(ADDRESS(MATCH(C628,Код_Раздел,0)+1,2,,,"Раздел")))</f>
        <v>Общегосударственные  вопросы</v>
      </c>
      <c r="B628" s="43" t="s">
        <v>572</v>
      </c>
      <c r="C628" s="8" t="s">
        <v>213</v>
      </c>
      <c r="D628" s="1"/>
      <c r="E628" s="104"/>
      <c r="F628" s="7">
        <f>F629</f>
        <v>954</v>
      </c>
      <c r="G628" s="7">
        <f>G629</f>
        <v>0</v>
      </c>
      <c r="H628" s="35">
        <f t="shared" si="147"/>
        <v>954</v>
      </c>
      <c r="I628" s="7">
        <f>I629</f>
        <v>0</v>
      </c>
      <c r="J628" s="35">
        <f t="shared" si="144"/>
        <v>954</v>
      </c>
      <c r="K628" s="7">
        <f>K629</f>
        <v>0</v>
      </c>
      <c r="L628" s="35">
        <f t="shared" si="141"/>
        <v>954</v>
      </c>
      <c r="M628" s="7">
        <f>M629</f>
        <v>0</v>
      </c>
      <c r="N628" s="35">
        <f t="shared" si="142"/>
        <v>954</v>
      </c>
      <c r="O628" s="7">
        <f>O629</f>
        <v>0</v>
      </c>
      <c r="P628" s="35">
        <f t="shared" si="137"/>
        <v>954</v>
      </c>
      <c r="Q628" s="7">
        <f>Q629</f>
        <v>-14.3</v>
      </c>
      <c r="R628" s="35">
        <f t="shared" si="138"/>
        <v>939.7</v>
      </c>
      <c r="S628" s="7">
        <f>S629</f>
        <v>0</v>
      </c>
      <c r="T628" s="35">
        <f t="shared" si="143"/>
        <v>939.7</v>
      </c>
    </row>
    <row r="629" spans="1:20" ht="19.5" customHeight="1">
      <c r="A629" s="12" t="s">
        <v>237</v>
      </c>
      <c r="B629" s="43" t="s">
        <v>572</v>
      </c>
      <c r="C629" s="8" t="s">
        <v>213</v>
      </c>
      <c r="D629" s="1" t="s">
        <v>190</v>
      </c>
      <c r="E629" s="104"/>
      <c r="F629" s="7">
        <f>F630+F633</f>
        <v>954</v>
      </c>
      <c r="G629" s="7">
        <f>G630+G636</f>
        <v>0</v>
      </c>
      <c r="H629" s="35">
        <f t="shared" si="147"/>
        <v>954</v>
      </c>
      <c r="I629" s="7">
        <f>I630+I633</f>
        <v>0</v>
      </c>
      <c r="J629" s="35">
        <f t="shared" si="144"/>
        <v>954</v>
      </c>
      <c r="K629" s="7">
        <f>K630+K633</f>
        <v>0</v>
      </c>
      <c r="L629" s="35">
        <f t="shared" si="141"/>
        <v>954</v>
      </c>
      <c r="M629" s="7">
        <f>M630+M633</f>
        <v>0</v>
      </c>
      <c r="N629" s="35">
        <f t="shared" si="142"/>
        <v>954</v>
      </c>
      <c r="O629" s="7">
        <f>O630+O633</f>
        <v>0</v>
      </c>
      <c r="P629" s="35">
        <f t="shared" si="137"/>
        <v>954</v>
      </c>
      <c r="Q629" s="7">
        <f>Q630+Q633</f>
        <v>-14.3</v>
      </c>
      <c r="R629" s="35">
        <f t="shared" si="138"/>
        <v>939.7</v>
      </c>
      <c r="S629" s="7">
        <f>S630+S633</f>
        <v>0</v>
      </c>
      <c r="T629" s="35">
        <f t="shared" si="143"/>
        <v>939.7</v>
      </c>
    </row>
    <row r="630" spans="1:20">
      <c r="A630" s="61" t="str">
        <f t="shared" ref="A630:A637" ca="1" si="149">IF(ISERROR(MATCH(E630,Код_КВР,0)),"",INDIRECT(ADDRESS(MATCH(E630,Код_КВР,0)+1,2,,,"КВР")))</f>
        <v>Закупка товаров, работ и услуг для муниципальных нужд</v>
      </c>
      <c r="B630" s="43" t="s">
        <v>572</v>
      </c>
      <c r="C630" s="8" t="s">
        <v>213</v>
      </c>
      <c r="D630" s="1" t="s">
        <v>190</v>
      </c>
      <c r="E630" s="104">
        <v>200</v>
      </c>
      <c r="F630" s="7">
        <f>F631</f>
        <v>276</v>
      </c>
      <c r="G630" s="7">
        <f>G631</f>
        <v>0</v>
      </c>
      <c r="H630" s="35">
        <f t="shared" si="147"/>
        <v>276</v>
      </c>
      <c r="I630" s="7">
        <f>I631</f>
        <v>-130</v>
      </c>
      <c r="J630" s="35">
        <f t="shared" si="144"/>
        <v>146</v>
      </c>
      <c r="K630" s="7">
        <f>K631</f>
        <v>0</v>
      </c>
      <c r="L630" s="35">
        <f t="shared" si="141"/>
        <v>146</v>
      </c>
      <c r="M630" s="7">
        <f>M631</f>
        <v>0</v>
      </c>
      <c r="N630" s="35">
        <f t="shared" si="142"/>
        <v>146</v>
      </c>
      <c r="O630" s="7">
        <f>O631</f>
        <v>0</v>
      </c>
      <c r="P630" s="35">
        <f t="shared" si="137"/>
        <v>146</v>
      </c>
      <c r="Q630" s="7">
        <f>Q631</f>
        <v>-8.6</v>
      </c>
      <c r="R630" s="35">
        <f t="shared" si="138"/>
        <v>137.4</v>
      </c>
      <c r="S630" s="7">
        <f>S631</f>
        <v>0</v>
      </c>
      <c r="T630" s="35">
        <f t="shared" si="143"/>
        <v>137.4</v>
      </c>
    </row>
    <row r="631" spans="1:20" ht="36" customHeight="1">
      <c r="A631" s="61" t="str">
        <f t="shared" ca="1" si="149"/>
        <v>Иные закупки товаров, работ и услуг для обеспечения муниципальных нужд</v>
      </c>
      <c r="B631" s="43" t="s">
        <v>572</v>
      </c>
      <c r="C631" s="8" t="s">
        <v>213</v>
      </c>
      <c r="D631" s="1" t="s">
        <v>190</v>
      </c>
      <c r="E631" s="104">
        <v>240</v>
      </c>
      <c r="F631" s="7">
        <f>F632</f>
        <v>276</v>
      </c>
      <c r="G631" s="7">
        <f>G632</f>
        <v>0</v>
      </c>
      <c r="H631" s="35">
        <f t="shared" si="147"/>
        <v>276</v>
      </c>
      <c r="I631" s="7">
        <f>I632</f>
        <v>-130</v>
      </c>
      <c r="J631" s="35">
        <f t="shared" si="144"/>
        <v>146</v>
      </c>
      <c r="K631" s="7">
        <f>K632</f>
        <v>0</v>
      </c>
      <c r="L631" s="35">
        <f t="shared" si="141"/>
        <v>146</v>
      </c>
      <c r="M631" s="7">
        <f>M632</f>
        <v>0</v>
      </c>
      <c r="N631" s="35">
        <f t="shared" si="142"/>
        <v>146</v>
      </c>
      <c r="O631" s="7">
        <f>O632</f>
        <v>0</v>
      </c>
      <c r="P631" s="35">
        <f t="shared" si="137"/>
        <v>146</v>
      </c>
      <c r="Q631" s="7">
        <f>Q632</f>
        <v>-8.6</v>
      </c>
      <c r="R631" s="35">
        <f t="shared" si="138"/>
        <v>137.4</v>
      </c>
      <c r="S631" s="7">
        <f>S632</f>
        <v>0</v>
      </c>
      <c r="T631" s="35">
        <f t="shared" si="143"/>
        <v>137.4</v>
      </c>
    </row>
    <row r="632" spans="1:20" ht="33.75" customHeight="1">
      <c r="A632" s="61" t="str">
        <f t="shared" ca="1" si="149"/>
        <v xml:space="preserve">Прочая закупка товаров, работ и услуг для обеспечения муниципальных нужд         </v>
      </c>
      <c r="B632" s="43" t="s">
        <v>572</v>
      </c>
      <c r="C632" s="8" t="s">
        <v>213</v>
      </c>
      <c r="D632" s="1" t="s">
        <v>190</v>
      </c>
      <c r="E632" s="104">
        <v>244</v>
      </c>
      <c r="F632" s="7">
        <f>прил.6!G99</f>
        <v>276</v>
      </c>
      <c r="G632" s="7">
        <f>прил.6!H99</f>
        <v>0</v>
      </c>
      <c r="H632" s="35">
        <f t="shared" si="147"/>
        <v>276</v>
      </c>
      <c r="I632" s="7">
        <f>прил.6!J99</f>
        <v>-130</v>
      </c>
      <c r="J632" s="35">
        <f t="shared" si="144"/>
        <v>146</v>
      </c>
      <c r="K632" s="7">
        <f>прил.6!L99</f>
        <v>0</v>
      </c>
      <c r="L632" s="35">
        <f t="shared" si="141"/>
        <v>146</v>
      </c>
      <c r="M632" s="7">
        <f>прил.6!N99</f>
        <v>0</v>
      </c>
      <c r="N632" s="35">
        <f t="shared" si="142"/>
        <v>146</v>
      </c>
      <c r="O632" s="7">
        <f>прил.6!P99</f>
        <v>0</v>
      </c>
      <c r="P632" s="35">
        <f t="shared" si="137"/>
        <v>146</v>
      </c>
      <c r="Q632" s="7">
        <f>прил.6!R99</f>
        <v>-8.6</v>
      </c>
      <c r="R632" s="35">
        <f t="shared" si="138"/>
        <v>137.4</v>
      </c>
      <c r="S632" s="7">
        <f>прил.6!T99</f>
        <v>0</v>
      </c>
      <c r="T632" s="35">
        <f t="shared" si="143"/>
        <v>137.4</v>
      </c>
    </row>
    <row r="633" spans="1:20">
      <c r="A633" s="61" t="str">
        <f t="shared" ca="1" si="149"/>
        <v>Иные бюджетные ассигнования</v>
      </c>
      <c r="B633" s="43" t="s">
        <v>572</v>
      </c>
      <c r="C633" s="8" t="s">
        <v>213</v>
      </c>
      <c r="D633" s="1" t="s">
        <v>190</v>
      </c>
      <c r="E633" s="104">
        <v>800</v>
      </c>
      <c r="F633" s="7">
        <f>F634+F636</f>
        <v>678</v>
      </c>
      <c r="G633" s="7"/>
      <c r="H633" s="35">
        <f t="shared" si="147"/>
        <v>678</v>
      </c>
      <c r="I633" s="7">
        <f>I634+I636</f>
        <v>130</v>
      </c>
      <c r="J633" s="35">
        <f t="shared" si="144"/>
        <v>808</v>
      </c>
      <c r="K633" s="7">
        <f>K634+K636</f>
        <v>0</v>
      </c>
      <c r="L633" s="35">
        <f t="shared" si="141"/>
        <v>808</v>
      </c>
      <c r="M633" s="7">
        <f>M634+M636</f>
        <v>0</v>
      </c>
      <c r="N633" s="35">
        <f t="shared" si="142"/>
        <v>808</v>
      </c>
      <c r="O633" s="7">
        <f>O634+O636</f>
        <v>0</v>
      </c>
      <c r="P633" s="35">
        <f t="shared" si="137"/>
        <v>808</v>
      </c>
      <c r="Q633" s="7">
        <f>Q634+Q636</f>
        <v>-5.7</v>
      </c>
      <c r="R633" s="35">
        <f t="shared" si="138"/>
        <v>802.3</v>
      </c>
      <c r="S633" s="7">
        <f>S634+S636</f>
        <v>0</v>
      </c>
      <c r="T633" s="35">
        <f t="shared" si="143"/>
        <v>802.3</v>
      </c>
    </row>
    <row r="634" spans="1:20">
      <c r="A634" s="61" t="str">
        <f t="shared" ca="1" si="149"/>
        <v>Уплата налогов, сборов и иных платежей</v>
      </c>
      <c r="B634" s="43" t="s">
        <v>572</v>
      </c>
      <c r="C634" s="8" t="s">
        <v>213</v>
      </c>
      <c r="D634" s="1" t="s">
        <v>190</v>
      </c>
      <c r="E634" s="104">
        <v>850</v>
      </c>
      <c r="F634" s="7"/>
      <c r="G634" s="7"/>
      <c r="H634" s="35">
        <f t="shared" si="147"/>
        <v>0</v>
      </c>
      <c r="I634" s="7">
        <f>I635</f>
        <v>678</v>
      </c>
      <c r="J634" s="35">
        <f t="shared" si="144"/>
        <v>678</v>
      </c>
      <c r="K634" s="7">
        <f>K635</f>
        <v>0</v>
      </c>
      <c r="L634" s="35">
        <f t="shared" si="141"/>
        <v>678</v>
      </c>
      <c r="M634" s="7">
        <f>M635</f>
        <v>0</v>
      </c>
      <c r="N634" s="35">
        <f t="shared" si="142"/>
        <v>678</v>
      </c>
      <c r="O634" s="7">
        <f>O635</f>
        <v>0</v>
      </c>
      <c r="P634" s="35">
        <f t="shared" si="137"/>
        <v>678</v>
      </c>
      <c r="Q634" s="7">
        <f>Q635</f>
        <v>0</v>
      </c>
      <c r="R634" s="35">
        <f t="shared" si="138"/>
        <v>678</v>
      </c>
      <c r="S634" s="7">
        <f>S635</f>
        <v>0</v>
      </c>
      <c r="T634" s="35">
        <f t="shared" si="143"/>
        <v>678</v>
      </c>
    </row>
    <row r="635" spans="1:20">
      <c r="A635" s="61" t="str">
        <f t="shared" ca="1" si="149"/>
        <v>Уплата прочих налогов, сборов и иных платежей</v>
      </c>
      <c r="B635" s="43" t="s">
        <v>572</v>
      </c>
      <c r="C635" s="8" t="s">
        <v>213</v>
      </c>
      <c r="D635" s="1" t="s">
        <v>190</v>
      </c>
      <c r="E635" s="104">
        <v>852</v>
      </c>
      <c r="F635" s="7"/>
      <c r="G635" s="7"/>
      <c r="H635" s="35">
        <f t="shared" si="147"/>
        <v>0</v>
      </c>
      <c r="I635" s="7">
        <f>прил.6!J102</f>
        <v>678</v>
      </c>
      <c r="J635" s="35">
        <f t="shared" si="144"/>
        <v>678</v>
      </c>
      <c r="K635" s="7">
        <f>прил.6!L102</f>
        <v>0</v>
      </c>
      <c r="L635" s="35">
        <f t="shared" si="141"/>
        <v>678</v>
      </c>
      <c r="M635" s="7">
        <f>прил.6!N102</f>
        <v>0</v>
      </c>
      <c r="N635" s="35">
        <f t="shared" si="142"/>
        <v>678</v>
      </c>
      <c r="O635" s="7">
        <f>прил.6!P102</f>
        <v>0</v>
      </c>
      <c r="P635" s="35">
        <f t="shared" si="137"/>
        <v>678</v>
      </c>
      <c r="Q635" s="7">
        <f>прил.6!R102</f>
        <v>0</v>
      </c>
      <c r="R635" s="35">
        <f t="shared" si="138"/>
        <v>678</v>
      </c>
      <c r="S635" s="7">
        <f>прил.6!T102</f>
        <v>0</v>
      </c>
      <c r="T635" s="35">
        <f t="shared" si="143"/>
        <v>678</v>
      </c>
    </row>
    <row r="636" spans="1:20" ht="33">
      <c r="A636" s="61" t="str">
        <f t="shared" ca="1" si="149"/>
        <v>Предоставление платежей, взносов, безвозмездных перечислений субъектам международного права</v>
      </c>
      <c r="B636" s="43" t="s">
        <v>572</v>
      </c>
      <c r="C636" s="8" t="s">
        <v>213</v>
      </c>
      <c r="D636" s="1" t="s">
        <v>190</v>
      </c>
      <c r="E636" s="104">
        <v>860</v>
      </c>
      <c r="F636" s="7">
        <f>F637</f>
        <v>678</v>
      </c>
      <c r="G636" s="7">
        <f>G637</f>
        <v>0</v>
      </c>
      <c r="H636" s="35">
        <f t="shared" si="147"/>
        <v>678</v>
      </c>
      <c r="I636" s="7">
        <f>I637</f>
        <v>-548</v>
      </c>
      <c r="J636" s="35">
        <f t="shared" si="144"/>
        <v>130</v>
      </c>
      <c r="K636" s="7">
        <f>K637</f>
        <v>0</v>
      </c>
      <c r="L636" s="35">
        <f t="shared" si="141"/>
        <v>130</v>
      </c>
      <c r="M636" s="7">
        <f>M637</f>
        <v>0</v>
      </c>
      <c r="N636" s="35">
        <f t="shared" si="142"/>
        <v>130</v>
      </c>
      <c r="O636" s="7">
        <f>O637</f>
        <v>0</v>
      </c>
      <c r="P636" s="35">
        <f t="shared" si="137"/>
        <v>130</v>
      </c>
      <c r="Q636" s="7">
        <f>Q637</f>
        <v>-5.7</v>
      </c>
      <c r="R636" s="35">
        <f t="shared" si="138"/>
        <v>124.3</v>
      </c>
      <c r="S636" s="7">
        <f>S637</f>
        <v>0</v>
      </c>
      <c r="T636" s="35">
        <f t="shared" si="143"/>
        <v>124.3</v>
      </c>
    </row>
    <row r="637" spans="1:20">
      <c r="A637" s="61" t="str">
        <f t="shared" ca="1" si="149"/>
        <v>Взносы в международные организации</v>
      </c>
      <c r="B637" s="43" t="s">
        <v>572</v>
      </c>
      <c r="C637" s="8" t="s">
        <v>213</v>
      </c>
      <c r="D637" s="1" t="s">
        <v>190</v>
      </c>
      <c r="E637" s="104">
        <v>862</v>
      </c>
      <c r="F637" s="7">
        <f>прил.6!G104</f>
        <v>678</v>
      </c>
      <c r="G637" s="7">
        <f>прил.6!H104</f>
        <v>0</v>
      </c>
      <c r="H637" s="35">
        <f t="shared" si="147"/>
        <v>678</v>
      </c>
      <c r="I637" s="7">
        <f>прил.6!J104</f>
        <v>-548</v>
      </c>
      <c r="J637" s="35">
        <f t="shared" si="144"/>
        <v>130</v>
      </c>
      <c r="K637" s="7">
        <f>прил.6!L104</f>
        <v>0</v>
      </c>
      <c r="L637" s="35">
        <f t="shared" si="141"/>
        <v>130</v>
      </c>
      <c r="M637" s="7">
        <f>прил.6!N104</f>
        <v>0</v>
      </c>
      <c r="N637" s="35">
        <f t="shared" si="142"/>
        <v>130</v>
      </c>
      <c r="O637" s="7">
        <f>прил.6!P104</f>
        <v>0</v>
      </c>
      <c r="P637" s="35">
        <f t="shared" si="137"/>
        <v>130</v>
      </c>
      <c r="Q637" s="7">
        <f>прил.6!R104</f>
        <v>-5.7</v>
      </c>
      <c r="R637" s="35">
        <f t="shared" si="138"/>
        <v>124.3</v>
      </c>
      <c r="S637" s="7">
        <f>прил.6!T104</f>
        <v>0</v>
      </c>
      <c r="T637" s="35">
        <f t="shared" si="143"/>
        <v>124.3</v>
      </c>
    </row>
    <row r="638" spans="1:20" hidden="1">
      <c r="A638" s="61" t="str">
        <f ca="1">IF(ISERROR(MATCH(C638,Код_Раздел,0)),"",INDIRECT(ADDRESS(MATCH(C638,Код_Раздел,0)+1,2,,,"Раздел")))</f>
        <v>Образование</v>
      </c>
      <c r="B638" s="43" t="s">
        <v>572</v>
      </c>
      <c r="C638" s="8" t="s">
        <v>195</v>
      </c>
      <c r="D638" s="1"/>
      <c r="E638" s="104"/>
      <c r="F638" s="7">
        <f t="shared" ref="F638:S641" si="150">F639</f>
        <v>0</v>
      </c>
      <c r="G638" s="7">
        <f t="shared" si="150"/>
        <v>0</v>
      </c>
      <c r="H638" s="35">
        <f t="shared" si="147"/>
        <v>0</v>
      </c>
      <c r="I638" s="7">
        <f t="shared" si="150"/>
        <v>0</v>
      </c>
      <c r="J638" s="35">
        <f t="shared" si="144"/>
        <v>0</v>
      </c>
      <c r="K638" s="7">
        <f t="shared" si="150"/>
        <v>0</v>
      </c>
      <c r="L638" s="35">
        <f t="shared" si="141"/>
        <v>0</v>
      </c>
      <c r="M638" s="7">
        <f t="shared" si="150"/>
        <v>0</v>
      </c>
      <c r="N638" s="35">
        <f t="shared" si="142"/>
        <v>0</v>
      </c>
      <c r="O638" s="7">
        <f t="shared" si="150"/>
        <v>0</v>
      </c>
      <c r="P638" s="35">
        <f t="shared" si="137"/>
        <v>0</v>
      </c>
      <c r="Q638" s="7">
        <f t="shared" si="150"/>
        <v>0</v>
      </c>
      <c r="R638" s="35">
        <f t="shared" si="138"/>
        <v>0</v>
      </c>
      <c r="S638" s="7">
        <f t="shared" si="150"/>
        <v>0</v>
      </c>
      <c r="T638" s="35">
        <f t="shared" si="143"/>
        <v>0</v>
      </c>
    </row>
    <row r="639" spans="1:20" hidden="1">
      <c r="A639" s="12" t="s">
        <v>199</v>
      </c>
      <c r="B639" s="43" t="s">
        <v>572</v>
      </c>
      <c r="C639" s="8" t="s">
        <v>195</v>
      </c>
      <c r="D639" s="1" t="s">
        <v>195</v>
      </c>
      <c r="E639" s="104"/>
      <c r="F639" s="7">
        <f t="shared" si="150"/>
        <v>0</v>
      </c>
      <c r="G639" s="7">
        <f t="shared" si="150"/>
        <v>0</v>
      </c>
      <c r="H639" s="35">
        <f t="shared" si="147"/>
        <v>0</v>
      </c>
      <c r="I639" s="7">
        <f t="shared" si="150"/>
        <v>0</v>
      </c>
      <c r="J639" s="35">
        <f t="shared" si="144"/>
        <v>0</v>
      </c>
      <c r="K639" s="7">
        <f t="shared" si="150"/>
        <v>0</v>
      </c>
      <c r="L639" s="35">
        <f t="shared" si="141"/>
        <v>0</v>
      </c>
      <c r="M639" s="7">
        <f t="shared" si="150"/>
        <v>0</v>
      </c>
      <c r="N639" s="35">
        <f t="shared" si="142"/>
        <v>0</v>
      </c>
      <c r="O639" s="7">
        <f t="shared" si="150"/>
        <v>0</v>
      </c>
      <c r="P639" s="35">
        <f t="shared" si="137"/>
        <v>0</v>
      </c>
      <c r="Q639" s="7">
        <f t="shared" si="150"/>
        <v>0</v>
      </c>
      <c r="R639" s="35">
        <f t="shared" si="138"/>
        <v>0</v>
      </c>
      <c r="S639" s="7">
        <f t="shared" si="150"/>
        <v>0</v>
      </c>
      <c r="T639" s="35">
        <f t="shared" si="143"/>
        <v>0</v>
      </c>
    </row>
    <row r="640" spans="1:20" ht="33" hidden="1">
      <c r="A640" s="61" t="str">
        <f ca="1">IF(ISERROR(MATCH(E640,Код_КВР,0)),"",INDIRECT(ADDRESS(MATCH(E640,Код_КВР,0)+1,2,,,"КВР")))</f>
        <v>Предоставление субсидий бюджетным, автономным учреждениям и иным некоммерческим организациям</v>
      </c>
      <c r="B640" s="43" t="s">
        <v>572</v>
      </c>
      <c r="C640" s="8" t="s">
        <v>195</v>
      </c>
      <c r="D640" s="1" t="s">
        <v>195</v>
      </c>
      <c r="E640" s="104">
        <v>600</v>
      </c>
      <c r="F640" s="7">
        <f t="shared" si="150"/>
        <v>0</v>
      </c>
      <c r="G640" s="7">
        <f t="shared" si="150"/>
        <v>0</v>
      </c>
      <c r="H640" s="35">
        <f t="shared" si="147"/>
        <v>0</v>
      </c>
      <c r="I640" s="7">
        <f t="shared" si="150"/>
        <v>0</v>
      </c>
      <c r="J640" s="35">
        <f t="shared" si="144"/>
        <v>0</v>
      </c>
      <c r="K640" s="7">
        <f t="shared" si="150"/>
        <v>0</v>
      </c>
      <c r="L640" s="35">
        <f t="shared" si="141"/>
        <v>0</v>
      </c>
      <c r="M640" s="7">
        <f t="shared" si="150"/>
        <v>0</v>
      </c>
      <c r="N640" s="35">
        <f t="shared" si="142"/>
        <v>0</v>
      </c>
      <c r="O640" s="7">
        <f t="shared" si="150"/>
        <v>0</v>
      </c>
      <c r="P640" s="35">
        <f t="shared" si="137"/>
        <v>0</v>
      </c>
      <c r="Q640" s="7">
        <f t="shared" si="150"/>
        <v>0</v>
      </c>
      <c r="R640" s="35">
        <f t="shared" si="138"/>
        <v>0</v>
      </c>
      <c r="S640" s="7">
        <f t="shared" si="150"/>
        <v>0</v>
      </c>
      <c r="T640" s="35">
        <f t="shared" si="143"/>
        <v>0</v>
      </c>
    </row>
    <row r="641" spans="1:20" hidden="1">
      <c r="A641" s="61" t="str">
        <f ca="1">IF(ISERROR(MATCH(E641,Код_КВР,0)),"",INDIRECT(ADDRESS(MATCH(E641,Код_КВР,0)+1,2,,,"КВР")))</f>
        <v>Субсидии бюджетным учреждениям</v>
      </c>
      <c r="B641" s="43" t="s">
        <v>572</v>
      </c>
      <c r="C641" s="8" t="s">
        <v>195</v>
      </c>
      <c r="D641" s="1" t="s">
        <v>195</v>
      </c>
      <c r="E641" s="104">
        <v>610</v>
      </c>
      <c r="F641" s="7">
        <f t="shared" si="150"/>
        <v>0</v>
      </c>
      <c r="G641" s="7">
        <f t="shared" si="150"/>
        <v>0</v>
      </c>
      <c r="H641" s="35">
        <f t="shared" si="147"/>
        <v>0</v>
      </c>
      <c r="I641" s="7">
        <f t="shared" si="150"/>
        <v>0</v>
      </c>
      <c r="J641" s="35">
        <f t="shared" si="144"/>
        <v>0</v>
      </c>
      <c r="K641" s="7">
        <f t="shared" si="150"/>
        <v>0</v>
      </c>
      <c r="L641" s="35">
        <f t="shared" si="141"/>
        <v>0</v>
      </c>
      <c r="M641" s="7">
        <f t="shared" si="150"/>
        <v>0</v>
      </c>
      <c r="N641" s="35">
        <f t="shared" si="142"/>
        <v>0</v>
      </c>
      <c r="O641" s="7">
        <f t="shared" si="150"/>
        <v>0</v>
      </c>
      <c r="P641" s="35">
        <f t="shared" si="137"/>
        <v>0</v>
      </c>
      <c r="Q641" s="7">
        <f t="shared" si="150"/>
        <v>0</v>
      </c>
      <c r="R641" s="35">
        <f t="shared" si="138"/>
        <v>0</v>
      </c>
      <c r="S641" s="7">
        <f t="shared" si="150"/>
        <v>0</v>
      </c>
      <c r="T641" s="35">
        <f t="shared" si="143"/>
        <v>0</v>
      </c>
    </row>
    <row r="642" spans="1:20" hidden="1">
      <c r="A642" s="61" t="str">
        <f ca="1">IF(ISERROR(MATCH(E642,Код_КВР,0)),"",INDIRECT(ADDRESS(MATCH(E642,Код_КВР,0)+1,2,,,"КВР")))</f>
        <v>Субсидии бюджетным учреждениям на иные цели</v>
      </c>
      <c r="B642" s="43" t="s">
        <v>572</v>
      </c>
      <c r="C642" s="8" t="s">
        <v>195</v>
      </c>
      <c r="D642" s="1" t="s">
        <v>195</v>
      </c>
      <c r="E642" s="104">
        <v>612</v>
      </c>
      <c r="F642" s="7">
        <f>прил.6!G318</f>
        <v>0</v>
      </c>
      <c r="G642" s="7">
        <f>прил.6!H318</f>
        <v>0</v>
      </c>
      <c r="H642" s="35">
        <f t="shared" si="147"/>
        <v>0</v>
      </c>
      <c r="I642" s="7">
        <f>прил.6!J318</f>
        <v>0</v>
      </c>
      <c r="J642" s="35">
        <f t="shared" si="144"/>
        <v>0</v>
      </c>
      <c r="K642" s="7">
        <f>прил.6!L318</f>
        <v>0</v>
      </c>
      <c r="L642" s="35">
        <f t="shared" si="141"/>
        <v>0</v>
      </c>
      <c r="M642" s="7">
        <f>прил.6!N318</f>
        <v>0</v>
      </c>
      <c r="N642" s="35">
        <f t="shared" si="142"/>
        <v>0</v>
      </c>
      <c r="O642" s="7">
        <f>прил.6!P318</f>
        <v>0</v>
      </c>
      <c r="P642" s="35">
        <f t="shared" si="137"/>
        <v>0</v>
      </c>
      <c r="Q642" s="7">
        <f>прил.6!R318</f>
        <v>0</v>
      </c>
      <c r="R642" s="35">
        <f t="shared" si="138"/>
        <v>0</v>
      </c>
      <c r="S642" s="7">
        <f>прил.6!T318</f>
        <v>0</v>
      </c>
      <c r="T642" s="35">
        <f t="shared" si="143"/>
        <v>0</v>
      </c>
    </row>
    <row r="643" spans="1:20">
      <c r="A643" s="61" t="str">
        <f ca="1">IF(ISERROR(MATCH(B643,Код_КЦСР,0)),"",INDIRECT(ADDRESS(MATCH(B643,Код_КЦСР,0)+1,2,,,"КЦСР")))</f>
        <v>Сохранение и укрепление здоровья детей и подростков</v>
      </c>
      <c r="B643" s="43" t="s">
        <v>573</v>
      </c>
      <c r="C643" s="8"/>
      <c r="D643" s="1"/>
      <c r="E643" s="104"/>
      <c r="F643" s="7">
        <f>F644+F649+F659+F664</f>
        <v>557.9</v>
      </c>
      <c r="G643" s="7">
        <f>G644+G649+G659+G664</f>
        <v>0</v>
      </c>
      <c r="H643" s="35">
        <f t="shared" si="147"/>
        <v>557.9</v>
      </c>
      <c r="I643" s="7">
        <f>I644+I649+I659+I664</f>
        <v>0</v>
      </c>
      <c r="J643" s="35">
        <f t="shared" si="144"/>
        <v>557.9</v>
      </c>
      <c r="K643" s="7">
        <f>K644+K649+K659+K664</f>
        <v>0</v>
      </c>
      <c r="L643" s="35">
        <f t="shared" si="141"/>
        <v>557.9</v>
      </c>
      <c r="M643" s="7">
        <f>M644+M649+M659+M664</f>
        <v>0</v>
      </c>
      <c r="N643" s="35">
        <f t="shared" si="142"/>
        <v>557.9</v>
      </c>
      <c r="O643" s="7">
        <f>O644+O649+O659+O664</f>
        <v>0</v>
      </c>
      <c r="P643" s="35">
        <f t="shared" si="137"/>
        <v>557.9</v>
      </c>
      <c r="Q643" s="7">
        <f>Q644+Q649+Q659+Q664</f>
        <v>0</v>
      </c>
      <c r="R643" s="35">
        <f t="shared" si="138"/>
        <v>557.9</v>
      </c>
      <c r="S643" s="7">
        <f>S644+S649+S659+S664</f>
        <v>0</v>
      </c>
      <c r="T643" s="35">
        <f t="shared" si="143"/>
        <v>557.9</v>
      </c>
    </row>
    <row r="644" spans="1:20">
      <c r="A644" s="61" t="str">
        <f ca="1">IF(ISERROR(MATCH(C644,Код_Раздел,0)),"",INDIRECT(ADDRESS(MATCH(C644,Код_Раздел,0)+1,2,,,"Раздел")))</f>
        <v>Национальная безопасность и правоохранительная  деятельность</v>
      </c>
      <c r="B644" s="43" t="s">
        <v>573</v>
      </c>
      <c r="C644" s="8" t="s">
        <v>215</v>
      </c>
      <c r="D644" s="1"/>
      <c r="E644" s="104"/>
      <c r="F644" s="7">
        <f t="shared" ref="F644:S647" si="151">F645</f>
        <v>77.900000000000006</v>
      </c>
      <c r="G644" s="7">
        <f t="shared" si="151"/>
        <v>0</v>
      </c>
      <c r="H644" s="35">
        <f t="shared" si="147"/>
        <v>77.900000000000006</v>
      </c>
      <c r="I644" s="7">
        <f t="shared" si="151"/>
        <v>0</v>
      </c>
      <c r="J644" s="35">
        <f t="shared" si="144"/>
        <v>77.900000000000006</v>
      </c>
      <c r="K644" s="7">
        <f t="shared" si="151"/>
        <v>0</v>
      </c>
      <c r="L644" s="35">
        <f t="shared" si="141"/>
        <v>77.900000000000006</v>
      </c>
      <c r="M644" s="7">
        <f t="shared" si="151"/>
        <v>0</v>
      </c>
      <c r="N644" s="35">
        <f t="shared" si="142"/>
        <v>77.900000000000006</v>
      </c>
      <c r="O644" s="7">
        <f t="shared" si="151"/>
        <v>0</v>
      </c>
      <c r="P644" s="35">
        <f t="shared" si="137"/>
        <v>77.900000000000006</v>
      </c>
      <c r="Q644" s="7">
        <f t="shared" si="151"/>
        <v>0</v>
      </c>
      <c r="R644" s="35">
        <f t="shared" si="138"/>
        <v>77.900000000000006</v>
      </c>
      <c r="S644" s="7">
        <f t="shared" si="151"/>
        <v>0</v>
      </c>
      <c r="T644" s="35">
        <f t="shared" si="143"/>
        <v>77.900000000000006</v>
      </c>
    </row>
    <row r="645" spans="1:20" ht="36.75" customHeight="1">
      <c r="A645" s="12" t="s">
        <v>262</v>
      </c>
      <c r="B645" s="43" t="s">
        <v>573</v>
      </c>
      <c r="C645" s="8" t="s">
        <v>215</v>
      </c>
      <c r="D645" s="1" t="s">
        <v>219</v>
      </c>
      <c r="E645" s="104"/>
      <c r="F645" s="7">
        <f t="shared" si="151"/>
        <v>77.900000000000006</v>
      </c>
      <c r="G645" s="7">
        <f t="shared" si="151"/>
        <v>0</v>
      </c>
      <c r="H645" s="35">
        <f t="shared" si="147"/>
        <v>77.900000000000006</v>
      </c>
      <c r="I645" s="7">
        <f t="shared" si="151"/>
        <v>0</v>
      </c>
      <c r="J645" s="35">
        <f t="shared" si="144"/>
        <v>77.900000000000006</v>
      </c>
      <c r="K645" s="7">
        <f t="shared" si="151"/>
        <v>0</v>
      </c>
      <c r="L645" s="35">
        <f t="shared" si="141"/>
        <v>77.900000000000006</v>
      </c>
      <c r="M645" s="7">
        <f t="shared" si="151"/>
        <v>0</v>
      </c>
      <c r="N645" s="35">
        <f t="shared" si="142"/>
        <v>77.900000000000006</v>
      </c>
      <c r="O645" s="7">
        <f t="shared" si="151"/>
        <v>0</v>
      </c>
      <c r="P645" s="35">
        <f t="shared" si="137"/>
        <v>77.900000000000006</v>
      </c>
      <c r="Q645" s="7">
        <f t="shared" si="151"/>
        <v>0</v>
      </c>
      <c r="R645" s="35">
        <f t="shared" si="138"/>
        <v>77.900000000000006</v>
      </c>
      <c r="S645" s="7">
        <f t="shared" si="151"/>
        <v>0</v>
      </c>
      <c r="T645" s="35">
        <f t="shared" si="143"/>
        <v>77.900000000000006</v>
      </c>
    </row>
    <row r="646" spans="1:20" ht="19.5" customHeight="1">
      <c r="A646" s="61" t="str">
        <f ca="1">IF(ISERROR(MATCH(E646,Код_КВР,0)),"",INDIRECT(ADDRESS(MATCH(E646,Код_КВР,0)+1,2,,,"КВР")))</f>
        <v>Закупка товаров, работ и услуг для муниципальных нужд</v>
      </c>
      <c r="B646" s="43" t="s">
        <v>573</v>
      </c>
      <c r="C646" s="8" t="s">
        <v>215</v>
      </c>
      <c r="D646" s="1" t="s">
        <v>219</v>
      </c>
      <c r="E646" s="104">
        <v>200</v>
      </c>
      <c r="F646" s="7">
        <f t="shared" si="151"/>
        <v>77.900000000000006</v>
      </c>
      <c r="G646" s="7">
        <f t="shared" si="151"/>
        <v>0</v>
      </c>
      <c r="H646" s="35">
        <f t="shared" si="147"/>
        <v>77.900000000000006</v>
      </c>
      <c r="I646" s="7">
        <f t="shared" si="151"/>
        <v>0</v>
      </c>
      <c r="J646" s="35">
        <f t="shared" si="144"/>
        <v>77.900000000000006</v>
      </c>
      <c r="K646" s="7">
        <f t="shared" si="151"/>
        <v>0</v>
      </c>
      <c r="L646" s="35">
        <f t="shared" si="141"/>
        <v>77.900000000000006</v>
      </c>
      <c r="M646" s="7">
        <f t="shared" si="151"/>
        <v>0</v>
      </c>
      <c r="N646" s="35">
        <f t="shared" si="142"/>
        <v>77.900000000000006</v>
      </c>
      <c r="O646" s="7">
        <f t="shared" si="151"/>
        <v>0</v>
      </c>
      <c r="P646" s="35">
        <f t="shared" si="137"/>
        <v>77.900000000000006</v>
      </c>
      <c r="Q646" s="7">
        <f t="shared" si="151"/>
        <v>0</v>
      </c>
      <c r="R646" s="35">
        <f t="shared" si="138"/>
        <v>77.900000000000006</v>
      </c>
      <c r="S646" s="7">
        <f t="shared" si="151"/>
        <v>0</v>
      </c>
      <c r="T646" s="35">
        <f t="shared" si="143"/>
        <v>77.900000000000006</v>
      </c>
    </row>
    <row r="647" spans="1:20" ht="36.75" customHeight="1">
      <c r="A647" s="61" t="str">
        <f ca="1">IF(ISERROR(MATCH(E647,Код_КВР,0)),"",INDIRECT(ADDRESS(MATCH(E647,Код_КВР,0)+1,2,,,"КВР")))</f>
        <v>Иные закупки товаров, работ и услуг для обеспечения муниципальных нужд</v>
      </c>
      <c r="B647" s="43" t="s">
        <v>573</v>
      </c>
      <c r="C647" s="8" t="s">
        <v>215</v>
      </c>
      <c r="D647" s="1" t="s">
        <v>219</v>
      </c>
      <c r="E647" s="104">
        <v>240</v>
      </c>
      <c r="F647" s="7">
        <f t="shared" si="151"/>
        <v>77.900000000000006</v>
      </c>
      <c r="G647" s="7">
        <f t="shared" si="151"/>
        <v>0</v>
      </c>
      <c r="H647" s="35">
        <f t="shared" si="147"/>
        <v>77.900000000000006</v>
      </c>
      <c r="I647" s="7">
        <f t="shared" si="151"/>
        <v>0</v>
      </c>
      <c r="J647" s="35">
        <f t="shared" si="144"/>
        <v>77.900000000000006</v>
      </c>
      <c r="K647" s="7">
        <f t="shared" si="151"/>
        <v>0</v>
      </c>
      <c r="L647" s="35">
        <f t="shared" si="141"/>
        <v>77.900000000000006</v>
      </c>
      <c r="M647" s="7">
        <f t="shared" si="151"/>
        <v>0</v>
      </c>
      <c r="N647" s="35">
        <f t="shared" si="142"/>
        <v>77.900000000000006</v>
      </c>
      <c r="O647" s="7">
        <f t="shared" si="151"/>
        <v>0</v>
      </c>
      <c r="P647" s="35">
        <f t="shared" si="137"/>
        <v>77.900000000000006</v>
      </c>
      <c r="Q647" s="7">
        <f t="shared" si="151"/>
        <v>0</v>
      </c>
      <c r="R647" s="35">
        <f t="shared" si="138"/>
        <v>77.900000000000006</v>
      </c>
      <c r="S647" s="7">
        <f t="shared" si="151"/>
        <v>0</v>
      </c>
      <c r="T647" s="35">
        <f t="shared" si="143"/>
        <v>77.900000000000006</v>
      </c>
    </row>
    <row r="648" spans="1:20" ht="35.25" customHeight="1">
      <c r="A648" s="61" t="str">
        <f ca="1">IF(ISERROR(MATCH(E648,Код_КВР,0)),"",INDIRECT(ADDRESS(MATCH(E648,Код_КВР,0)+1,2,,,"КВР")))</f>
        <v xml:space="preserve">Прочая закупка товаров, работ и услуг для обеспечения муниципальных нужд         </v>
      </c>
      <c r="B648" s="43" t="s">
        <v>573</v>
      </c>
      <c r="C648" s="8" t="s">
        <v>215</v>
      </c>
      <c r="D648" s="1" t="s">
        <v>219</v>
      </c>
      <c r="E648" s="104">
        <v>244</v>
      </c>
      <c r="F648" s="7">
        <f>прил.6!G181</f>
        <v>77.900000000000006</v>
      </c>
      <c r="G648" s="7">
        <f>прил.6!H181</f>
        <v>0</v>
      </c>
      <c r="H648" s="35">
        <f t="shared" si="147"/>
        <v>77.900000000000006</v>
      </c>
      <c r="I648" s="7">
        <f>прил.6!J181</f>
        <v>0</v>
      </c>
      <c r="J648" s="35">
        <f t="shared" si="144"/>
        <v>77.900000000000006</v>
      </c>
      <c r="K648" s="7">
        <f>прил.6!L181</f>
        <v>0</v>
      </c>
      <c r="L648" s="35">
        <f t="shared" si="141"/>
        <v>77.900000000000006</v>
      </c>
      <c r="M648" s="7">
        <f>прил.6!N181</f>
        <v>0</v>
      </c>
      <c r="N648" s="35">
        <f t="shared" si="142"/>
        <v>77.900000000000006</v>
      </c>
      <c r="O648" s="7">
        <f>прил.6!P181</f>
        <v>0</v>
      </c>
      <c r="P648" s="35">
        <f t="shared" si="137"/>
        <v>77.900000000000006</v>
      </c>
      <c r="Q648" s="7">
        <f>прил.6!R181</f>
        <v>0</v>
      </c>
      <c r="R648" s="35">
        <f t="shared" si="138"/>
        <v>77.900000000000006</v>
      </c>
      <c r="S648" s="7">
        <f>прил.6!T181</f>
        <v>0</v>
      </c>
      <c r="T648" s="35">
        <f t="shared" si="143"/>
        <v>77.900000000000006</v>
      </c>
    </row>
    <row r="649" spans="1:20">
      <c r="A649" s="61" t="str">
        <f ca="1">IF(ISERROR(MATCH(C649,Код_Раздел,0)),"",INDIRECT(ADDRESS(MATCH(C649,Код_Раздел,0)+1,2,,,"Раздел")))</f>
        <v>Образование</v>
      </c>
      <c r="B649" s="43" t="s">
        <v>573</v>
      </c>
      <c r="C649" s="8" t="s">
        <v>195</v>
      </c>
      <c r="D649" s="1"/>
      <c r="E649" s="104"/>
      <c r="F649" s="7">
        <f>F650</f>
        <v>480</v>
      </c>
      <c r="G649" s="7">
        <f>G650</f>
        <v>0</v>
      </c>
      <c r="H649" s="35">
        <f t="shared" si="147"/>
        <v>480</v>
      </c>
      <c r="I649" s="7">
        <f>I650</f>
        <v>0</v>
      </c>
      <c r="J649" s="35">
        <f t="shared" si="144"/>
        <v>480</v>
      </c>
      <c r="K649" s="7">
        <f>K650</f>
        <v>0</v>
      </c>
      <c r="L649" s="35">
        <f t="shared" si="141"/>
        <v>480</v>
      </c>
      <c r="M649" s="7">
        <f>M650</f>
        <v>0</v>
      </c>
      <c r="N649" s="35">
        <f t="shared" si="142"/>
        <v>480</v>
      </c>
      <c r="O649" s="7">
        <f>O650</f>
        <v>0</v>
      </c>
      <c r="P649" s="35">
        <f t="shared" si="137"/>
        <v>480</v>
      </c>
      <c r="Q649" s="7">
        <f>Q650</f>
        <v>0</v>
      </c>
      <c r="R649" s="35">
        <f t="shared" si="138"/>
        <v>480</v>
      </c>
      <c r="S649" s="7">
        <f>S650</f>
        <v>0</v>
      </c>
      <c r="T649" s="35">
        <f t="shared" si="143"/>
        <v>480</v>
      </c>
    </row>
    <row r="650" spans="1:20">
      <c r="A650" s="12" t="s">
        <v>251</v>
      </c>
      <c r="B650" s="43" t="s">
        <v>573</v>
      </c>
      <c r="C650" s="8" t="s">
        <v>195</v>
      </c>
      <c r="D650" s="8" t="s">
        <v>219</v>
      </c>
      <c r="E650" s="104"/>
      <c r="F650" s="7">
        <f>F651+F654</f>
        <v>480</v>
      </c>
      <c r="G650" s="7">
        <f>G651+G654</f>
        <v>0</v>
      </c>
      <c r="H650" s="35">
        <f t="shared" si="147"/>
        <v>480</v>
      </c>
      <c r="I650" s="7">
        <f>I651+I654</f>
        <v>0</v>
      </c>
      <c r="J650" s="35">
        <f t="shared" si="144"/>
        <v>480</v>
      </c>
      <c r="K650" s="7">
        <f>K651+K654</f>
        <v>0</v>
      </c>
      <c r="L650" s="35">
        <f t="shared" si="141"/>
        <v>480</v>
      </c>
      <c r="M650" s="7">
        <f>M651+M654</f>
        <v>0</v>
      </c>
      <c r="N650" s="35">
        <f t="shared" si="142"/>
        <v>480</v>
      </c>
      <c r="O650" s="7">
        <f>O651+O654</f>
        <v>0</v>
      </c>
      <c r="P650" s="35">
        <f t="shared" si="137"/>
        <v>480</v>
      </c>
      <c r="Q650" s="7">
        <f>Q651+Q654</f>
        <v>0</v>
      </c>
      <c r="R650" s="35">
        <f t="shared" si="138"/>
        <v>480</v>
      </c>
      <c r="S650" s="7">
        <f>S651+S654</f>
        <v>0</v>
      </c>
      <c r="T650" s="35">
        <f t="shared" si="143"/>
        <v>480</v>
      </c>
    </row>
    <row r="651" spans="1:20" hidden="1">
      <c r="A651" s="61" t="str">
        <f t="shared" ref="A651:A658" ca="1" si="152">IF(ISERROR(MATCH(E651,Код_КВР,0)),"",INDIRECT(ADDRESS(MATCH(E651,Код_КВР,0)+1,2,,,"КВР")))</f>
        <v>Закупка товаров, работ и услуг для муниципальных нужд</v>
      </c>
      <c r="B651" s="43" t="s">
        <v>573</v>
      </c>
      <c r="C651" s="8" t="s">
        <v>195</v>
      </c>
      <c r="D651" s="8" t="s">
        <v>219</v>
      </c>
      <c r="E651" s="104">
        <v>200</v>
      </c>
      <c r="F651" s="7">
        <f>F652</f>
        <v>0</v>
      </c>
      <c r="G651" s="7">
        <f>G652</f>
        <v>0</v>
      </c>
      <c r="H651" s="35">
        <f t="shared" si="147"/>
        <v>0</v>
      </c>
      <c r="I651" s="7">
        <f>I652</f>
        <v>0</v>
      </c>
      <c r="J651" s="35">
        <f t="shared" si="144"/>
        <v>0</v>
      </c>
      <c r="K651" s="7">
        <f>K652</f>
        <v>0</v>
      </c>
      <c r="L651" s="35">
        <f t="shared" si="141"/>
        <v>0</v>
      </c>
      <c r="M651" s="7">
        <f>M652</f>
        <v>0</v>
      </c>
      <c r="N651" s="35">
        <f t="shared" si="142"/>
        <v>0</v>
      </c>
      <c r="O651" s="7">
        <f>O652</f>
        <v>0</v>
      </c>
      <c r="P651" s="35">
        <f t="shared" si="137"/>
        <v>0</v>
      </c>
      <c r="Q651" s="7">
        <f>Q652</f>
        <v>0</v>
      </c>
      <c r="R651" s="35">
        <f t="shared" si="138"/>
        <v>0</v>
      </c>
      <c r="S651" s="7">
        <f>S652</f>
        <v>0</v>
      </c>
      <c r="T651" s="35">
        <f t="shared" si="143"/>
        <v>0</v>
      </c>
    </row>
    <row r="652" spans="1:20" ht="33" hidden="1">
      <c r="A652" s="61" t="str">
        <f t="shared" ca="1" si="152"/>
        <v>Иные закупки товаров, работ и услуг для обеспечения муниципальных нужд</v>
      </c>
      <c r="B652" s="43" t="s">
        <v>573</v>
      </c>
      <c r="C652" s="8" t="s">
        <v>195</v>
      </c>
      <c r="D652" s="8" t="s">
        <v>219</v>
      </c>
      <c r="E652" s="104">
        <v>240</v>
      </c>
      <c r="F652" s="7">
        <f>F653</f>
        <v>0</v>
      </c>
      <c r="G652" s="7">
        <f>G653</f>
        <v>0</v>
      </c>
      <c r="H652" s="35">
        <f t="shared" si="147"/>
        <v>0</v>
      </c>
      <c r="I652" s="7">
        <f>I653</f>
        <v>0</v>
      </c>
      <c r="J652" s="35">
        <f t="shared" si="144"/>
        <v>0</v>
      </c>
      <c r="K652" s="7">
        <f>K653</f>
        <v>0</v>
      </c>
      <c r="L652" s="35">
        <f t="shared" si="141"/>
        <v>0</v>
      </c>
      <c r="M652" s="7">
        <f>M653</f>
        <v>0</v>
      </c>
      <c r="N652" s="35">
        <f t="shared" si="142"/>
        <v>0</v>
      </c>
      <c r="O652" s="7">
        <f>O653</f>
        <v>0</v>
      </c>
      <c r="P652" s="35">
        <f t="shared" si="137"/>
        <v>0</v>
      </c>
      <c r="Q652" s="7">
        <f>Q653</f>
        <v>0</v>
      </c>
      <c r="R652" s="35">
        <f t="shared" si="138"/>
        <v>0</v>
      </c>
      <c r="S652" s="7">
        <f>S653</f>
        <v>0</v>
      </c>
      <c r="T652" s="35">
        <f t="shared" si="143"/>
        <v>0</v>
      </c>
    </row>
    <row r="653" spans="1:20" ht="33" hidden="1">
      <c r="A653" s="61" t="str">
        <f t="shared" ca="1" si="152"/>
        <v xml:space="preserve">Прочая закупка товаров, работ и услуг для обеспечения муниципальных нужд         </v>
      </c>
      <c r="B653" s="43" t="s">
        <v>573</v>
      </c>
      <c r="C653" s="8" t="s">
        <v>195</v>
      </c>
      <c r="D653" s="8" t="s">
        <v>219</v>
      </c>
      <c r="E653" s="104">
        <v>244</v>
      </c>
      <c r="F653" s="7">
        <f>прил.6!G770</f>
        <v>0</v>
      </c>
      <c r="G653" s="7">
        <f>прил.6!H770</f>
        <v>0</v>
      </c>
      <c r="H653" s="35">
        <f t="shared" si="147"/>
        <v>0</v>
      </c>
      <c r="I653" s="7">
        <f>прил.6!J770</f>
        <v>0</v>
      </c>
      <c r="J653" s="35">
        <f t="shared" si="144"/>
        <v>0</v>
      </c>
      <c r="K653" s="7">
        <f>прил.6!L770</f>
        <v>0</v>
      </c>
      <c r="L653" s="35">
        <f t="shared" si="141"/>
        <v>0</v>
      </c>
      <c r="M653" s="7">
        <f>прил.6!N770</f>
        <v>0</v>
      </c>
      <c r="N653" s="35">
        <f t="shared" si="142"/>
        <v>0</v>
      </c>
      <c r="O653" s="7">
        <f>прил.6!P770</f>
        <v>0</v>
      </c>
      <c r="P653" s="35">
        <f t="shared" si="137"/>
        <v>0</v>
      </c>
      <c r="Q653" s="7">
        <f>прил.6!R770</f>
        <v>0</v>
      </c>
      <c r="R653" s="35">
        <f t="shared" si="138"/>
        <v>0</v>
      </c>
      <c r="S653" s="7">
        <f>прил.6!T770</f>
        <v>0</v>
      </c>
      <c r="T653" s="35">
        <f t="shared" si="143"/>
        <v>0</v>
      </c>
    </row>
    <row r="654" spans="1:20" ht="33.75" customHeight="1">
      <c r="A654" s="61" t="str">
        <f t="shared" ca="1" si="152"/>
        <v>Предоставление субсидий бюджетным, автономным учреждениям и иным некоммерческим организациям</v>
      </c>
      <c r="B654" s="43" t="s">
        <v>573</v>
      </c>
      <c r="C654" s="8" t="s">
        <v>195</v>
      </c>
      <c r="D654" s="8" t="s">
        <v>219</v>
      </c>
      <c r="E654" s="104">
        <v>600</v>
      </c>
      <c r="F654" s="7">
        <f>F655+F657</f>
        <v>480</v>
      </c>
      <c r="G654" s="7">
        <f>G655+G657</f>
        <v>0</v>
      </c>
      <c r="H654" s="35">
        <f t="shared" si="147"/>
        <v>480</v>
      </c>
      <c r="I654" s="7">
        <f>I655+I657</f>
        <v>0</v>
      </c>
      <c r="J654" s="35">
        <f t="shared" si="144"/>
        <v>480</v>
      </c>
      <c r="K654" s="7">
        <f>K655+K657</f>
        <v>0</v>
      </c>
      <c r="L654" s="35">
        <f t="shared" si="141"/>
        <v>480</v>
      </c>
      <c r="M654" s="7">
        <f>M655+M657</f>
        <v>0</v>
      </c>
      <c r="N654" s="35">
        <f t="shared" si="142"/>
        <v>480</v>
      </c>
      <c r="O654" s="7">
        <f>O655+O657</f>
        <v>0</v>
      </c>
      <c r="P654" s="35">
        <f t="shared" si="137"/>
        <v>480</v>
      </c>
      <c r="Q654" s="7">
        <f>Q655+Q657</f>
        <v>0</v>
      </c>
      <c r="R654" s="35">
        <f t="shared" si="138"/>
        <v>480</v>
      </c>
      <c r="S654" s="7">
        <f>S655+S657</f>
        <v>0</v>
      </c>
      <c r="T654" s="35">
        <f t="shared" si="143"/>
        <v>480</v>
      </c>
    </row>
    <row r="655" spans="1:20">
      <c r="A655" s="61" t="str">
        <f t="shared" ca="1" si="152"/>
        <v>Субсидии бюджетным учреждениям</v>
      </c>
      <c r="B655" s="43" t="s">
        <v>573</v>
      </c>
      <c r="C655" s="8" t="s">
        <v>195</v>
      </c>
      <c r="D655" s="8" t="s">
        <v>219</v>
      </c>
      <c r="E655" s="104">
        <v>610</v>
      </c>
      <c r="F655" s="7">
        <f>F656</f>
        <v>463.4</v>
      </c>
      <c r="G655" s="7">
        <f>G656</f>
        <v>0</v>
      </c>
      <c r="H655" s="35">
        <f t="shared" si="147"/>
        <v>463.4</v>
      </c>
      <c r="I655" s="7">
        <f>I656</f>
        <v>0</v>
      </c>
      <c r="J655" s="35">
        <f t="shared" si="144"/>
        <v>463.4</v>
      </c>
      <c r="K655" s="7">
        <f>K656</f>
        <v>0</v>
      </c>
      <c r="L655" s="35">
        <f t="shared" si="141"/>
        <v>463.4</v>
      </c>
      <c r="M655" s="7">
        <f>M656</f>
        <v>0</v>
      </c>
      <c r="N655" s="35">
        <f t="shared" si="142"/>
        <v>463.4</v>
      </c>
      <c r="O655" s="7">
        <f>O656</f>
        <v>0</v>
      </c>
      <c r="P655" s="35">
        <f t="shared" si="137"/>
        <v>463.4</v>
      </c>
      <c r="Q655" s="7">
        <f>Q656</f>
        <v>0</v>
      </c>
      <c r="R655" s="35">
        <f t="shared" si="138"/>
        <v>463.4</v>
      </c>
      <c r="S655" s="7">
        <f>S656</f>
        <v>0</v>
      </c>
      <c r="T655" s="35">
        <f t="shared" si="143"/>
        <v>463.4</v>
      </c>
    </row>
    <row r="656" spans="1:20">
      <c r="A656" s="61" t="str">
        <f t="shared" ca="1" si="152"/>
        <v>Субсидии бюджетным учреждениям на иные цели</v>
      </c>
      <c r="B656" s="43" t="s">
        <v>573</v>
      </c>
      <c r="C656" s="8" t="s">
        <v>195</v>
      </c>
      <c r="D656" s="8" t="s">
        <v>219</v>
      </c>
      <c r="E656" s="104">
        <v>612</v>
      </c>
      <c r="F656" s="7">
        <f>прил.6!G773</f>
        <v>463.4</v>
      </c>
      <c r="G656" s="7">
        <f>прил.6!H773</f>
        <v>0</v>
      </c>
      <c r="H656" s="35">
        <f t="shared" si="147"/>
        <v>463.4</v>
      </c>
      <c r="I656" s="7">
        <f>прил.6!J773</f>
        <v>0</v>
      </c>
      <c r="J656" s="35">
        <f t="shared" si="144"/>
        <v>463.4</v>
      </c>
      <c r="K656" s="7">
        <f>прил.6!L773</f>
        <v>0</v>
      </c>
      <c r="L656" s="35">
        <f t="shared" si="141"/>
        <v>463.4</v>
      </c>
      <c r="M656" s="7">
        <f>прил.6!N773</f>
        <v>0</v>
      </c>
      <c r="N656" s="35">
        <f t="shared" si="142"/>
        <v>463.4</v>
      </c>
      <c r="O656" s="7">
        <f>прил.6!P773</f>
        <v>0</v>
      </c>
      <c r="P656" s="35">
        <f t="shared" si="137"/>
        <v>463.4</v>
      </c>
      <c r="Q656" s="7">
        <f>прил.6!R773</f>
        <v>0</v>
      </c>
      <c r="R656" s="35">
        <f t="shared" si="138"/>
        <v>463.4</v>
      </c>
      <c r="S656" s="7">
        <f>прил.6!T773</f>
        <v>0</v>
      </c>
      <c r="T656" s="35">
        <f t="shared" si="143"/>
        <v>463.4</v>
      </c>
    </row>
    <row r="657" spans="1:20">
      <c r="A657" s="61" t="str">
        <f t="shared" ca="1" si="152"/>
        <v>Субсидии автономным учреждениям</v>
      </c>
      <c r="B657" s="43" t="s">
        <v>573</v>
      </c>
      <c r="C657" s="8" t="s">
        <v>195</v>
      </c>
      <c r="D657" s="8" t="s">
        <v>219</v>
      </c>
      <c r="E657" s="104">
        <v>620</v>
      </c>
      <c r="F657" s="7">
        <f>F658</f>
        <v>16.600000000000001</v>
      </c>
      <c r="G657" s="7">
        <f>G658</f>
        <v>0</v>
      </c>
      <c r="H657" s="35">
        <f t="shared" si="147"/>
        <v>16.600000000000001</v>
      </c>
      <c r="I657" s="7">
        <f>I658</f>
        <v>0</v>
      </c>
      <c r="J657" s="35">
        <f t="shared" si="144"/>
        <v>16.600000000000001</v>
      </c>
      <c r="K657" s="7">
        <f>K658</f>
        <v>0</v>
      </c>
      <c r="L657" s="35">
        <f t="shared" si="141"/>
        <v>16.600000000000001</v>
      </c>
      <c r="M657" s="7">
        <f>M658</f>
        <v>0</v>
      </c>
      <c r="N657" s="35">
        <f t="shared" si="142"/>
        <v>16.600000000000001</v>
      </c>
      <c r="O657" s="7">
        <f>O658</f>
        <v>0</v>
      </c>
      <c r="P657" s="35">
        <f t="shared" si="137"/>
        <v>16.600000000000001</v>
      </c>
      <c r="Q657" s="7">
        <f>Q658</f>
        <v>0</v>
      </c>
      <c r="R657" s="35">
        <f t="shared" si="138"/>
        <v>16.600000000000001</v>
      </c>
      <c r="S657" s="7">
        <f>S658</f>
        <v>0</v>
      </c>
      <c r="T657" s="35">
        <f t="shared" si="143"/>
        <v>16.600000000000001</v>
      </c>
    </row>
    <row r="658" spans="1:20">
      <c r="A658" s="61" t="str">
        <f t="shared" ca="1" si="152"/>
        <v>Субсидии автономным учреждениям на иные цели</v>
      </c>
      <c r="B658" s="43" t="s">
        <v>573</v>
      </c>
      <c r="C658" s="8" t="s">
        <v>195</v>
      </c>
      <c r="D658" s="8" t="s">
        <v>219</v>
      </c>
      <c r="E658" s="104">
        <v>622</v>
      </c>
      <c r="F658" s="7">
        <f>прил.6!G775</f>
        <v>16.600000000000001</v>
      </c>
      <c r="G658" s="7">
        <f>прил.6!H775</f>
        <v>0</v>
      </c>
      <c r="H658" s="35">
        <f t="shared" si="147"/>
        <v>16.600000000000001</v>
      </c>
      <c r="I658" s="7">
        <f>прил.6!J775</f>
        <v>0</v>
      </c>
      <c r="J658" s="35">
        <f t="shared" si="144"/>
        <v>16.600000000000001</v>
      </c>
      <c r="K658" s="7">
        <f>прил.6!L775</f>
        <v>0</v>
      </c>
      <c r="L658" s="35">
        <f t="shared" si="141"/>
        <v>16.600000000000001</v>
      </c>
      <c r="M658" s="7">
        <f>прил.6!N775</f>
        <v>0</v>
      </c>
      <c r="N658" s="35">
        <f t="shared" si="142"/>
        <v>16.600000000000001</v>
      </c>
      <c r="O658" s="7">
        <f>прил.6!P775</f>
        <v>0</v>
      </c>
      <c r="P658" s="35">
        <f t="shared" si="137"/>
        <v>16.600000000000001</v>
      </c>
      <c r="Q658" s="7">
        <f>прил.6!R775</f>
        <v>0</v>
      </c>
      <c r="R658" s="35">
        <f t="shared" si="138"/>
        <v>16.600000000000001</v>
      </c>
      <c r="S658" s="7">
        <f>прил.6!T775</f>
        <v>0</v>
      </c>
      <c r="T658" s="35">
        <f t="shared" si="143"/>
        <v>16.600000000000001</v>
      </c>
    </row>
    <row r="659" spans="1:20" hidden="1">
      <c r="A659" s="61" t="str">
        <f ca="1">IF(ISERROR(MATCH(C659,Код_Раздел,0)),"",INDIRECT(ADDRESS(MATCH(C659,Код_Раздел,0)+1,2,,,"Раздел")))</f>
        <v>Культура, кинематография</v>
      </c>
      <c r="B659" s="43" t="s">
        <v>573</v>
      </c>
      <c r="C659" s="8" t="s">
        <v>222</v>
      </c>
      <c r="D659" s="1"/>
      <c r="E659" s="104"/>
      <c r="F659" s="7">
        <f t="shared" ref="F659:S662" si="153">F660</f>
        <v>0</v>
      </c>
      <c r="G659" s="7">
        <f t="shared" si="153"/>
        <v>0</v>
      </c>
      <c r="H659" s="35">
        <f t="shared" si="147"/>
        <v>0</v>
      </c>
      <c r="I659" s="7">
        <f t="shared" si="153"/>
        <v>0</v>
      </c>
      <c r="J659" s="35">
        <f t="shared" si="144"/>
        <v>0</v>
      </c>
      <c r="K659" s="7">
        <f t="shared" si="153"/>
        <v>0</v>
      </c>
      <c r="L659" s="35">
        <f t="shared" si="141"/>
        <v>0</v>
      </c>
      <c r="M659" s="7">
        <f t="shared" si="153"/>
        <v>0</v>
      </c>
      <c r="N659" s="35">
        <f t="shared" si="142"/>
        <v>0</v>
      </c>
      <c r="O659" s="7">
        <f t="shared" si="153"/>
        <v>0</v>
      </c>
      <c r="P659" s="35">
        <f t="shared" ref="P659:P727" si="154">N659+O659</f>
        <v>0</v>
      </c>
      <c r="Q659" s="7">
        <f t="shared" si="153"/>
        <v>0</v>
      </c>
      <c r="R659" s="35">
        <f t="shared" ref="R659:R727" si="155">P659+Q659</f>
        <v>0</v>
      </c>
      <c r="S659" s="7">
        <f t="shared" si="153"/>
        <v>0</v>
      </c>
      <c r="T659" s="35">
        <f t="shared" si="143"/>
        <v>0</v>
      </c>
    </row>
    <row r="660" spans="1:20" hidden="1">
      <c r="A660" s="12" t="s">
        <v>163</v>
      </c>
      <c r="B660" s="43" t="s">
        <v>573</v>
      </c>
      <c r="C660" s="8" t="s">
        <v>222</v>
      </c>
      <c r="D660" s="1" t="s">
        <v>216</v>
      </c>
      <c r="E660" s="104"/>
      <c r="F660" s="7">
        <f t="shared" si="153"/>
        <v>0</v>
      </c>
      <c r="G660" s="7">
        <f t="shared" si="153"/>
        <v>0</v>
      </c>
      <c r="H660" s="35">
        <f t="shared" si="147"/>
        <v>0</v>
      </c>
      <c r="I660" s="7">
        <f t="shared" si="153"/>
        <v>0</v>
      </c>
      <c r="J660" s="35">
        <f t="shared" si="144"/>
        <v>0</v>
      </c>
      <c r="K660" s="7">
        <f t="shared" si="153"/>
        <v>0</v>
      </c>
      <c r="L660" s="35">
        <f t="shared" si="141"/>
        <v>0</v>
      </c>
      <c r="M660" s="7">
        <f t="shared" si="153"/>
        <v>0</v>
      </c>
      <c r="N660" s="35">
        <f t="shared" si="142"/>
        <v>0</v>
      </c>
      <c r="O660" s="7">
        <f t="shared" si="153"/>
        <v>0</v>
      </c>
      <c r="P660" s="35">
        <f t="shared" si="154"/>
        <v>0</v>
      </c>
      <c r="Q660" s="7">
        <f t="shared" si="153"/>
        <v>0</v>
      </c>
      <c r="R660" s="35">
        <f t="shared" si="155"/>
        <v>0</v>
      </c>
      <c r="S660" s="7">
        <f t="shared" si="153"/>
        <v>0</v>
      </c>
      <c r="T660" s="35">
        <f t="shared" si="143"/>
        <v>0</v>
      </c>
    </row>
    <row r="661" spans="1:20" ht="33" hidden="1">
      <c r="A661" s="61" t="str">
        <f ca="1">IF(ISERROR(MATCH(E661,Код_КВР,0)),"",INDIRECT(ADDRESS(MATCH(E661,Код_КВР,0)+1,2,,,"КВР")))</f>
        <v>Предоставление субсидий бюджетным, автономным учреждениям и иным некоммерческим организациям</v>
      </c>
      <c r="B661" s="43" t="s">
        <v>573</v>
      </c>
      <c r="C661" s="8" t="s">
        <v>222</v>
      </c>
      <c r="D661" s="1" t="s">
        <v>216</v>
      </c>
      <c r="E661" s="104">
        <v>600</v>
      </c>
      <c r="F661" s="7">
        <f t="shared" si="153"/>
        <v>0</v>
      </c>
      <c r="G661" s="7">
        <f t="shared" si="153"/>
        <v>0</v>
      </c>
      <c r="H661" s="35">
        <f t="shared" si="147"/>
        <v>0</v>
      </c>
      <c r="I661" s="7">
        <f t="shared" si="153"/>
        <v>0</v>
      </c>
      <c r="J661" s="35">
        <f t="shared" si="144"/>
        <v>0</v>
      </c>
      <c r="K661" s="7">
        <f t="shared" si="153"/>
        <v>0</v>
      </c>
      <c r="L661" s="35">
        <f t="shared" si="141"/>
        <v>0</v>
      </c>
      <c r="M661" s="7">
        <f t="shared" si="153"/>
        <v>0</v>
      </c>
      <c r="N661" s="35">
        <f t="shared" si="142"/>
        <v>0</v>
      </c>
      <c r="O661" s="7">
        <f t="shared" si="153"/>
        <v>0</v>
      </c>
      <c r="P661" s="35">
        <f t="shared" si="154"/>
        <v>0</v>
      </c>
      <c r="Q661" s="7">
        <f t="shared" si="153"/>
        <v>0</v>
      </c>
      <c r="R661" s="35">
        <f t="shared" si="155"/>
        <v>0</v>
      </c>
      <c r="S661" s="7">
        <f t="shared" si="153"/>
        <v>0</v>
      </c>
      <c r="T661" s="35">
        <f t="shared" si="143"/>
        <v>0</v>
      </c>
    </row>
    <row r="662" spans="1:20" hidden="1">
      <c r="A662" s="61" t="str">
        <f ca="1">IF(ISERROR(MATCH(E662,Код_КВР,0)),"",INDIRECT(ADDRESS(MATCH(E662,Код_КВР,0)+1,2,,,"КВР")))</f>
        <v>Субсидии бюджетным учреждениям</v>
      </c>
      <c r="B662" s="43" t="s">
        <v>573</v>
      </c>
      <c r="C662" s="8" t="s">
        <v>222</v>
      </c>
      <c r="D662" s="1" t="s">
        <v>216</v>
      </c>
      <c r="E662" s="104">
        <v>610</v>
      </c>
      <c r="F662" s="7">
        <f t="shared" si="153"/>
        <v>0</v>
      </c>
      <c r="G662" s="7">
        <f t="shared" si="153"/>
        <v>0</v>
      </c>
      <c r="H662" s="35">
        <f t="shared" si="147"/>
        <v>0</v>
      </c>
      <c r="I662" s="7">
        <f t="shared" si="153"/>
        <v>0</v>
      </c>
      <c r="J662" s="35">
        <f t="shared" si="144"/>
        <v>0</v>
      </c>
      <c r="K662" s="7">
        <f t="shared" si="153"/>
        <v>0</v>
      </c>
      <c r="L662" s="35">
        <f t="shared" si="141"/>
        <v>0</v>
      </c>
      <c r="M662" s="7">
        <f t="shared" si="153"/>
        <v>0</v>
      </c>
      <c r="N662" s="35">
        <f t="shared" si="142"/>
        <v>0</v>
      </c>
      <c r="O662" s="7">
        <f t="shared" si="153"/>
        <v>0</v>
      </c>
      <c r="P662" s="35">
        <f t="shared" si="154"/>
        <v>0</v>
      </c>
      <c r="Q662" s="7">
        <f t="shared" si="153"/>
        <v>0</v>
      </c>
      <c r="R662" s="35">
        <f t="shared" si="155"/>
        <v>0</v>
      </c>
      <c r="S662" s="7">
        <f t="shared" si="153"/>
        <v>0</v>
      </c>
      <c r="T662" s="35">
        <f t="shared" si="143"/>
        <v>0</v>
      </c>
    </row>
    <row r="663" spans="1:20" hidden="1">
      <c r="A663" s="61" t="str">
        <f ca="1">IF(ISERROR(MATCH(E663,Код_КВР,0)),"",INDIRECT(ADDRESS(MATCH(E663,Код_КВР,0)+1,2,,,"КВР")))</f>
        <v>Субсидии бюджетным учреждениям на иные цели</v>
      </c>
      <c r="B663" s="43" t="s">
        <v>573</v>
      </c>
      <c r="C663" s="8" t="s">
        <v>222</v>
      </c>
      <c r="D663" s="1" t="s">
        <v>216</v>
      </c>
      <c r="E663" s="104">
        <v>612</v>
      </c>
      <c r="F663" s="7">
        <f>прил.6!G1130</f>
        <v>0</v>
      </c>
      <c r="G663" s="7">
        <f>прил.6!H1130</f>
        <v>0</v>
      </c>
      <c r="H663" s="35">
        <f t="shared" si="147"/>
        <v>0</v>
      </c>
      <c r="I663" s="7">
        <f>прил.6!J1130</f>
        <v>0</v>
      </c>
      <c r="J663" s="35">
        <f t="shared" si="144"/>
        <v>0</v>
      </c>
      <c r="K663" s="7">
        <f>прил.6!L1130</f>
        <v>0</v>
      </c>
      <c r="L663" s="35">
        <f t="shared" si="141"/>
        <v>0</v>
      </c>
      <c r="M663" s="7">
        <f>прил.6!N1130</f>
        <v>0</v>
      </c>
      <c r="N663" s="35">
        <f t="shared" si="142"/>
        <v>0</v>
      </c>
      <c r="O663" s="7">
        <f>прил.6!P1130</f>
        <v>0</v>
      </c>
      <c r="P663" s="35">
        <f t="shared" si="154"/>
        <v>0</v>
      </c>
      <c r="Q663" s="7">
        <f>прил.6!R1130</f>
        <v>0</v>
      </c>
      <c r="R663" s="35">
        <f t="shared" si="155"/>
        <v>0</v>
      </c>
      <c r="S663" s="7">
        <f>прил.6!T1130</f>
        <v>0</v>
      </c>
      <c r="T663" s="35">
        <f t="shared" si="143"/>
        <v>0</v>
      </c>
    </row>
    <row r="664" spans="1:20" hidden="1">
      <c r="A664" s="61" t="str">
        <f ca="1">IF(ISERROR(MATCH(C664,Код_Раздел,0)),"",INDIRECT(ADDRESS(MATCH(C664,Код_Раздел,0)+1,2,,,"Раздел")))</f>
        <v>Физическая культура и спорт</v>
      </c>
      <c r="B664" s="43" t="s">
        <v>573</v>
      </c>
      <c r="C664" s="8" t="s">
        <v>224</v>
      </c>
      <c r="D664" s="8"/>
      <c r="E664" s="104"/>
      <c r="F664" s="7">
        <f t="shared" ref="F664:S667" si="156">F665</f>
        <v>0</v>
      </c>
      <c r="G664" s="7">
        <f t="shared" si="156"/>
        <v>0</v>
      </c>
      <c r="H664" s="35">
        <f t="shared" si="147"/>
        <v>0</v>
      </c>
      <c r="I664" s="7">
        <f t="shared" si="156"/>
        <v>0</v>
      </c>
      <c r="J664" s="35">
        <f t="shared" si="144"/>
        <v>0</v>
      </c>
      <c r="K664" s="7">
        <f t="shared" si="156"/>
        <v>0</v>
      </c>
      <c r="L664" s="35">
        <f t="shared" si="141"/>
        <v>0</v>
      </c>
      <c r="M664" s="7">
        <f t="shared" si="156"/>
        <v>0</v>
      </c>
      <c r="N664" s="35">
        <f t="shared" si="142"/>
        <v>0</v>
      </c>
      <c r="O664" s="7">
        <f t="shared" si="156"/>
        <v>0</v>
      </c>
      <c r="P664" s="35">
        <f t="shared" si="154"/>
        <v>0</v>
      </c>
      <c r="Q664" s="7">
        <f t="shared" si="156"/>
        <v>0</v>
      </c>
      <c r="R664" s="35">
        <f t="shared" si="155"/>
        <v>0</v>
      </c>
      <c r="S664" s="7">
        <f t="shared" si="156"/>
        <v>0</v>
      </c>
      <c r="T664" s="35">
        <f t="shared" si="143"/>
        <v>0</v>
      </c>
    </row>
    <row r="665" spans="1:20" hidden="1">
      <c r="A665" s="12" t="s">
        <v>186</v>
      </c>
      <c r="B665" s="43" t="s">
        <v>573</v>
      </c>
      <c r="C665" s="8" t="s">
        <v>224</v>
      </c>
      <c r="D665" s="1" t="s">
        <v>213</v>
      </c>
      <c r="E665" s="104"/>
      <c r="F665" s="7">
        <f t="shared" si="156"/>
        <v>0</v>
      </c>
      <c r="G665" s="7">
        <f t="shared" si="156"/>
        <v>0</v>
      </c>
      <c r="H665" s="35">
        <f t="shared" si="147"/>
        <v>0</v>
      </c>
      <c r="I665" s="7">
        <f t="shared" si="156"/>
        <v>0</v>
      </c>
      <c r="J665" s="35">
        <f t="shared" si="144"/>
        <v>0</v>
      </c>
      <c r="K665" s="7">
        <f t="shared" si="156"/>
        <v>0</v>
      </c>
      <c r="L665" s="35">
        <f t="shared" si="141"/>
        <v>0</v>
      </c>
      <c r="M665" s="7">
        <f t="shared" si="156"/>
        <v>0</v>
      </c>
      <c r="N665" s="35">
        <f t="shared" si="142"/>
        <v>0</v>
      </c>
      <c r="O665" s="7">
        <f t="shared" si="156"/>
        <v>0</v>
      </c>
      <c r="P665" s="35">
        <f t="shared" si="154"/>
        <v>0</v>
      </c>
      <c r="Q665" s="7">
        <f t="shared" si="156"/>
        <v>0</v>
      </c>
      <c r="R665" s="35">
        <f t="shared" si="155"/>
        <v>0</v>
      </c>
      <c r="S665" s="7">
        <f t="shared" si="156"/>
        <v>0</v>
      </c>
      <c r="T665" s="35">
        <f t="shared" si="143"/>
        <v>0</v>
      </c>
    </row>
    <row r="666" spans="1:20" ht="33" hidden="1">
      <c r="A666" s="61" t="str">
        <f ca="1">IF(ISERROR(MATCH(E666,Код_КВР,0)),"",INDIRECT(ADDRESS(MATCH(E666,Код_КВР,0)+1,2,,,"КВР")))</f>
        <v>Предоставление субсидий бюджетным, автономным учреждениям и иным некоммерческим организациям</v>
      </c>
      <c r="B666" s="43" t="s">
        <v>573</v>
      </c>
      <c r="C666" s="8" t="s">
        <v>224</v>
      </c>
      <c r="D666" s="1" t="s">
        <v>213</v>
      </c>
      <c r="E666" s="104">
        <v>600</v>
      </c>
      <c r="F666" s="7">
        <f t="shared" si="156"/>
        <v>0</v>
      </c>
      <c r="G666" s="7">
        <f t="shared" si="156"/>
        <v>0</v>
      </c>
      <c r="H666" s="35">
        <f t="shared" si="147"/>
        <v>0</v>
      </c>
      <c r="I666" s="7">
        <f t="shared" si="156"/>
        <v>0</v>
      </c>
      <c r="J666" s="35">
        <f t="shared" si="144"/>
        <v>0</v>
      </c>
      <c r="K666" s="7">
        <f t="shared" si="156"/>
        <v>0</v>
      </c>
      <c r="L666" s="35">
        <f t="shared" si="141"/>
        <v>0</v>
      </c>
      <c r="M666" s="7">
        <f t="shared" si="156"/>
        <v>0</v>
      </c>
      <c r="N666" s="35">
        <f t="shared" si="142"/>
        <v>0</v>
      </c>
      <c r="O666" s="7">
        <f t="shared" si="156"/>
        <v>0</v>
      </c>
      <c r="P666" s="35">
        <f t="shared" si="154"/>
        <v>0</v>
      </c>
      <c r="Q666" s="7">
        <f t="shared" si="156"/>
        <v>0</v>
      </c>
      <c r="R666" s="35">
        <f t="shared" si="155"/>
        <v>0</v>
      </c>
      <c r="S666" s="7">
        <f t="shared" si="156"/>
        <v>0</v>
      </c>
      <c r="T666" s="35">
        <f t="shared" si="143"/>
        <v>0</v>
      </c>
    </row>
    <row r="667" spans="1:20" hidden="1">
      <c r="A667" s="61" t="str">
        <f ca="1">IF(ISERROR(MATCH(E667,Код_КВР,0)),"",INDIRECT(ADDRESS(MATCH(E667,Код_КВР,0)+1,2,,,"КВР")))</f>
        <v>Субсидии автономным учреждениям</v>
      </c>
      <c r="B667" s="43" t="s">
        <v>573</v>
      </c>
      <c r="C667" s="8" t="s">
        <v>224</v>
      </c>
      <c r="D667" s="1" t="s">
        <v>213</v>
      </c>
      <c r="E667" s="104">
        <v>620</v>
      </c>
      <c r="F667" s="7">
        <f t="shared" si="156"/>
        <v>0</v>
      </c>
      <c r="G667" s="7">
        <f t="shared" si="156"/>
        <v>0</v>
      </c>
      <c r="H667" s="35">
        <f t="shared" si="147"/>
        <v>0</v>
      </c>
      <c r="I667" s="7">
        <f t="shared" si="156"/>
        <v>0</v>
      </c>
      <c r="J667" s="35">
        <f t="shared" si="144"/>
        <v>0</v>
      </c>
      <c r="K667" s="7">
        <f t="shared" si="156"/>
        <v>0</v>
      </c>
      <c r="L667" s="35">
        <f t="shared" ref="L667:L735" si="157">J667+K667</f>
        <v>0</v>
      </c>
      <c r="M667" s="7">
        <f t="shared" si="156"/>
        <v>0</v>
      </c>
      <c r="N667" s="35">
        <f t="shared" ref="N667:N735" si="158">L667+M667</f>
        <v>0</v>
      </c>
      <c r="O667" s="7">
        <f t="shared" si="156"/>
        <v>0</v>
      </c>
      <c r="P667" s="35">
        <f t="shared" si="154"/>
        <v>0</v>
      </c>
      <c r="Q667" s="7">
        <f t="shared" si="156"/>
        <v>0</v>
      </c>
      <c r="R667" s="35">
        <f t="shared" si="155"/>
        <v>0</v>
      </c>
      <c r="S667" s="7">
        <f t="shared" si="156"/>
        <v>0</v>
      </c>
      <c r="T667" s="35">
        <f t="shared" si="143"/>
        <v>0</v>
      </c>
    </row>
    <row r="668" spans="1:20" hidden="1">
      <c r="A668" s="61" t="str">
        <f ca="1">IF(ISERROR(MATCH(E668,Код_КВР,0)),"",INDIRECT(ADDRESS(MATCH(E668,Код_КВР,0)+1,2,,,"КВР")))</f>
        <v>Субсидии автономным учреждениям на иные цели</v>
      </c>
      <c r="B668" s="43" t="s">
        <v>573</v>
      </c>
      <c r="C668" s="8" t="s">
        <v>224</v>
      </c>
      <c r="D668" s="1" t="s">
        <v>213</v>
      </c>
      <c r="E668" s="104">
        <v>622</v>
      </c>
      <c r="F668" s="7">
        <f>прил.6!G1261</f>
        <v>0</v>
      </c>
      <c r="G668" s="7">
        <f>прил.6!H1261</f>
        <v>0</v>
      </c>
      <c r="H668" s="35">
        <f t="shared" si="147"/>
        <v>0</v>
      </c>
      <c r="I668" s="7">
        <f>прил.6!J1261</f>
        <v>0</v>
      </c>
      <c r="J668" s="35">
        <f t="shared" si="144"/>
        <v>0</v>
      </c>
      <c r="K668" s="7">
        <f>прил.6!L1261</f>
        <v>0</v>
      </c>
      <c r="L668" s="35">
        <f t="shared" si="157"/>
        <v>0</v>
      </c>
      <c r="M668" s="7">
        <f>прил.6!N1261</f>
        <v>0</v>
      </c>
      <c r="N668" s="35">
        <f t="shared" si="158"/>
        <v>0</v>
      </c>
      <c r="O668" s="7">
        <f>прил.6!P1261</f>
        <v>0</v>
      </c>
      <c r="P668" s="35">
        <f t="shared" si="154"/>
        <v>0</v>
      </c>
      <c r="Q668" s="7">
        <f>прил.6!R1261</f>
        <v>0</v>
      </c>
      <c r="R668" s="35">
        <f t="shared" si="155"/>
        <v>0</v>
      </c>
      <c r="S668" s="7">
        <f>прил.6!T1261</f>
        <v>0</v>
      </c>
      <c r="T668" s="35">
        <f t="shared" ref="T668:T736" si="159">R668+S668</f>
        <v>0</v>
      </c>
    </row>
    <row r="669" spans="1:20">
      <c r="A669" s="61" t="str">
        <f ca="1">IF(ISERROR(MATCH(B669,Код_КЦСР,0)),"",INDIRECT(ADDRESS(MATCH(B669,Код_КЦСР,0)+1,2,,,"КЦСР")))</f>
        <v>Пропаганда здорового образа жизни</v>
      </c>
      <c r="B669" s="43" t="s">
        <v>575</v>
      </c>
      <c r="C669" s="8"/>
      <c r="D669" s="1"/>
      <c r="E669" s="104"/>
      <c r="F669" s="7">
        <f>F670+F675+F684</f>
        <v>729.4</v>
      </c>
      <c r="G669" s="7">
        <f>G670+G675+G684</f>
        <v>0</v>
      </c>
      <c r="H669" s="35">
        <f t="shared" si="147"/>
        <v>729.4</v>
      </c>
      <c r="I669" s="7">
        <f>I670+I675+I684</f>
        <v>0</v>
      </c>
      <c r="J669" s="35">
        <f t="shared" si="144"/>
        <v>729.4</v>
      </c>
      <c r="K669" s="7">
        <f>K670+K675+K684</f>
        <v>0</v>
      </c>
      <c r="L669" s="35">
        <f t="shared" si="157"/>
        <v>729.4</v>
      </c>
      <c r="M669" s="7">
        <f>M670+M675+M684</f>
        <v>0</v>
      </c>
      <c r="N669" s="35">
        <f t="shared" si="158"/>
        <v>729.4</v>
      </c>
      <c r="O669" s="7">
        <f>O670+O675+O684</f>
        <v>0</v>
      </c>
      <c r="P669" s="35">
        <f t="shared" si="154"/>
        <v>729.4</v>
      </c>
      <c r="Q669" s="7">
        <f>Q670+Q675+Q684</f>
        <v>-15.7</v>
      </c>
      <c r="R669" s="35">
        <f t="shared" si="155"/>
        <v>713.69999999999993</v>
      </c>
      <c r="S669" s="7">
        <f>S670+S675+S684+S711</f>
        <v>50</v>
      </c>
      <c r="T669" s="35">
        <f t="shared" si="159"/>
        <v>763.69999999999993</v>
      </c>
    </row>
    <row r="670" spans="1:20">
      <c r="A670" s="61" t="str">
        <f ca="1">IF(ISERROR(MATCH(C670,Код_Раздел,0)),"",INDIRECT(ADDRESS(MATCH(C670,Код_Раздел,0)+1,2,,,"Раздел")))</f>
        <v>Общегосударственные  вопросы</v>
      </c>
      <c r="B670" s="43" t="s">
        <v>575</v>
      </c>
      <c r="C670" s="8" t="s">
        <v>213</v>
      </c>
      <c r="D670" s="1"/>
      <c r="E670" s="104"/>
      <c r="F670" s="7">
        <f t="shared" ref="F670:S673" si="160">F671</f>
        <v>399.4</v>
      </c>
      <c r="G670" s="7">
        <f t="shared" si="160"/>
        <v>0</v>
      </c>
      <c r="H670" s="35">
        <f t="shared" si="147"/>
        <v>399.4</v>
      </c>
      <c r="I670" s="7">
        <f t="shared" si="160"/>
        <v>0</v>
      </c>
      <c r="J670" s="35">
        <f t="shared" si="144"/>
        <v>399.4</v>
      </c>
      <c r="K670" s="7">
        <f t="shared" si="160"/>
        <v>0</v>
      </c>
      <c r="L670" s="35">
        <f t="shared" si="157"/>
        <v>399.4</v>
      </c>
      <c r="M670" s="7">
        <f t="shared" si="160"/>
        <v>0</v>
      </c>
      <c r="N670" s="35">
        <f t="shared" si="158"/>
        <v>399.4</v>
      </c>
      <c r="O670" s="7">
        <f t="shared" si="160"/>
        <v>0</v>
      </c>
      <c r="P670" s="35">
        <f t="shared" si="154"/>
        <v>399.4</v>
      </c>
      <c r="Q670" s="7">
        <f t="shared" si="160"/>
        <v>-15.7</v>
      </c>
      <c r="R670" s="35">
        <f t="shared" si="155"/>
        <v>383.7</v>
      </c>
      <c r="S670" s="7">
        <f t="shared" si="160"/>
        <v>0</v>
      </c>
      <c r="T670" s="35">
        <f t="shared" si="159"/>
        <v>383.7</v>
      </c>
    </row>
    <row r="671" spans="1:20">
      <c r="A671" s="12" t="s">
        <v>237</v>
      </c>
      <c r="B671" s="43" t="s">
        <v>575</v>
      </c>
      <c r="C671" s="8" t="s">
        <v>213</v>
      </c>
      <c r="D671" s="1" t="s">
        <v>190</v>
      </c>
      <c r="E671" s="104"/>
      <c r="F671" s="7">
        <f t="shared" si="160"/>
        <v>399.4</v>
      </c>
      <c r="G671" s="7">
        <f t="shared" si="160"/>
        <v>0</v>
      </c>
      <c r="H671" s="35">
        <f t="shared" si="147"/>
        <v>399.4</v>
      </c>
      <c r="I671" s="7">
        <f t="shared" si="160"/>
        <v>0</v>
      </c>
      <c r="J671" s="35">
        <f t="shared" si="144"/>
        <v>399.4</v>
      </c>
      <c r="K671" s="7">
        <f t="shared" si="160"/>
        <v>0</v>
      </c>
      <c r="L671" s="35">
        <f t="shared" si="157"/>
        <v>399.4</v>
      </c>
      <c r="M671" s="7">
        <f t="shared" si="160"/>
        <v>0</v>
      </c>
      <c r="N671" s="35">
        <f t="shared" si="158"/>
        <v>399.4</v>
      </c>
      <c r="O671" s="7">
        <f t="shared" si="160"/>
        <v>0</v>
      </c>
      <c r="P671" s="35">
        <f t="shared" si="154"/>
        <v>399.4</v>
      </c>
      <c r="Q671" s="7">
        <f t="shared" si="160"/>
        <v>-15.7</v>
      </c>
      <c r="R671" s="35">
        <f t="shared" si="155"/>
        <v>383.7</v>
      </c>
      <c r="S671" s="7">
        <f t="shared" si="160"/>
        <v>0</v>
      </c>
      <c r="T671" s="35">
        <f t="shared" si="159"/>
        <v>383.7</v>
      </c>
    </row>
    <row r="672" spans="1:20">
      <c r="A672" s="61" t="str">
        <f ca="1">IF(ISERROR(MATCH(E672,Код_КВР,0)),"",INDIRECT(ADDRESS(MATCH(E672,Код_КВР,0)+1,2,,,"КВР")))</f>
        <v>Закупка товаров, работ и услуг для муниципальных нужд</v>
      </c>
      <c r="B672" s="43" t="s">
        <v>575</v>
      </c>
      <c r="C672" s="8" t="s">
        <v>213</v>
      </c>
      <c r="D672" s="1" t="s">
        <v>190</v>
      </c>
      <c r="E672" s="104">
        <v>200</v>
      </c>
      <c r="F672" s="7">
        <f t="shared" si="160"/>
        <v>399.4</v>
      </c>
      <c r="G672" s="7">
        <f t="shared" si="160"/>
        <v>0</v>
      </c>
      <c r="H672" s="35">
        <f t="shared" si="147"/>
        <v>399.4</v>
      </c>
      <c r="I672" s="7">
        <f t="shared" si="160"/>
        <v>0</v>
      </c>
      <c r="J672" s="35">
        <f t="shared" si="144"/>
        <v>399.4</v>
      </c>
      <c r="K672" s="7">
        <f t="shared" si="160"/>
        <v>0</v>
      </c>
      <c r="L672" s="35">
        <f t="shared" si="157"/>
        <v>399.4</v>
      </c>
      <c r="M672" s="7">
        <f t="shared" si="160"/>
        <v>0</v>
      </c>
      <c r="N672" s="35">
        <f t="shared" si="158"/>
        <v>399.4</v>
      </c>
      <c r="O672" s="7">
        <f t="shared" si="160"/>
        <v>0</v>
      </c>
      <c r="P672" s="35">
        <f t="shared" si="154"/>
        <v>399.4</v>
      </c>
      <c r="Q672" s="7">
        <f t="shared" si="160"/>
        <v>-15.7</v>
      </c>
      <c r="R672" s="35">
        <f t="shared" si="155"/>
        <v>383.7</v>
      </c>
      <c r="S672" s="7">
        <f t="shared" si="160"/>
        <v>0</v>
      </c>
      <c r="T672" s="35">
        <f t="shared" si="159"/>
        <v>383.7</v>
      </c>
    </row>
    <row r="673" spans="1:20" ht="36.75" customHeight="1">
      <c r="A673" s="61" t="str">
        <f ca="1">IF(ISERROR(MATCH(E673,Код_КВР,0)),"",INDIRECT(ADDRESS(MATCH(E673,Код_КВР,0)+1,2,,,"КВР")))</f>
        <v>Иные закупки товаров, работ и услуг для обеспечения муниципальных нужд</v>
      </c>
      <c r="B673" s="43" t="s">
        <v>575</v>
      </c>
      <c r="C673" s="8" t="s">
        <v>213</v>
      </c>
      <c r="D673" s="1" t="s">
        <v>190</v>
      </c>
      <c r="E673" s="104">
        <v>240</v>
      </c>
      <c r="F673" s="7">
        <f t="shared" si="160"/>
        <v>399.4</v>
      </c>
      <c r="G673" s="7">
        <f t="shared" si="160"/>
        <v>0</v>
      </c>
      <c r="H673" s="35">
        <f t="shared" si="147"/>
        <v>399.4</v>
      </c>
      <c r="I673" s="7">
        <f t="shared" si="160"/>
        <v>0</v>
      </c>
      <c r="J673" s="35">
        <f t="shared" ref="J673:J741" si="161">H673+I673</f>
        <v>399.4</v>
      </c>
      <c r="K673" s="7">
        <f t="shared" si="160"/>
        <v>0</v>
      </c>
      <c r="L673" s="35">
        <f t="shared" si="157"/>
        <v>399.4</v>
      </c>
      <c r="M673" s="7">
        <f t="shared" si="160"/>
        <v>0</v>
      </c>
      <c r="N673" s="35">
        <f t="shared" si="158"/>
        <v>399.4</v>
      </c>
      <c r="O673" s="7">
        <f t="shared" si="160"/>
        <v>0</v>
      </c>
      <c r="P673" s="35">
        <f t="shared" si="154"/>
        <v>399.4</v>
      </c>
      <c r="Q673" s="7">
        <f t="shared" si="160"/>
        <v>-15.7</v>
      </c>
      <c r="R673" s="35">
        <f t="shared" si="155"/>
        <v>383.7</v>
      </c>
      <c r="S673" s="7">
        <f t="shared" si="160"/>
        <v>0</v>
      </c>
      <c r="T673" s="35">
        <f t="shared" si="159"/>
        <v>383.7</v>
      </c>
    </row>
    <row r="674" spans="1:20" ht="37.5" customHeight="1">
      <c r="A674" s="61" t="str">
        <f ca="1">IF(ISERROR(MATCH(E674,Код_КВР,0)),"",INDIRECT(ADDRESS(MATCH(E674,Код_КВР,0)+1,2,,,"КВР")))</f>
        <v xml:space="preserve">Прочая закупка товаров, работ и услуг для обеспечения муниципальных нужд         </v>
      </c>
      <c r="B674" s="43" t="s">
        <v>575</v>
      </c>
      <c r="C674" s="8" t="s">
        <v>213</v>
      </c>
      <c r="D674" s="1" t="s">
        <v>190</v>
      </c>
      <c r="E674" s="104">
        <v>244</v>
      </c>
      <c r="F674" s="7">
        <f>прил.6!G108</f>
        <v>399.4</v>
      </c>
      <c r="G674" s="7">
        <f>прил.6!H108</f>
        <v>0</v>
      </c>
      <c r="H674" s="35">
        <f t="shared" si="147"/>
        <v>399.4</v>
      </c>
      <c r="I674" s="7">
        <f>прил.6!J108</f>
        <v>0</v>
      </c>
      <c r="J674" s="35">
        <f t="shared" si="161"/>
        <v>399.4</v>
      </c>
      <c r="K674" s="7">
        <f>прил.6!L108</f>
        <v>0</v>
      </c>
      <c r="L674" s="35">
        <f t="shared" si="157"/>
        <v>399.4</v>
      </c>
      <c r="M674" s="7">
        <f>прил.6!N108</f>
        <v>0</v>
      </c>
      <c r="N674" s="35">
        <f t="shared" si="158"/>
        <v>399.4</v>
      </c>
      <c r="O674" s="7">
        <f>прил.6!P108</f>
        <v>0</v>
      </c>
      <c r="P674" s="35">
        <f t="shared" si="154"/>
        <v>399.4</v>
      </c>
      <c r="Q674" s="7">
        <f>прил.6!R108</f>
        <v>-15.7</v>
      </c>
      <c r="R674" s="35">
        <f t="shared" si="155"/>
        <v>383.7</v>
      </c>
      <c r="S674" s="7">
        <f>прил.6!T108</f>
        <v>0</v>
      </c>
      <c r="T674" s="35">
        <f t="shared" si="159"/>
        <v>383.7</v>
      </c>
    </row>
    <row r="675" spans="1:20">
      <c r="A675" s="61" t="str">
        <f ca="1">IF(ISERROR(MATCH(C675,Код_Раздел,0)),"",INDIRECT(ADDRESS(MATCH(C675,Код_Раздел,0)+1,2,,,"Раздел")))</f>
        <v>Образование</v>
      </c>
      <c r="B675" s="43" t="s">
        <v>575</v>
      </c>
      <c r="C675" s="8" t="s">
        <v>195</v>
      </c>
      <c r="D675" s="1"/>
      <c r="E675" s="104"/>
      <c r="F675" s="7">
        <f>F676+F680</f>
        <v>330</v>
      </c>
      <c r="G675" s="7">
        <f>G676+G680</f>
        <v>0</v>
      </c>
      <c r="H675" s="35">
        <f t="shared" si="147"/>
        <v>330</v>
      </c>
      <c r="I675" s="7">
        <f>I676+I680</f>
        <v>0</v>
      </c>
      <c r="J675" s="35">
        <f t="shared" si="161"/>
        <v>330</v>
      </c>
      <c r="K675" s="7">
        <f>K676+K680</f>
        <v>0</v>
      </c>
      <c r="L675" s="35">
        <f t="shared" si="157"/>
        <v>330</v>
      </c>
      <c r="M675" s="7">
        <f>M676+M680</f>
        <v>0</v>
      </c>
      <c r="N675" s="35">
        <f t="shared" si="158"/>
        <v>330</v>
      </c>
      <c r="O675" s="7">
        <f>O676+O680</f>
        <v>0</v>
      </c>
      <c r="P675" s="35">
        <f t="shared" si="154"/>
        <v>330</v>
      </c>
      <c r="Q675" s="7">
        <f>Q676+Q680</f>
        <v>0</v>
      </c>
      <c r="R675" s="35">
        <f t="shared" si="155"/>
        <v>330</v>
      </c>
      <c r="S675" s="7">
        <f>S676+S680</f>
        <v>0</v>
      </c>
      <c r="T675" s="35">
        <f t="shared" si="159"/>
        <v>330</v>
      </c>
    </row>
    <row r="676" spans="1:20">
      <c r="A676" s="12" t="s">
        <v>199</v>
      </c>
      <c r="B676" s="43" t="s">
        <v>575</v>
      </c>
      <c r="C676" s="8" t="s">
        <v>195</v>
      </c>
      <c r="D676" s="1" t="s">
        <v>195</v>
      </c>
      <c r="E676" s="104"/>
      <c r="F676" s="7">
        <f t="shared" ref="F676:S678" si="162">F677</f>
        <v>330</v>
      </c>
      <c r="G676" s="7">
        <f t="shared" si="162"/>
        <v>0</v>
      </c>
      <c r="H676" s="35">
        <f t="shared" si="147"/>
        <v>330</v>
      </c>
      <c r="I676" s="7">
        <f t="shared" si="162"/>
        <v>0</v>
      </c>
      <c r="J676" s="35">
        <f t="shared" si="161"/>
        <v>330</v>
      </c>
      <c r="K676" s="7">
        <f t="shared" si="162"/>
        <v>0</v>
      </c>
      <c r="L676" s="35">
        <f t="shared" si="157"/>
        <v>330</v>
      </c>
      <c r="M676" s="7">
        <f t="shared" si="162"/>
        <v>0</v>
      </c>
      <c r="N676" s="35">
        <f t="shared" si="158"/>
        <v>330</v>
      </c>
      <c r="O676" s="7">
        <f t="shared" si="162"/>
        <v>0</v>
      </c>
      <c r="P676" s="35">
        <f t="shared" si="154"/>
        <v>330</v>
      </c>
      <c r="Q676" s="7">
        <f t="shared" si="162"/>
        <v>0</v>
      </c>
      <c r="R676" s="35">
        <f t="shared" si="155"/>
        <v>330</v>
      </c>
      <c r="S676" s="7">
        <f t="shared" si="162"/>
        <v>0</v>
      </c>
      <c r="T676" s="35">
        <f t="shared" si="159"/>
        <v>330</v>
      </c>
    </row>
    <row r="677" spans="1:20" ht="36.75" customHeight="1">
      <c r="A677" s="61" t="str">
        <f ca="1">IF(ISERROR(MATCH(E677,Код_КВР,0)),"",INDIRECT(ADDRESS(MATCH(E677,Код_КВР,0)+1,2,,,"КВР")))</f>
        <v>Предоставление субсидий бюджетным, автономным учреждениям и иным некоммерческим организациям</v>
      </c>
      <c r="B677" s="43" t="s">
        <v>575</v>
      </c>
      <c r="C677" s="8" t="s">
        <v>195</v>
      </c>
      <c r="D677" s="1" t="s">
        <v>195</v>
      </c>
      <c r="E677" s="104">
        <v>600</v>
      </c>
      <c r="F677" s="7">
        <f t="shared" si="162"/>
        <v>330</v>
      </c>
      <c r="G677" s="7">
        <f t="shared" si="162"/>
        <v>0</v>
      </c>
      <c r="H677" s="35">
        <f t="shared" si="147"/>
        <v>330</v>
      </c>
      <c r="I677" s="7">
        <f t="shared" si="162"/>
        <v>0</v>
      </c>
      <c r="J677" s="35">
        <f t="shared" si="161"/>
        <v>330</v>
      </c>
      <c r="K677" s="7">
        <f t="shared" si="162"/>
        <v>0</v>
      </c>
      <c r="L677" s="35">
        <f t="shared" si="157"/>
        <v>330</v>
      </c>
      <c r="M677" s="7">
        <f t="shared" si="162"/>
        <v>0</v>
      </c>
      <c r="N677" s="35">
        <f t="shared" si="158"/>
        <v>330</v>
      </c>
      <c r="O677" s="7">
        <f t="shared" si="162"/>
        <v>0</v>
      </c>
      <c r="P677" s="35">
        <f t="shared" si="154"/>
        <v>330</v>
      </c>
      <c r="Q677" s="7">
        <f t="shared" si="162"/>
        <v>0</v>
      </c>
      <c r="R677" s="35">
        <f t="shared" si="155"/>
        <v>330</v>
      </c>
      <c r="S677" s="7">
        <f t="shared" si="162"/>
        <v>0</v>
      </c>
      <c r="T677" s="35">
        <f t="shared" si="159"/>
        <v>330</v>
      </c>
    </row>
    <row r="678" spans="1:20">
      <c r="A678" s="61" t="str">
        <f ca="1">IF(ISERROR(MATCH(E678,Код_КВР,0)),"",INDIRECT(ADDRESS(MATCH(E678,Код_КВР,0)+1,2,,,"КВР")))</f>
        <v>Субсидии бюджетным учреждениям</v>
      </c>
      <c r="B678" s="43" t="s">
        <v>575</v>
      </c>
      <c r="C678" s="8" t="s">
        <v>195</v>
      </c>
      <c r="D678" s="1" t="s">
        <v>195</v>
      </c>
      <c r="E678" s="104">
        <v>610</v>
      </c>
      <c r="F678" s="7">
        <f t="shared" si="162"/>
        <v>330</v>
      </c>
      <c r="G678" s="7">
        <f t="shared" si="162"/>
        <v>0</v>
      </c>
      <c r="H678" s="35">
        <f t="shared" si="147"/>
        <v>330</v>
      </c>
      <c r="I678" s="7">
        <f t="shared" si="162"/>
        <v>0</v>
      </c>
      <c r="J678" s="35">
        <f t="shared" si="161"/>
        <v>330</v>
      </c>
      <c r="K678" s="7">
        <f t="shared" si="162"/>
        <v>0</v>
      </c>
      <c r="L678" s="35">
        <f t="shared" si="157"/>
        <v>330</v>
      </c>
      <c r="M678" s="7">
        <f t="shared" si="162"/>
        <v>0</v>
      </c>
      <c r="N678" s="35">
        <f t="shared" si="158"/>
        <v>330</v>
      </c>
      <c r="O678" s="7">
        <f t="shared" si="162"/>
        <v>0</v>
      </c>
      <c r="P678" s="35">
        <f t="shared" si="154"/>
        <v>330</v>
      </c>
      <c r="Q678" s="7">
        <f t="shared" si="162"/>
        <v>0</v>
      </c>
      <c r="R678" s="35">
        <f t="shared" si="155"/>
        <v>330</v>
      </c>
      <c r="S678" s="7">
        <f t="shared" si="162"/>
        <v>0</v>
      </c>
      <c r="T678" s="35">
        <f t="shared" si="159"/>
        <v>330</v>
      </c>
    </row>
    <row r="679" spans="1:20">
      <c r="A679" s="61" t="str">
        <f ca="1">IF(ISERROR(MATCH(E679,Код_КВР,0)),"",INDIRECT(ADDRESS(MATCH(E679,Код_КВР,0)+1,2,,,"КВР")))</f>
        <v>Субсидии бюджетным учреждениям на иные цели</v>
      </c>
      <c r="B679" s="43" t="s">
        <v>575</v>
      </c>
      <c r="C679" s="8" t="s">
        <v>195</v>
      </c>
      <c r="D679" s="1" t="s">
        <v>195</v>
      </c>
      <c r="E679" s="104">
        <v>612</v>
      </c>
      <c r="F679" s="7">
        <f>прил.6!G322</f>
        <v>330</v>
      </c>
      <c r="G679" s="7">
        <f>прил.6!H322</f>
        <v>0</v>
      </c>
      <c r="H679" s="35">
        <f t="shared" si="147"/>
        <v>330</v>
      </c>
      <c r="I679" s="7">
        <f>прил.6!J322</f>
        <v>0</v>
      </c>
      <c r="J679" s="35">
        <f t="shared" si="161"/>
        <v>330</v>
      </c>
      <c r="K679" s="7">
        <f>прил.6!L322</f>
        <v>0</v>
      </c>
      <c r="L679" s="35">
        <f t="shared" si="157"/>
        <v>330</v>
      </c>
      <c r="M679" s="7">
        <f>прил.6!N322</f>
        <v>0</v>
      </c>
      <c r="N679" s="35">
        <f t="shared" si="158"/>
        <v>330</v>
      </c>
      <c r="O679" s="7">
        <f>прил.6!P322</f>
        <v>0</v>
      </c>
      <c r="P679" s="35">
        <f t="shared" si="154"/>
        <v>330</v>
      </c>
      <c r="Q679" s="7">
        <f>прил.6!R322</f>
        <v>0</v>
      </c>
      <c r="R679" s="35">
        <f t="shared" si="155"/>
        <v>330</v>
      </c>
      <c r="S679" s="7">
        <f>прил.6!T322</f>
        <v>0</v>
      </c>
      <c r="T679" s="35">
        <f t="shared" si="159"/>
        <v>330</v>
      </c>
    </row>
    <row r="680" spans="1:20" hidden="1">
      <c r="A680" s="12" t="s">
        <v>251</v>
      </c>
      <c r="B680" s="43" t="s">
        <v>575</v>
      </c>
      <c r="C680" s="8" t="s">
        <v>195</v>
      </c>
      <c r="D680" s="8" t="s">
        <v>219</v>
      </c>
      <c r="E680" s="104"/>
      <c r="F680" s="7">
        <f t="shared" ref="F680:S682" si="163">F681</f>
        <v>0</v>
      </c>
      <c r="G680" s="7">
        <f t="shared" si="163"/>
        <v>0</v>
      </c>
      <c r="H680" s="35">
        <f t="shared" si="147"/>
        <v>0</v>
      </c>
      <c r="I680" s="7">
        <f t="shared" si="163"/>
        <v>0</v>
      </c>
      <c r="J680" s="35">
        <f t="shared" si="161"/>
        <v>0</v>
      </c>
      <c r="K680" s="7">
        <f t="shared" si="163"/>
        <v>0</v>
      </c>
      <c r="L680" s="35">
        <f t="shared" si="157"/>
        <v>0</v>
      </c>
      <c r="M680" s="7">
        <f t="shared" si="163"/>
        <v>0</v>
      </c>
      <c r="N680" s="35">
        <f t="shared" si="158"/>
        <v>0</v>
      </c>
      <c r="O680" s="7">
        <f t="shared" si="163"/>
        <v>0</v>
      </c>
      <c r="P680" s="35">
        <f t="shared" si="154"/>
        <v>0</v>
      </c>
      <c r="Q680" s="7">
        <f t="shared" si="163"/>
        <v>0</v>
      </c>
      <c r="R680" s="35">
        <f t="shared" si="155"/>
        <v>0</v>
      </c>
      <c r="S680" s="7">
        <f t="shared" si="163"/>
        <v>0</v>
      </c>
      <c r="T680" s="35">
        <f t="shared" si="159"/>
        <v>0</v>
      </c>
    </row>
    <row r="681" spans="1:20" hidden="1">
      <c r="A681" s="61" t="str">
        <f ca="1">IF(ISERROR(MATCH(E681,Код_КВР,0)),"",INDIRECT(ADDRESS(MATCH(E681,Код_КВР,0)+1,2,,,"КВР")))</f>
        <v>Закупка товаров, работ и услуг для муниципальных нужд</v>
      </c>
      <c r="B681" s="43" t="s">
        <v>575</v>
      </c>
      <c r="C681" s="8" t="s">
        <v>195</v>
      </c>
      <c r="D681" s="8" t="s">
        <v>219</v>
      </c>
      <c r="E681" s="104">
        <v>200</v>
      </c>
      <c r="F681" s="7">
        <f t="shared" si="163"/>
        <v>0</v>
      </c>
      <c r="G681" s="7">
        <f t="shared" si="163"/>
        <v>0</v>
      </c>
      <c r="H681" s="35">
        <f t="shared" ref="H681:H749" si="164">F681+G681</f>
        <v>0</v>
      </c>
      <c r="I681" s="7">
        <f t="shared" si="163"/>
        <v>0</v>
      </c>
      <c r="J681" s="35">
        <f t="shared" si="161"/>
        <v>0</v>
      </c>
      <c r="K681" s="7">
        <f t="shared" si="163"/>
        <v>0</v>
      </c>
      <c r="L681" s="35">
        <f t="shared" si="157"/>
        <v>0</v>
      </c>
      <c r="M681" s="7">
        <f t="shared" si="163"/>
        <v>0</v>
      </c>
      <c r="N681" s="35">
        <f t="shared" si="158"/>
        <v>0</v>
      </c>
      <c r="O681" s="7">
        <f t="shared" si="163"/>
        <v>0</v>
      </c>
      <c r="P681" s="35">
        <f t="shared" si="154"/>
        <v>0</v>
      </c>
      <c r="Q681" s="7">
        <f t="shared" si="163"/>
        <v>0</v>
      </c>
      <c r="R681" s="35">
        <f t="shared" si="155"/>
        <v>0</v>
      </c>
      <c r="S681" s="7">
        <f t="shared" si="163"/>
        <v>0</v>
      </c>
      <c r="T681" s="35">
        <f t="shared" si="159"/>
        <v>0</v>
      </c>
    </row>
    <row r="682" spans="1:20" ht="33" hidden="1">
      <c r="A682" s="61" t="str">
        <f ca="1">IF(ISERROR(MATCH(E682,Код_КВР,0)),"",INDIRECT(ADDRESS(MATCH(E682,Код_КВР,0)+1,2,,,"КВР")))</f>
        <v>Иные закупки товаров, работ и услуг для обеспечения муниципальных нужд</v>
      </c>
      <c r="B682" s="43" t="s">
        <v>575</v>
      </c>
      <c r="C682" s="8" t="s">
        <v>195</v>
      </c>
      <c r="D682" s="8" t="s">
        <v>219</v>
      </c>
      <c r="E682" s="104">
        <v>240</v>
      </c>
      <c r="F682" s="7">
        <f t="shared" si="163"/>
        <v>0</v>
      </c>
      <c r="G682" s="7">
        <f t="shared" si="163"/>
        <v>0</v>
      </c>
      <c r="H682" s="35">
        <f t="shared" si="164"/>
        <v>0</v>
      </c>
      <c r="I682" s="7">
        <f t="shared" si="163"/>
        <v>0</v>
      </c>
      <c r="J682" s="35">
        <f t="shared" si="161"/>
        <v>0</v>
      </c>
      <c r="K682" s="7">
        <f t="shared" si="163"/>
        <v>0</v>
      </c>
      <c r="L682" s="35">
        <f t="shared" si="157"/>
        <v>0</v>
      </c>
      <c r="M682" s="7">
        <f t="shared" si="163"/>
        <v>0</v>
      </c>
      <c r="N682" s="35">
        <f t="shared" si="158"/>
        <v>0</v>
      </c>
      <c r="O682" s="7">
        <f t="shared" si="163"/>
        <v>0</v>
      </c>
      <c r="P682" s="35">
        <f t="shared" si="154"/>
        <v>0</v>
      </c>
      <c r="Q682" s="7">
        <f t="shared" si="163"/>
        <v>0</v>
      </c>
      <c r="R682" s="35">
        <f t="shared" si="155"/>
        <v>0</v>
      </c>
      <c r="S682" s="7">
        <f t="shared" si="163"/>
        <v>0</v>
      </c>
      <c r="T682" s="35">
        <f t="shared" si="159"/>
        <v>0</v>
      </c>
    </row>
    <row r="683" spans="1:20" ht="33" hidden="1">
      <c r="A683" s="61" t="str">
        <f ca="1">IF(ISERROR(MATCH(E683,Код_КВР,0)),"",INDIRECT(ADDRESS(MATCH(E683,Код_КВР,0)+1,2,,,"КВР")))</f>
        <v xml:space="preserve">Прочая закупка товаров, работ и услуг для обеспечения муниципальных нужд         </v>
      </c>
      <c r="B683" s="43" t="s">
        <v>575</v>
      </c>
      <c r="C683" s="8" t="s">
        <v>195</v>
      </c>
      <c r="D683" s="8" t="s">
        <v>219</v>
      </c>
      <c r="E683" s="104">
        <v>244</v>
      </c>
      <c r="F683" s="7">
        <f>прил.6!G779</f>
        <v>0</v>
      </c>
      <c r="G683" s="7">
        <f>прил.6!H779</f>
        <v>0</v>
      </c>
      <c r="H683" s="35">
        <f t="shared" si="164"/>
        <v>0</v>
      </c>
      <c r="I683" s="7">
        <f>прил.6!J779</f>
        <v>0</v>
      </c>
      <c r="J683" s="35">
        <f t="shared" si="161"/>
        <v>0</v>
      </c>
      <c r="K683" s="7">
        <f>прил.6!L779</f>
        <v>0</v>
      </c>
      <c r="L683" s="35">
        <f t="shared" si="157"/>
        <v>0</v>
      </c>
      <c r="M683" s="7">
        <f>прил.6!N779</f>
        <v>0</v>
      </c>
      <c r="N683" s="35">
        <f t="shared" si="158"/>
        <v>0</v>
      </c>
      <c r="O683" s="7">
        <f>прил.6!P779</f>
        <v>0</v>
      </c>
      <c r="P683" s="35">
        <f t="shared" si="154"/>
        <v>0</v>
      </c>
      <c r="Q683" s="7">
        <f>прил.6!R779</f>
        <v>0</v>
      </c>
      <c r="R683" s="35">
        <f t="shared" si="155"/>
        <v>0</v>
      </c>
      <c r="S683" s="7">
        <f>прил.6!T779</f>
        <v>0</v>
      </c>
      <c r="T683" s="35">
        <f t="shared" si="159"/>
        <v>0</v>
      </c>
    </row>
    <row r="684" spans="1:20" hidden="1">
      <c r="A684" s="61" t="str">
        <f ca="1">IF(ISERROR(MATCH(C684,Код_Раздел,0)),"",INDIRECT(ADDRESS(MATCH(C684,Код_Раздел,0)+1,2,,,"Раздел")))</f>
        <v>Культура, кинематография</v>
      </c>
      <c r="B684" s="43" t="s">
        <v>575</v>
      </c>
      <c r="C684" s="8" t="s">
        <v>222</v>
      </c>
      <c r="D684" s="1"/>
      <c r="E684" s="104"/>
      <c r="F684" s="7">
        <f t="shared" ref="F684:S687" si="165">F685</f>
        <v>0</v>
      </c>
      <c r="G684" s="7">
        <f t="shared" si="165"/>
        <v>0</v>
      </c>
      <c r="H684" s="35">
        <f t="shared" si="164"/>
        <v>0</v>
      </c>
      <c r="I684" s="7">
        <f t="shared" si="165"/>
        <v>0</v>
      </c>
      <c r="J684" s="35">
        <f t="shared" si="161"/>
        <v>0</v>
      </c>
      <c r="K684" s="7">
        <f t="shared" si="165"/>
        <v>0</v>
      </c>
      <c r="L684" s="35">
        <f t="shared" si="157"/>
        <v>0</v>
      </c>
      <c r="M684" s="7">
        <f t="shared" si="165"/>
        <v>0</v>
      </c>
      <c r="N684" s="35">
        <f t="shared" si="158"/>
        <v>0</v>
      </c>
      <c r="O684" s="7">
        <f t="shared" si="165"/>
        <v>0</v>
      </c>
      <c r="P684" s="35">
        <f t="shared" si="154"/>
        <v>0</v>
      </c>
      <c r="Q684" s="7">
        <f t="shared" si="165"/>
        <v>0</v>
      </c>
      <c r="R684" s="35">
        <f t="shared" si="155"/>
        <v>0</v>
      </c>
      <c r="S684" s="7">
        <f t="shared" si="165"/>
        <v>0</v>
      </c>
      <c r="T684" s="35">
        <f t="shared" si="159"/>
        <v>0</v>
      </c>
    </row>
    <row r="685" spans="1:20" hidden="1">
      <c r="A685" s="12" t="s">
        <v>163</v>
      </c>
      <c r="B685" s="43" t="s">
        <v>575</v>
      </c>
      <c r="C685" s="8" t="s">
        <v>222</v>
      </c>
      <c r="D685" s="1" t="s">
        <v>216</v>
      </c>
      <c r="E685" s="104"/>
      <c r="F685" s="7">
        <f t="shared" si="165"/>
        <v>0</v>
      </c>
      <c r="G685" s="7">
        <f t="shared" si="165"/>
        <v>0</v>
      </c>
      <c r="H685" s="35">
        <f t="shared" si="164"/>
        <v>0</v>
      </c>
      <c r="I685" s="7">
        <f t="shared" si="165"/>
        <v>0</v>
      </c>
      <c r="J685" s="35">
        <f t="shared" si="161"/>
        <v>0</v>
      </c>
      <c r="K685" s="7">
        <f t="shared" si="165"/>
        <v>0</v>
      </c>
      <c r="L685" s="35">
        <f t="shared" si="157"/>
        <v>0</v>
      </c>
      <c r="M685" s="7">
        <f t="shared" si="165"/>
        <v>0</v>
      </c>
      <c r="N685" s="35">
        <f t="shared" si="158"/>
        <v>0</v>
      </c>
      <c r="O685" s="7">
        <f t="shared" si="165"/>
        <v>0</v>
      </c>
      <c r="P685" s="35">
        <f t="shared" si="154"/>
        <v>0</v>
      </c>
      <c r="Q685" s="7">
        <f t="shared" si="165"/>
        <v>0</v>
      </c>
      <c r="R685" s="35">
        <f t="shared" si="155"/>
        <v>0</v>
      </c>
      <c r="S685" s="7">
        <f t="shared" si="165"/>
        <v>0</v>
      </c>
      <c r="T685" s="35">
        <f t="shared" si="159"/>
        <v>0</v>
      </c>
    </row>
    <row r="686" spans="1:20" hidden="1">
      <c r="A686" s="61" t="str">
        <f ca="1">IF(ISERROR(MATCH(E686,Код_КВР,0)),"",INDIRECT(ADDRESS(MATCH(E686,Код_КВР,0)+1,2,,,"КВР")))</f>
        <v>Закупка товаров, работ и услуг для муниципальных нужд</v>
      </c>
      <c r="B686" s="43" t="s">
        <v>575</v>
      </c>
      <c r="C686" s="8" t="s">
        <v>222</v>
      </c>
      <c r="D686" s="1" t="s">
        <v>216</v>
      </c>
      <c r="E686" s="104">
        <v>200</v>
      </c>
      <c r="F686" s="7">
        <f t="shared" si="165"/>
        <v>0</v>
      </c>
      <c r="G686" s="7">
        <f t="shared" si="165"/>
        <v>0</v>
      </c>
      <c r="H686" s="35">
        <f t="shared" si="164"/>
        <v>0</v>
      </c>
      <c r="I686" s="7">
        <f t="shared" si="165"/>
        <v>0</v>
      </c>
      <c r="J686" s="35">
        <f t="shared" si="161"/>
        <v>0</v>
      </c>
      <c r="K686" s="7">
        <f t="shared" si="165"/>
        <v>0</v>
      </c>
      <c r="L686" s="35">
        <f t="shared" si="157"/>
        <v>0</v>
      </c>
      <c r="M686" s="7">
        <f t="shared" si="165"/>
        <v>0</v>
      </c>
      <c r="N686" s="35">
        <f t="shared" si="158"/>
        <v>0</v>
      </c>
      <c r="O686" s="7">
        <f t="shared" si="165"/>
        <v>0</v>
      </c>
      <c r="P686" s="35">
        <f t="shared" si="154"/>
        <v>0</v>
      </c>
      <c r="Q686" s="7">
        <f t="shared" si="165"/>
        <v>0</v>
      </c>
      <c r="R686" s="35">
        <f t="shared" si="155"/>
        <v>0</v>
      </c>
      <c r="S686" s="7">
        <f t="shared" si="165"/>
        <v>0</v>
      </c>
      <c r="T686" s="35">
        <f t="shared" si="159"/>
        <v>0</v>
      </c>
    </row>
    <row r="687" spans="1:20" ht="33" hidden="1">
      <c r="A687" s="61" t="str">
        <f ca="1">IF(ISERROR(MATCH(E687,Код_КВР,0)),"",INDIRECT(ADDRESS(MATCH(E687,Код_КВР,0)+1,2,,,"КВР")))</f>
        <v>Иные закупки товаров, работ и услуг для обеспечения муниципальных нужд</v>
      </c>
      <c r="B687" s="43" t="s">
        <v>575</v>
      </c>
      <c r="C687" s="8" t="s">
        <v>222</v>
      </c>
      <c r="D687" s="1" t="s">
        <v>216</v>
      </c>
      <c r="E687" s="104">
        <v>240</v>
      </c>
      <c r="F687" s="7">
        <f t="shared" si="165"/>
        <v>0</v>
      </c>
      <c r="G687" s="7">
        <f t="shared" si="165"/>
        <v>0</v>
      </c>
      <c r="H687" s="35">
        <f t="shared" si="164"/>
        <v>0</v>
      </c>
      <c r="I687" s="7">
        <f t="shared" si="165"/>
        <v>0</v>
      </c>
      <c r="J687" s="35">
        <f t="shared" si="161"/>
        <v>0</v>
      </c>
      <c r="K687" s="7">
        <f t="shared" si="165"/>
        <v>0</v>
      </c>
      <c r="L687" s="35">
        <f t="shared" si="157"/>
        <v>0</v>
      </c>
      <c r="M687" s="7">
        <f t="shared" si="165"/>
        <v>0</v>
      </c>
      <c r="N687" s="35">
        <f t="shared" si="158"/>
        <v>0</v>
      </c>
      <c r="O687" s="7">
        <f t="shared" si="165"/>
        <v>0</v>
      </c>
      <c r="P687" s="35">
        <f t="shared" si="154"/>
        <v>0</v>
      </c>
      <c r="Q687" s="7">
        <f t="shared" si="165"/>
        <v>0</v>
      </c>
      <c r="R687" s="35">
        <f t="shared" si="155"/>
        <v>0</v>
      </c>
      <c r="S687" s="7">
        <f t="shared" si="165"/>
        <v>0</v>
      </c>
      <c r="T687" s="35">
        <f t="shared" si="159"/>
        <v>0</v>
      </c>
    </row>
    <row r="688" spans="1:20" ht="33" hidden="1">
      <c r="A688" s="61" t="str">
        <f ca="1">IF(ISERROR(MATCH(E688,Код_КВР,0)),"",INDIRECT(ADDRESS(MATCH(E688,Код_КВР,0)+1,2,,,"КВР")))</f>
        <v xml:space="preserve">Прочая закупка товаров, работ и услуг для обеспечения муниципальных нужд         </v>
      </c>
      <c r="B688" s="43" t="s">
        <v>575</v>
      </c>
      <c r="C688" s="8" t="s">
        <v>222</v>
      </c>
      <c r="D688" s="1" t="s">
        <v>216</v>
      </c>
      <c r="E688" s="104">
        <v>244</v>
      </c>
      <c r="F688" s="7">
        <f>прил.6!G1134</f>
        <v>0</v>
      </c>
      <c r="G688" s="7">
        <f>прил.6!H1134</f>
        <v>0</v>
      </c>
      <c r="H688" s="35">
        <f t="shared" si="164"/>
        <v>0</v>
      </c>
      <c r="I688" s="7">
        <f>прил.6!J1134</f>
        <v>0</v>
      </c>
      <c r="J688" s="35">
        <f t="shared" si="161"/>
        <v>0</v>
      </c>
      <c r="K688" s="7">
        <f>прил.6!L1134</f>
        <v>0</v>
      </c>
      <c r="L688" s="35">
        <f t="shared" si="157"/>
        <v>0</v>
      </c>
      <c r="M688" s="7">
        <f>прил.6!N1134</f>
        <v>0</v>
      </c>
      <c r="N688" s="35">
        <f t="shared" si="158"/>
        <v>0</v>
      </c>
      <c r="O688" s="7">
        <f>прил.6!P1134</f>
        <v>0</v>
      </c>
      <c r="P688" s="35">
        <f t="shared" si="154"/>
        <v>0</v>
      </c>
      <c r="Q688" s="7">
        <f>прил.6!R1134</f>
        <v>0</v>
      </c>
      <c r="R688" s="35">
        <f t="shared" si="155"/>
        <v>0</v>
      </c>
      <c r="S688" s="7">
        <f>прил.6!T1134</f>
        <v>0</v>
      </c>
      <c r="T688" s="35">
        <f t="shared" si="159"/>
        <v>0</v>
      </c>
    </row>
    <row r="689" spans="1:20" hidden="1">
      <c r="A689" s="61" t="str">
        <f ca="1">IF(ISERROR(MATCH(B689,Код_КЦСР,0)),"",INDIRECT(ADDRESS(MATCH(B689,Код_КЦСР,0)+1,2,,,"КЦСР")))</f>
        <v>Здоровье на рабочем месте</v>
      </c>
      <c r="B689" s="43" t="s">
        <v>577</v>
      </c>
      <c r="C689" s="8"/>
      <c r="D689" s="1"/>
      <c r="E689" s="104"/>
      <c r="F689" s="7">
        <f>F690+F695</f>
        <v>0</v>
      </c>
      <c r="G689" s="7">
        <f>G690+G695</f>
        <v>0</v>
      </c>
      <c r="H689" s="35">
        <f t="shared" si="164"/>
        <v>0</v>
      </c>
      <c r="I689" s="7">
        <f>I690+I695</f>
        <v>0</v>
      </c>
      <c r="J689" s="35">
        <f t="shared" si="161"/>
        <v>0</v>
      </c>
      <c r="K689" s="7">
        <f>K690+K695</f>
        <v>0</v>
      </c>
      <c r="L689" s="35">
        <f t="shared" si="157"/>
        <v>0</v>
      </c>
      <c r="M689" s="7">
        <f>M690+M695</f>
        <v>0</v>
      </c>
      <c r="N689" s="35">
        <f t="shared" si="158"/>
        <v>0</v>
      </c>
      <c r="O689" s="7">
        <f>O690+O695</f>
        <v>0</v>
      </c>
      <c r="P689" s="35">
        <f t="shared" si="154"/>
        <v>0</v>
      </c>
      <c r="Q689" s="7">
        <f>Q690+Q695</f>
        <v>0</v>
      </c>
      <c r="R689" s="35">
        <f t="shared" si="155"/>
        <v>0</v>
      </c>
      <c r="S689" s="7">
        <f>S690+S695</f>
        <v>0</v>
      </c>
      <c r="T689" s="35">
        <f t="shared" si="159"/>
        <v>0</v>
      </c>
    </row>
    <row r="690" spans="1:20" hidden="1">
      <c r="A690" s="61" t="str">
        <f ca="1">IF(ISERROR(MATCH(C690,Код_Раздел,0)),"",INDIRECT(ADDRESS(MATCH(C690,Код_Раздел,0)+1,2,,,"Раздел")))</f>
        <v>Образование</v>
      </c>
      <c r="B690" s="43" t="s">
        <v>577</v>
      </c>
      <c r="C690" s="8" t="s">
        <v>195</v>
      </c>
      <c r="D690" s="1"/>
      <c r="E690" s="104"/>
      <c r="F690" s="7">
        <f t="shared" ref="F690:S693" si="166">F691</f>
        <v>0</v>
      </c>
      <c r="G690" s="7">
        <f t="shared" si="166"/>
        <v>0</v>
      </c>
      <c r="H690" s="35">
        <f t="shared" si="164"/>
        <v>0</v>
      </c>
      <c r="I690" s="7">
        <f t="shared" si="166"/>
        <v>0</v>
      </c>
      <c r="J690" s="35">
        <f t="shared" si="161"/>
        <v>0</v>
      </c>
      <c r="K690" s="7">
        <f t="shared" si="166"/>
        <v>0</v>
      </c>
      <c r="L690" s="35">
        <f t="shared" si="157"/>
        <v>0</v>
      </c>
      <c r="M690" s="7">
        <f t="shared" si="166"/>
        <v>0</v>
      </c>
      <c r="N690" s="35">
        <f t="shared" si="158"/>
        <v>0</v>
      </c>
      <c r="O690" s="7">
        <f t="shared" si="166"/>
        <v>0</v>
      </c>
      <c r="P690" s="35">
        <f t="shared" si="154"/>
        <v>0</v>
      </c>
      <c r="Q690" s="7">
        <f t="shared" si="166"/>
        <v>0</v>
      </c>
      <c r="R690" s="35">
        <f t="shared" si="155"/>
        <v>0</v>
      </c>
      <c r="S690" s="7">
        <f t="shared" si="166"/>
        <v>0</v>
      </c>
      <c r="T690" s="35">
        <f t="shared" si="159"/>
        <v>0</v>
      </c>
    </row>
    <row r="691" spans="1:20" hidden="1">
      <c r="A691" s="12" t="s">
        <v>199</v>
      </c>
      <c r="B691" s="43" t="s">
        <v>577</v>
      </c>
      <c r="C691" s="8" t="s">
        <v>195</v>
      </c>
      <c r="D691" s="1" t="s">
        <v>195</v>
      </c>
      <c r="E691" s="104"/>
      <c r="F691" s="7">
        <f t="shared" si="166"/>
        <v>0</v>
      </c>
      <c r="G691" s="7">
        <f t="shared" si="166"/>
        <v>0</v>
      </c>
      <c r="H691" s="35">
        <f t="shared" si="164"/>
        <v>0</v>
      </c>
      <c r="I691" s="7">
        <f t="shared" si="166"/>
        <v>0</v>
      </c>
      <c r="J691" s="35">
        <f t="shared" si="161"/>
        <v>0</v>
      </c>
      <c r="K691" s="7">
        <f t="shared" si="166"/>
        <v>0</v>
      </c>
      <c r="L691" s="35">
        <f t="shared" si="157"/>
        <v>0</v>
      </c>
      <c r="M691" s="7">
        <f t="shared" si="166"/>
        <v>0</v>
      </c>
      <c r="N691" s="35">
        <f t="shared" si="158"/>
        <v>0</v>
      </c>
      <c r="O691" s="7">
        <f t="shared" si="166"/>
        <v>0</v>
      </c>
      <c r="P691" s="35">
        <f t="shared" si="154"/>
        <v>0</v>
      </c>
      <c r="Q691" s="7">
        <f t="shared" si="166"/>
        <v>0</v>
      </c>
      <c r="R691" s="35">
        <f t="shared" si="155"/>
        <v>0</v>
      </c>
      <c r="S691" s="7">
        <f t="shared" si="166"/>
        <v>0</v>
      </c>
      <c r="T691" s="35">
        <f t="shared" si="159"/>
        <v>0</v>
      </c>
    </row>
    <row r="692" spans="1:20" ht="33" hidden="1">
      <c r="A692" s="61" t="str">
        <f ca="1">IF(ISERROR(MATCH(E692,Код_КВР,0)),"",INDIRECT(ADDRESS(MATCH(E692,Код_КВР,0)+1,2,,,"КВР")))</f>
        <v>Предоставление субсидий бюджетным, автономным учреждениям и иным некоммерческим организациям</v>
      </c>
      <c r="B692" s="43" t="s">
        <v>577</v>
      </c>
      <c r="C692" s="8" t="s">
        <v>195</v>
      </c>
      <c r="D692" s="1" t="s">
        <v>195</v>
      </c>
      <c r="E692" s="104">
        <v>600</v>
      </c>
      <c r="F692" s="7">
        <f t="shared" si="166"/>
        <v>0</v>
      </c>
      <c r="G692" s="7">
        <f t="shared" si="166"/>
        <v>0</v>
      </c>
      <c r="H692" s="35">
        <f t="shared" si="164"/>
        <v>0</v>
      </c>
      <c r="I692" s="7">
        <f t="shared" si="166"/>
        <v>0</v>
      </c>
      <c r="J692" s="35">
        <f t="shared" si="161"/>
        <v>0</v>
      </c>
      <c r="K692" s="7">
        <f t="shared" si="166"/>
        <v>0</v>
      </c>
      <c r="L692" s="35">
        <f t="shared" si="157"/>
        <v>0</v>
      </c>
      <c r="M692" s="7">
        <f t="shared" si="166"/>
        <v>0</v>
      </c>
      <c r="N692" s="35">
        <f t="shared" si="158"/>
        <v>0</v>
      </c>
      <c r="O692" s="7">
        <f t="shared" si="166"/>
        <v>0</v>
      </c>
      <c r="P692" s="35">
        <f t="shared" si="154"/>
        <v>0</v>
      </c>
      <c r="Q692" s="7">
        <f t="shared" si="166"/>
        <v>0</v>
      </c>
      <c r="R692" s="35">
        <f t="shared" si="155"/>
        <v>0</v>
      </c>
      <c r="S692" s="7">
        <f t="shared" si="166"/>
        <v>0</v>
      </c>
      <c r="T692" s="35">
        <f t="shared" si="159"/>
        <v>0</v>
      </c>
    </row>
    <row r="693" spans="1:20" hidden="1">
      <c r="A693" s="61" t="str">
        <f ca="1">IF(ISERROR(MATCH(E693,Код_КВР,0)),"",INDIRECT(ADDRESS(MATCH(E693,Код_КВР,0)+1,2,,,"КВР")))</f>
        <v>Субсидии бюджетным учреждениям</v>
      </c>
      <c r="B693" s="43" t="s">
        <v>577</v>
      </c>
      <c r="C693" s="8" t="s">
        <v>195</v>
      </c>
      <c r="D693" s="1" t="s">
        <v>195</v>
      </c>
      <c r="E693" s="104">
        <v>610</v>
      </c>
      <c r="F693" s="7">
        <f t="shared" si="166"/>
        <v>0</v>
      </c>
      <c r="G693" s="7">
        <f t="shared" si="166"/>
        <v>0</v>
      </c>
      <c r="H693" s="35">
        <f t="shared" si="164"/>
        <v>0</v>
      </c>
      <c r="I693" s="7">
        <f t="shared" si="166"/>
        <v>0</v>
      </c>
      <c r="J693" s="35">
        <f t="shared" si="161"/>
        <v>0</v>
      </c>
      <c r="K693" s="7">
        <f t="shared" si="166"/>
        <v>0</v>
      </c>
      <c r="L693" s="35">
        <f t="shared" si="157"/>
        <v>0</v>
      </c>
      <c r="M693" s="7">
        <f t="shared" si="166"/>
        <v>0</v>
      </c>
      <c r="N693" s="35">
        <f t="shared" si="158"/>
        <v>0</v>
      </c>
      <c r="O693" s="7">
        <f t="shared" si="166"/>
        <v>0</v>
      </c>
      <c r="P693" s="35">
        <f t="shared" si="154"/>
        <v>0</v>
      </c>
      <c r="Q693" s="7">
        <f t="shared" si="166"/>
        <v>0</v>
      </c>
      <c r="R693" s="35">
        <f t="shared" si="155"/>
        <v>0</v>
      </c>
      <c r="S693" s="7">
        <f t="shared" si="166"/>
        <v>0</v>
      </c>
      <c r="T693" s="35">
        <f t="shared" si="159"/>
        <v>0</v>
      </c>
    </row>
    <row r="694" spans="1:20" hidden="1">
      <c r="A694" s="61" t="str">
        <f ca="1">IF(ISERROR(MATCH(E694,Код_КВР,0)),"",INDIRECT(ADDRESS(MATCH(E694,Код_КВР,0)+1,2,,,"КВР")))</f>
        <v>Субсидии бюджетным учреждениям на иные цели</v>
      </c>
      <c r="B694" s="43" t="s">
        <v>577</v>
      </c>
      <c r="C694" s="8" t="s">
        <v>195</v>
      </c>
      <c r="D694" s="1" t="s">
        <v>195</v>
      </c>
      <c r="E694" s="104">
        <v>612</v>
      </c>
      <c r="F694" s="7">
        <f>прил.6!G326</f>
        <v>0</v>
      </c>
      <c r="G694" s="7">
        <f>прил.6!H326</f>
        <v>0</v>
      </c>
      <c r="H694" s="35">
        <f t="shared" si="164"/>
        <v>0</v>
      </c>
      <c r="I694" s="7">
        <f>прил.6!J326</f>
        <v>0</v>
      </c>
      <c r="J694" s="35">
        <f t="shared" si="161"/>
        <v>0</v>
      </c>
      <c r="K694" s="7">
        <f>прил.6!L326</f>
        <v>0</v>
      </c>
      <c r="L694" s="35">
        <f t="shared" si="157"/>
        <v>0</v>
      </c>
      <c r="M694" s="7">
        <f>прил.6!N326</f>
        <v>0</v>
      </c>
      <c r="N694" s="35">
        <f t="shared" si="158"/>
        <v>0</v>
      </c>
      <c r="O694" s="7">
        <f>прил.6!P326</f>
        <v>0</v>
      </c>
      <c r="P694" s="35">
        <f t="shared" si="154"/>
        <v>0</v>
      </c>
      <c r="Q694" s="7">
        <f>прил.6!R326</f>
        <v>0</v>
      </c>
      <c r="R694" s="35">
        <f t="shared" si="155"/>
        <v>0</v>
      </c>
      <c r="S694" s="7">
        <f>прил.6!T326</f>
        <v>0</v>
      </c>
      <c r="T694" s="35">
        <f t="shared" si="159"/>
        <v>0</v>
      </c>
    </row>
    <row r="695" spans="1:20" hidden="1">
      <c r="A695" s="61" t="str">
        <f ca="1">IF(ISERROR(MATCH(C695,Код_Раздел,0)),"",INDIRECT(ADDRESS(MATCH(C695,Код_Раздел,0)+1,2,,,"Раздел")))</f>
        <v>Культура, кинематография</v>
      </c>
      <c r="B695" s="43" t="s">
        <v>577</v>
      </c>
      <c r="C695" s="8" t="s">
        <v>222</v>
      </c>
      <c r="D695" s="1"/>
      <c r="E695" s="104"/>
      <c r="F695" s="7">
        <f t="shared" ref="F695:S698" si="167">F696</f>
        <v>0</v>
      </c>
      <c r="G695" s="7">
        <f t="shared" si="167"/>
        <v>0</v>
      </c>
      <c r="H695" s="35">
        <f t="shared" si="164"/>
        <v>0</v>
      </c>
      <c r="I695" s="7">
        <f t="shared" si="167"/>
        <v>0</v>
      </c>
      <c r="J695" s="35">
        <f t="shared" si="161"/>
        <v>0</v>
      </c>
      <c r="K695" s="7">
        <f t="shared" si="167"/>
        <v>0</v>
      </c>
      <c r="L695" s="35">
        <f t="shared" si="157"/>
        <v>0</v>
      </c>
      <c r="M695" s="7">
        <f t="shared" si="167"/>
        <v>0</v>
      </c>
      <c r="N695" s="35">
        <f t="shared" si="158"/>
        <v>0</v>
      </c>
      <c r="O695" s="7">
        <f t="shared" si="167"/>
        <v>0</v>
      </c>
      <c r="P695" s="35">
        <f t="shared" si="154"/>
        <v>0</v>
      </c>
      <c r="Q695" s="7">
        <f t="shared" si="167"/>
        <v>0</v>
      </c>
      <c r="R695" s="35">
        <f t="shared" si="155"/>
        <v>0</v>
      </c>
      <c r="S695" s="7">
        <f t="shared" si="167"/>
        <v>0</v>
      </c>
      <c r="T695" s="35">
        <f t="shared" si="159"/>
        <v>0</v>
      </c>
    </row>
    <row r="696" spans="1:20" hidden="1">
      <c r="A696" s="12" t="s">
        <v>163</v>
      </c>
      <c r="B696" s="43" t="s">
        <v>577</v>
      </c>
      <c r="C696" s="8" t="s">
        <v>222</v>
      </c>
      <c r="D696" s="1" t="s">
        <v>216</v>
      </c>
      <c r="E696" s="104"/>
      <c r="F696" s="7">
        <f t="shared" si="167"/>
        <v>0</v>
      </c>
      <c r="G696" s="7">
        <f t="shared" si="167"/>
        <v>0</v>
      </c>
      <c r="H696" s="35">
        <f t="shared" si="164"/>
        <v>0</v>
      </c>
      <c r="I696" s="7">
        <f t="shared" si="167"/>
        <v>0</v>
      </c>
      <c r="J696" s="35">
        <f t="shared" si="161"/>
        <v>0</v>
      </c>
      <c r="K696" s="7">
        <f t="shared" si="167"/>
        <v>0</v>
      </c>
      <c r="L696" s="35">
        <f t="shared" si="157"/>
        <v>0</v>
      </c>
      <c r="M696" s="7">
        <f t="shared" si="167"/>
        <v>0</v>
      </c>
      <c r="N696" s="35">
        <f t="shared" si="158"/>
        <v>0</v>
      </c>
      <c r="O696" s="7">
        <f t="shared" si="167"/>
        <v>0</v>
      </c>
      <c r="P696" s="35">
        <f t="shared" si="154"/>
        <v>0</v>
      </c>
      <c r="Q696" s="7">
        <f t="shared" si="167"/>
        <v>0</v>
      </c>
      <c r="R696" s="35">
        <f t="shared" si="155"/>
        <v>0</v>
      </c>
      <c r="S696" s="7">
        <f t="shared" si="167"/>
        <v>0</v>
      </c>
      <c r="T696" s="35">
        <f t="shared" si="159"/>
        <v>0</v>
      </c>
    </row>
    <row r="697" spans="1:20" hidden="1">
      <c r="A697" s="61" t="str">
        <f ca="1">IF(ISERROR(MATCH(E697,Код_КВР,0)),"",INDIRECT(ADDRESS(MATCH(E697,Код_КВР,0)+1,2,,,"КВР")))</f>
        <v>Закупка товаров, работ и услуг для муниципальных нужд</v>
      </c>
      <c r="B697" s="43" t="s">
        <v>577</v>
      </c>
      <c r="C697" s="8" t="s">
        <v>222</v>
      </c>
      <c r="D697" s="1" t="s">
        <v>216</v>
      </c>
      <c r="E697" s="104">
        <v>200</v>
      </c>
      <c r="F697" s="7">
        <f t="shared" si="167"/>
        <v>0</v>
      </c>
      <c r="G697" s="7">
        <f t="shared" si="167"/>
        <v>0</v>
      </c>
      <c r="H697" s="35">
        <f t="shared" si="164"/>
        <v>0</v>
      </c>
      <c r="I697" s="7">
        <f t="shared" si="167"/>
        <v>0</v>
      </c>
      <c r="J697" s="35">
        <f t="shared" si="161"/>
        <v>0</v>
      </c>
      <c r="K697" s="7">
        <f t="shared" si="167"/>
        <v>0</v>
      </c>
      <c r="L697" s="35">
        <f t="shared" si="157"/>
        <v>0</v>
      </c>
      <c r="M697" s="7">
        <f t="shared" si="167"/>
        <v>0</v>
      </c>
      <c r="N697" s="35">
        <f t="shared" si="158"/>
        <v>0</v>
      </c>
      <c r="O697" s="7">
        <f t="shared" si="167"/>
        <v>0</v>
      </c>
      <c r="P697" s="35">
        <f t="shared" si="154"/>
        <v>0</v>
      </c>
      <c r="Q697" s="7">
        <f t="shared" si="167"/>
        <v>0</v>
      </c>
      <c r="R697" s="35">
        <f t="shared" si="155"/>
        <v>0</v>
      </c>
      <c r="S697" s="7">
        <f t="shared" si="167"/>
        <v>0</v>
      </c>
      <c r="T697" s="35">
        <f t="shared" si="159"/>
        <v>0</v>
      </c>
    </row>
    <row r="698" spans="1:20" ht="33" hidden="1">
      <c r="A698" s="61" t="str">
        <f ca="1">IF(ISERROR(MATCH(E698,Код_КВР,0)),"",INDIRECT(ADDRESS(MATCH(E698,Код_КВР,0)+1,2,,,"КВР")))</f>
        <v>Иные закупки товаров, работ и услуг для обеспечения муниципальных нужд</v>
      </c>
      <c r="B698" s="43" t="s">
        <v>577</v>
      </c>
      <c r="C698" s="8" t="s">
        <v>222</v>
      </c>
      <c r="D698" s="1" t="s">
        <v>216</v>
      </c>
      <c r="E698" s="104">
        <v>240</v>
      </c>
      <c r="F698" s="7">
        <f t="shared" si="167"/>
        <v>0</v>
      </c>
      <c r="G698" s="7">
        <f t="shared" si="167"/>
        <v>0</v>
      </c>
      <c r="H698" s="35">
        <f t="shared" si="164"/>
        <v>0</v>
      </c>
      <c r="I698" s="7">
        <f t="shared" si="167"/>
        <v>0</v>
      </c>
      <c r="J698" s="35">
        <f t="shared" si="161"/>
        <v>0</v>
      </c>
      <c r="K698" s="7">
        <f t="shared" si="167"/>
        <v>0</v>
      </c>
      <c r="L698" s="35">
        <f t="shared" si="157"/>
        <v>0</v>
      </c>
      <c r="M698" s="7">
        <f t="shared" si="167"/>
        <v>0</v>
      </c>
      <c r="N698" s="35">
        <f t="shared" si="158"/>
        <v>0</v>
      </c>
      <c r="O698" s="7">
        <f t="shared" si="167"/>
        <v>0</v>
      </c>
      <c r="P698" s="35">
        <f t="shared" si="154"/>
        <v>0</v>
      </c>
      <c r="Q698" s="7">
        <f t="shared" si="167"/>
        <v>0</v>
      </c>
      <c r="R698" s="35">
        <f t="shared" si="155"/>
        <v>0</v>
      </c>
      <c r="S698" s="7">
        <f t="shared" si="167"/>
        <v>0</v>
      </c>
      <c r="T698" s="35">
        <f t="shared" si="159"/>
        <v>0</v>
      </c>
    </row>
    <row r="699" spans="1:20" ht="33" hidden="1">
      <c r="A699" s="61" t="str">
        <f ca="1">IF(ISERROR(MATCH(E699,Код_КВР,0)),"",INDIRECT(ADDRESS(MATCH(E699,Код_КВР,0)+1,2,,,"КВР")))</f>
        <v xml:space="preserve">Прочая закупка товаров, работ и услуг для обеспечения муниципальных нужд         </v>
      </c>
      <c r="B699" s="43" t="s">
        <v>577</v>
      </c>
      <c r="C699" s="8" t="s">
        <v>222</v>
      </c>
      <c r="D699" s="1" t="s">
        <v>216</v>
      </c>
      <c r="E699" s="104">
        <v>244</v>
      </c>
      <c r="F699" s="7">
        <f>прил.6!G1138</f>
        <v>0</v>
      </c>
      <c r="G699" s="7">
        <f>прил.6!H1138</f>
        <v>0</v>
      </c>
      <c r="H699" s="35">
        <f t="shared" si="164"/>
        <v>0</v>
      </c>
      <c r="I699" s="7">
        <f>прил.6!J1138</f>
        <v>0</v>
      </c>
      <c r="J699" s="35">
        <f t="shared" si="161"/>
        <v>0</v>
      </c>
      <c r="K699" s="7">
        <f>прил.6!L1138</f>
        <v>0</v>
      </c>
      <c r="L699" s="35">
        <f t="shared" si="157"/>
        <v>0</v>
      </c>
      <c r="M699" s="7">
        <f>прил.6!N1138</f>
        <v>0</v>
      </c>
      <c r="N699" s="35">
        <f t="shared" si="158"/>
        <v>0</v>
      </c>
      <c r="O699" s="7">
        <f>прил.6!P1138</f>
        <v>0</v>
      </c>
      <c r="P699" s="35">
        <f t="shared" si="154"/>
        <v>0</v>
      </c>
      <c r="Q699" s="7">
        <f>прил.6!R1138</f>
        <v>0</v>
      </c>
      <c r="R699" s="35">
        <f t="shared" si="155"/>
        <v>0</v>
      </c>
      <c r="S699" s="7">
        <f>прил.6!T1138</f>
        <v>0</v>
      </c>
      <c r="T699" s="35">
        <f t="shared" si="159"/>
        <v>0</v>
      </c>
    </row>
    <row r="700" spans="1:20" hidden="1">
      <c r="A700" s="61" t="str">
        <f ca="1">IF(ISERROR(MATCH(B700,Код_КЦСР,0)),"",INDIRECT(ADDRESS(MATCH(B700,Код_КЦСР,0)+1,2,,,"КЦСР")))</f>
        <v>Здоровье на рабочем месте</v>
      </c>
      <c r="B700" s="43" t="s">
        <v>578</v>
      </c>
      <c r="C700" s="8"/>
      <c r="D700" s="1"/>
      <c r="E700" s="104"/>
      <c r="F700" s="7">
        <f>F701+F706</f>
        <v>0</v>
      </c>
      <c r="G700" s="7">
        <f>G701+G706</f>
        <v>0</v>
      </c>
      <c r="H700" s="35">
        <f t="shared" si="164"/>
        <v>0</v>
      </c>
      <c r="I700" s="7">
        <f>I701+I706</f>
        <v>0</v>
      </c>
      <c r="J700" s="35">
        <f t="shared" si="161"/>
        <v>0</v>
      </c>
      <c r="K700" s="7">
        <f>K701+K706</f>
        <v>0</v>
      </c>
      <c r="L700" s="35">
        <f t="shared" si="157"/>
        <v>0</v>
      </c>
      <c r="M700" s="7">
        <f>M701+M706</f>
        <v>0</v>
      </c>
      <c r="N700" s="35">
        <f t="shared" si="158"/>
        <v>0</v>
      </c>
      <c r="O700" s="7">
        <f>O701+O706</f>
        <v>0</v>
      </c>
      <c r="P700" s="35">
        <f t="shared" si="154"/>
        <v>0</v>
      </c>
      <c r="Q700" s="7">
        <f>Q701+Q706</f>
        <v>0</v>
      </c>
      <c r="R700" s="35">
        <f t="shared" si="155"/>
        <v>0</v>
      </c>
      <c r="S700" s="7">
        <f>S701+S706</f>
        <v>0</v>
      </c>
      <c r="T700" s="35">
        <f t="shared" si="159"/>
        <v>0</v>
      </c>
    </row>
    <row r="701" spans="1:20" hidden="1">
      <c r="A701" s="61" t="str">
        <f ca="1">IF(ISERROR(MATCH(C701,Код_Раздел,0)),"",INDIRECT(ADDRESS(MATCH(C701,Код_Раздел,0)+1,2,,,"Раздел")))</f>
        <v>Национальная безопасность и правоохранительная  деятельность</v>
      </c>
      <c r="B701" s="43" t="s">
        <v>578</v>
      </c>
      <c r="C701" s="8" t="s">
        <v>215</v>
      </c>
      <c r="D701" s="1"/>
      <c r="E701" s="104"/>
      <c r="F701" s="7">
        <f t="shared" ref="F701:S704" si="168">F702</f>
        <v>0</v>
      </c>
      <c r="G701" s="7">
        <f t="shared" si="168"/>
        <v>0</v>
      </c>
      <c r="H701" s="35">
        <f t="shared" si="164"/>
        <v>0</v>
      </c>
      <c r="I701" s="7">
        <f t="shared" si="168"/>
        <v>0</v>
      </c>
      <c r="J701" s="35">
        <f t="shared" si="161"/>
        <v>0</v>
      </c>
      <c r="K701" s="7">
        <f t="shared" si="168"/>
        <v>0</v>
      </c>
      <c r="L701" s="35">
        <f t="shared" si="157"/>
        <v>0</v>
      </c>
      <c r="M701" s="7">
        <f t="shared" si="168"/>
        <v>0</v>
      </c>
      <c r="N701" s="35">
        <f t="shared" si="158"/>
        <v>0</v>
      </c>
      <c r="O701" s="7">
        <f t="shared" si="168"/>
        <v>0</v>
      </c>
      <c r="P701" s="35">
        <f t="shared" si="154"/>
        <v>0</v>
      </c>
      <c r="Q701" s="7">
        <f t="shared" si="168"/>
        <v>0</v>
      </c>
      <c r="R701" s="35">
        <f t="shared" si="155"/>
        <v>0</v>
      </c>
      <c r="S701" s="7">
        <f t="shared" si="168"/>
        <v>0</v>
      </c>
      <c r="T701" s="35">
        <f t="shared" si="159"/>
        <v>0</v>
      </c>
    </row>
    <row r="702" spans="1:20" ht="33" hidden="1">
      <c r="A702" s="12" t="s">
        <v>262</v>
      </c>
      <c r="B702" s="43" t="s">
        <v>578</v>
      </c>
      <c r="C702" s="8" t="s">
        <v>215</v>
      </c>
      <c r="D702" s="1" t="s">
        <v>219</v>
      </c>
      <c r="E702" s="104"/>
      <c r="F702" s="7">
        <f t="shared" si="168"/>
        <v>0</v>
      </c>
      <c r="G702" s="7">
        <f t="shared" si="168"/>
        <v>0</v>
      </c>
      <c r="H702" s="35">
        <f t="shared" si="164"/>
        <v>0</v>
      </c>
      <c r="I702" s="7">
        <f t="shared" si="168"/>
        <v>0</v>
      </c>
      <c r="J702" s="35">
        <f t="shared" si="161"/>
        <v>0</v>
      </c>
      <c r="K702" s="7">
        <f t="shared" si="168"/>
        <v>0</v>
      </c>
      <c r="L702" s="35">
        <f t="shared" si="157"/>
        <v>0</v>
      </c>
      <c r="M702" s="7">
        <f t="shared" si="168"/>
        <v>0</v>
      </c>
      <c r="N702" s="35">
        <f t="shared" si="158"/>
        <v>0</v>
      </c>
      <c r="O702" s="7">
        <f t="shared" si="168"/>
        <v>0</v>
      </c>
      <c r="P702" s="35">
        <f t="shared" si="154"/>
        <v>0</v>
      </c>
      <c r="Q702" s="7">
        <f t="shared" si="168"/>
        <v>0</v>
      </c>
      <c r="R702" s="35">
        <f t="shared" si="155"/>
        <v>0</v>
      </c>
      <c r="S702" s="7">
        <f t="shared" si="168"/>
        <v>0</v>
      </c>
      <c r="T702" s="35">
        <f t="shared" si="159"/>
        <v>0</v>
      </c>
    </row>
    <row r="703" spans="1:20" hidden="1">
      <c r="A703" s="61" t="str">
        <f ca="1">IF(ISERROR(MATCH(E703,Код_КВР,0)),"",INDIRECT(ADDRESS(MATCH(E703,Код_КВР,0)+1,2,,,"КВР")))</f>
        <v>Закупка товаров, работ и услуг для муниципальных нужд</v>
      </c>
      <c r="B703" s="43" t="s">
        <v>578</v>
      </c>
      <c r="C703" s="8" t="s">
        <v>215</v>
      </c>
      <c r="D703" s="1" t="s">
        <v>219</v>
      </c>
      <c r="E703" s="104">
        <v>200</v>
      </c>
      <c r="F703" s="7">
        <f t="shared" si="168"/>
        <v>0</v>
      </c>
      <c r="G703" s="7">
        <f t="shared" si="168"/>
        <v>0</v>
      </c>
      <c r="H703" s="35">
        <f t="shared" si="164"/>
        <v>0</v>
      </c>
      <c r="I703" s="7">
        <f t="shared" si="168"/>
        <v>0</v>
      </c>
      <c r="J703" s="35">
        <f t="shared" si="161"/>
        <v>0</v>
      </c>
      <c r="K703" s="7">
        <f t="shared" si="168"/>
        <v>0</v>
      </c>
      <c r="L703" s="35">
        <f t="shared" si="157"/>
        <v>0</v>
      </c>
      <c r="M703" s="7">
        <f t="shared" si="168"/>
        <v>0</v>
      </c>
      <c r="N703" s="35">
        <f t="shared" si="158"/>
        <v>0</v>
      </c>
      <c r="O703" s="7">
        <f t="shared" si="168"/>
        <v>0</v>
      </c>
      <c r="P703" s="35">
        <f t="shared" si="154"/>
        <v>0</v>
      </c>
      <c r="Q703" s="7">
        <f t="shared" si="168"/>
        <v>0</v>
      </c>
      <c r="R703" s="35">
        <f t="shared" si="155"/>
        <v>0</v>
      </c>
      <c r="S703" s="7">
        <f t="shared" si="168"/>
        <v>0</v>
      </c>
      <c r="T703" s="35">
        <f t="shared" si="159"/>
        <v>0</v>
      </c>
    </row>
    <row r="704" spans="1:20" ht="33" hidden="1">
      <c r="A704" s="61" t="str">
        <f ca="1">IF(ISERROR(MATCH(E704,Код_КВР,0)),"",INDIRECT(ADDRESS(MATCH(E704,Код_КВР,0)+1,2,,,"КВР")))</f>
        <v>Иные закупки товаров, работ и услуг для обеспечения муниципальных нужд</v>
      </c>
      <c r="B704" s="43" t="s">
        <v>578</v>
      </c>
      <c r="C704" s="8" t="s">
        <v>215</v>
      </c>
      <c r="D704" s="1" t="s">
        <v>219</v>
      </c>
      <c r="E704" s="104">
        <v>240</v>
      </c>
      <c r="F704" s="7">
        <f t="shared" si="168"/>
        <v>0</v>
      </c>
      <c r="G704" s="7">
        <f t="shared" si="168"/>
        <v>0</v>
      </c>
      <c r="H704" s="35">
        <f t="shared" si="164"/>
        <v>0</v>
      </c>
      <c r="I704" s="7">
        <f t="shared" si="168"/>
        <v>0</v>
      </c>
      <c r="J704" s="35">
        <f t="shared" si="161"/>
        <v>0</v>
      </c>
      <c r="K704" s="7">
        <f t="shared" si="168"/>
        <v>0</v>
      </c>
      <c r="L704" s="35">
        <f t="shared" si="157"/>
        <v>0</v>
      </c>
      <c r="M704" s="7">
        <f t="shared" si="168"/>
        <v>0</v>
      </c>
      <c r="N704" s="35">
        <f t="shared" si="158"/>
        <v>0</v>
      </c>
      <c r="O704" s="7">
        <f t="shared" si="168"/>
        <v>0</v>
      </c>
      <c r="P704" s="35">
        <f t="shared" si="154"/>
        <v>0</v>
      </c>
      <c r="Q704" s="7">
        <f t="shared" si="168"/>
        <v>0</v>
      </c>
      <c r="R704" s="35">
        <f t="shared" si="155"/>
        <v>0</v>
      </c>
      <c r="S704" s="7">
        <f t="shared" si="168"/>
        <v>0</v>
      </c>
      <c r="T704" s="35">
        <f t="shared" si="159"/>
        <v>0</v>
      </c>
    </row>
    <row r="705" spans="1:20" ht="33" hidden="1">
      <c r="A705" s="61" t="str">
        <f ca="1">IF(ISERROR(MATCH(E705,Код_КВР,0)),"",INDIRECT(ADDRESS(MATCH(E705,Код_КВР,0)+1,2,,,"КВР")))</f>
        <v xml:space="preserve">Прочая закупка товаров, работ и услуг для обеспечения муниципальных нужд         </v>
      </c>
      <c r="B705" s="43" t="s">
        <v>578</v>
      </c>
      <c r="C705" s="8" t="s">
        <v>215</v>
      </c>
      <c r="D705" s="1" t="s">
        <v>219</v>
      </c>
      <c r="E705" s="104">
        <v>244</v>
      </c>
      <c r="F705" s="7">
        <f>прил.6!G185</f>
        <v>0</v>
      </c>
      <c r="G705" s="7">
        <f>прил.6!H185</f>
        <v>0</v>
      </c>
      <c r="H705" s="35">
        <f t="shared" si="164"/>
        <v>0</v>
      </c>
      <c r="I705" s="7">
        <f>прил.6!J185</f>
        <v>0</v>
      </c>
      <c r="J705" s="35">
        <f t="shared" si="161"/>
        <v>0</v>
      </c>
      <c r="K705" s="7">
        <f>прил.6!L185</f>
        <v>0</v>
      </c>
      <c r="L705" s="35">
        <f t="shared" si="157"/>
        <v>0</v>
      </c>
      <c r="M705" s="7">
        <f>прил.6!N185</f>
        <v>0</v>
      </c>
      <c r="N705" s="35">
        <f t="shared" si="158"/>
        <v>0</v>
      </c>
      <c r="O705" s="7">
        <f>прил.6!P185</f>
        <v>0</v>
      </c>
      <c r="P705" s="35">
        <f t="shared" si="154"/>
        <v>0</v>
      </c>
      <c r="Q705" s="7">
        <f>прил.6!R185</f>
        <v>0</v>
      </c>
      <c r="R705" s="35">
        <f t="shared" si="155"/>
        <v>0</v>
      </c>
      <c r="S705" s="7">
        <f>прил.6!T185</f>
        <v>0</v>
      </c>
      <c r="T705" s="35">
        <f t="shared" si="159"/>
        <v>0</v>
      </c>
    </row>
    <row r="706" spans="1:20" hidden="1">
      <c r="A706" s="61" t="str">
        <f ca="1">IF(ISERROR(MATCH(C706,Код_Раздел,0)),"",INDIRECT(ADDRESS(MATCH(C706,Код_Раздел,0)+1,2,,,"Раздел")))</f>
        <v>Социальная политика</v>
      </c>
      <c r="B706" s="43" t="s">
        <v>578</v>
      </c>
      <c r="C706" s="8" t="s">
        <v>188</v>
      </c>
      <c r="D706" s="1"/>
      <c r="E706" s="104"/>
      <c r="F706" s="7">
        <f t="shared" ref="F706:S709" si="169">F707</f>
        <v>0</v>
      </c>
      <c r="G706" s="7">
        <f t="shared" si="169"/>
        <v>0</v>
      </c>
      <c r="H706" s="35">
        <f t="shared" si="164"/>
        <v>0</v>
      </c>
      <c r="I706" s="7">
        <f t="shared" si="169"/>
        <v>0</v>
      </c>
      <c r="J706" s="35">
        <f t="shared" si="161"/>
        <v>0</v>
      </c>
      <c r="K706" s="7">
        <f t="shared" si="169"/>
        <v>0</v>
      </c>
      <c r="L706" s="35">
        <f t="shared" si="157"/>
        <v>0</v>
      </c>
      <c r="M706" s="7">
        <f t="shared" si="169"/>
        <v>0</v>
      </c>
      <c r="N706" s="35">
        <f t="shared" si="158"/>
        <v>0</v>
      </c>
      <c r="O706" s="7">
        <f t="shared" si="169"/>
        <v>0</v>
      </c>
      <c r="P706" s="35">
        <f t="shared" si="154"/>
        <v>0</v>
      </c>
      <c r="Q706" s="7">
        <f t="shared" si="169"/>
        <v>0</v>
      </c>
      <c r="R706" s="35">
        <f t="shared" si="155"/>
        <v>0</v>
      </c>
      <c r="S706" s="7">
        <f t="shared" si="169"/>
        <v>0</v>
      </c>
      <c r="T706" s="35">
        <f t="shared" si="159"/>
        <v>0</v>
      </c>
    </row>
    <row r="707" spans="1:20" hidden="1">
      <c r="A707" s="12" t="s">
        <v>189</v>
      </c>
      <c r="B707" s="43" t="s">
        <v>578</v>
      </c>
      <c r="C707" s="8" t="s">
        <v>188</v>
      </c>
      <c r="D707" s="1" t="s">
        <v>217</v>
      </c>
      <c r="E707" s="104"/>
      <c r="F707" s="7">
        <f t="shared" si="169"/>
        <v>0</v>
      </c>
      <c r="G707" s="7">
        <f t="shared" si="169"/>
        <v>0</v>
      </c>
      <c r="H707" s="35">
        <f t="shared" si="164"/>
        <v>0</v>
      </c>
      <c r="I707" s="7">
        <f t="shared" si="169"/>
        <v>0</v>
      </c>
      <c r="J707" s="35">
        <f t="shared" si="161"/>
        <v>0</v>
      </c>
      <c r="K707" s="7">
        <f t="shared" si="169"/>
        <v>0</v>
      </c>
      <c r="L707" s="35">
        <f t="shared" si="157"/>
        <v>0</v>
      </c>
      <c r="M707" s="7">
        <f t="shared" si="169"/>
        <v>0</v>
      </c>
      <c r="N707" s="35">
        <f t="shared" si="158"/>
        <v>0</v>
      </c>
      <c r="O707" s="7">
        <f t="shared" si="169"/>
        <v>0</v>
      </c>
      <c r="P707" s="35">
        <f t="shared" si="154"/>
        <v>0</v>
      </c>
      <c r="Q707" s="7">
        <f t="shared" si="169"/>
        <v>0</v>
      </c>
      <c r="R707" s="35">
        <f t="shared" si="155"/>
        <v>0</v>
      </c>
      <c r="S707" s="7">
        <f t="shared" si="169"/>
        <v>0</v>
      </c>
      <c r="T707" s="35">
        <f t="shared" si="159"/>
        <v>0</v>
      </c>
    </row>
    <row r="708" spans="1:20" hidden="1">
      <c r="A708" s="61" t="str">
        <f ca="1">IF(ISERROR(MATCH(E708,Код_КВР,0)),"",INDIRECT(ADDRESS(MATCH(E708,Код_КВР,0)+1,2,,,"КВР")))</f>
        <v>Закупка товаров, работ и услуг для муниципальных нужд</v>
      </c>
      <c r="B708" s="43" t="s">
        <v>578</v>
      </c>
      <c r="C708" s="8" t="s">
        <v>188</v>
      </c>
      <c r="D708" s="1" t="s">
        <v>217</v>
      </c>
      <c r="E708" s="104">
        <v>200</v>
      </c>
      <c r="F708" s="7">
        <f t="shared" si="169"/>
        <v>0</v>
      </c>
      <c r="G708" s="7">
        <f t="shared" si="169"/>
        <v>0</v>
      </c>
      <c r="H708" s="35">
        <f t="shared" si="164"/>
        <v>0</v>
      </c>
      <c r="I708" s="7">
        <f t="shared" si="169"/>
        <v>0</v>
      </c>
      <c r="J708" s="35">
        <f t="shared" si="161"/>
        <v>0</v>
      </c>
      <c r="K708" s="7">
        <f t="shared" si="169"/>
        <v>0</v>
      </c>
      <c r="L708" s="35">
        <f t="shared" si="157"/>
        <v>0</v>
      </c>
      <c r="M708" s="7">
        <f t="shared" si="169"/>
        <v>0</v>
      </c>
      <c r="N708" s="35">
        <f t="shared" si="158"/>
        <v>0</v>
      </c>
      <c r="O708" s="7">
        <f t="shared" si="169"/>
        <v>0</v>
      </c>
      <c r="P708" s="35">
        <f t="shared" si="154"/>
        <v>0</v>
      </c>
      <c r="Q708" s="7">
        <f t="shared" si="169"/>
        <v>0</v>
      </c>
      <c r="R708" s="35">
        <f t="shared" si="155"/>
        <v>0</v>
      </c>
      <c r="S708" s="7">
        <f t="shared" si="169"/>
        <v>0</v>
      </c>
      <c r="T708" s="35">
        <f t="shared" si="159"/>
        <v>0</v>
      </c>
    </row>
    <row r="709" spans="1:20" ht="33" hidden="1">
      <c r="A709" s="61" t="str">
        <f ca="1">IF(ISERROR(MATCH(E709,Код_КВР,0)),"",INDIRECT(ADDRESS(MATCH(E709,Код_КВР,0)+1,2,,,"КВР")))</f>
        <v>Иные закупки товаров, работ и услуг для обеспечения муниципальных нужд</v>
      </c>
      <c r="B709" s="43" t="s">
        <v>578</v>
      </c>
      <c r="C709" s="8" t="s">
        <v>188</v>
      </c>
      <c r="D709" s="1" t="s">
        <v>217</v>
      </c>
      <c r="E709" s="104">
        <v>240</v>
      </c>
      <c r="F709" s="7">
        <f t="shared" si="169"/>
        <v>0</v>
      </c>
      <c r="G709" s="7">
        <f t="shared" si="169"/>
        <v>0</v>
      </c>
      <c r="H709" s="35">
        <f t="shared" si="164"/>
        <v>0</v>
      </c>
      <c r="I709" s="7">
        <f t="shared" si="169"/>
        <v>0</v>
      </c>
      <c r="J709" s="35">
        <f t="shared" si="161"/>
        <v>0</v>
      </c>
      <c r="K709" s="7">
        <f t="shared" si="169"/>
        <v>0</v>
      </c>
      <c r="L709" s="35">
        <f t="shared" si="157"/>
        <v>0</v>
      </c>
      <c r="M709" s="7">
        <f t="shared" si="169"/>
        <v>0</v>
      </c>
      <c r="N709" s="35">
        <f t="shared" si="158"/>
        <v>0</v>
      </c>
      <c r="O709" s="7">
        <f t="shared" si="169"/>
        <v>0</v>
      </c>
      <c r="P709" s="35">
        <f t="shared" si="154"/>
        <v>0</v>
      </c>
      <c r="Q709" s="7">
        <f t="shared" si="169"/>
        <v>0</v>
      </c>
      <c r="R709" s="35">
        <f t="shared" si="155"/>
        <v>0</v>
      </c>
      <c r="S709" s="7">
        <f t="shared" si="169"/>
        <v>0</v>
      </c>
      <c r="T709" s="35">
        <f t="shared" si="159"/>
        <v>0</v>
      </c>
    </row>
    <row r="710" spans="1:20" ht="39" hidden="1" customHeight="1">
      <c r="A710" s="61" t="str">
        <f ca="1">IF(ISERROR(MATCH(E710,Код_КВР,0)),"",INDIRECT(ADDRESS(MATCH(E710,Код_КВР,0)+1,2,,,"КВР")))</f>
        <v xml:space="preserve">Прочая закупка товаров, работ и услуг для обеспечения муниципальных нужд         </v>
      </c>
      <c r="B710" s="43" t="s">
        <v>578</v>
      </c>
      <c r="C710" s="8" t="s">
        <v>188</v>
      </c>
      <c r="D710" s="1" t="s">
        <v>217</v>
      </c>
      <c r="E710" s="104">
        <v>244</v>
      </c>
      <c r="F710" s="7">
        <f>прил.6!G1412</f>
        <v>0</v>
      </c>
      <c r="G710" s="7">
        <f>прил.6!H1412</f>
        <v>0</v>
      </c>
      <c r="H710" s="35">
        <f t="shared" si="164"/>
        <v>0</v>
      </c>
      <c r="I710" s="7">
        <f>прил.6!J1412</f>
        <v>0</v>
      </c>
      <c r="J710" s="35">
        <f t="shared" si="161"/>
        <v>0</v>
      </c>
      <c r="K710" s="7">
        <f>прил.6!L1412</f>
        <v>0</v>
      </c>
      <c r="L710" s="35">
        <f t="shared" si="157"/>
        <v>0</v>
      </c>
      <c r="M710" s="7">
        <f>прил.6!N1412</f>
        <v>0</v>
      </c>
      <c r="N710" s="35">
        <f t="shared" si="158"/>
        <v>0</v>
      </c>
      <c r="O710" s="7">
        <f>прил.6!P1412</f>
        <v>0</v>
      </c>
      <c r="P710" s="35">
        <f t="shared" si="154"/>
        <v>0</v>
      </c>
      <c r="Q710" s="7">
        <f>прил.6!R1412</f>
        <v>0</v>
      </c>
      <c r="R710" s="35">
        <f t="shared" si="155"/>
        <v>0</v>
      </c>
      <c r="S710" s="7">
        <f>прил.6!T1412</f>
        <v>0</v>
      </c>
      <c r="T710" s="35">
        <f t="shared" si="159"/>
        <v>0</v>
      </c>
    </row>
    <row r="711" spans="1:20">
      <c r="A711" s="61" t="str">
        <f ca="1">IF(ISERROR(MATCH(C711,Код_Раздел,0)),"",INDIRECT(ADDRESS(MATCH(C711,Код_Раздел,0)+1,2,,,"Раздел")))</f>
        <v>Социальная политика</v>
      </c>
      <c r="B711" s="43" t="s">
        <v>575</v>
      </c>
      <c r="C711" s="8" t="s">
        <v>188</v>
      </c>
      <c r="D711" s="1"/>
      <c r="E711" s="141"/>
      <c r="F711" s="7"/>
      <c r="G711" s="7"/>
      <c r="H711" s="35"/>
      <c r="I711" s="7"/>
      <c r="J711" s="35"/>
      <c r="K711" s="7"/>
      <c r="L711" s="35"/>
      <c r="M711" s="7"/>
      <c r="N711" s="35"/>
      <c r="O711" s="7"/>
      <c r="P711" s="35"/>
      <c r="Q711" s="7"/>
      <c r="R711" s="35"/>
      <c r="S711" s="7">
        <f t="shared" ref="S711:S714" si="170">S712</f>
        <v>50</v>
      </c>
      <c r="T711" s="35">
        <f t="shared" si="159"/>
        <v>50</v>
      </c>
    </row>
    <row r="712" spans="1:20">
      <c r="A712" s="12" t="s">
        <v>189</v>
      </c>
      <c r="B712" s="43" t="s">
        <v>575</v>
      </c>
      <c r="C712" s="8" t="s">
        <v>188</v>
      </c>
      <c r="D712" s="1" t="s">
        <v>217</v>
      </c>
      <c r="E712" s="141"/>
      <c r="F712" s="7"/>
      <c r="G712" s="7"/>
      <c r="H712" s="35"/>
      <c r="I712" s="7"/>
      <c r="J712" s="35"/>
      <c r="K712" s="7"/>
      <c r="L712" s="35"/>
      <c r="M712" s="7"/>
      <c r="N712" s="35"/>
      <c r="O712" s="7"/>
      <c r="P712" s="35"/>
      <c r="Q712" s="7"/>
      <c r="R712" s="35"/>
      <c r="S712" s="7">
        <f t="shared" si="170"/>
        <v>50</v>
      </c>
      <c r="T712" s="35">
        <f t="shared" si="159"/>
        <v>50</v>
      </c>
    </row>
    <row r="713" spans="1:20">
      <c r="A713" s="61" t="str">
        <f ca="1">IF(ISERROR(MATCH(E713,Код_КВР,0)),"",INDIRECT(ADDRESS(MATCH(E713,Код_КВР,0)+1,2,,,"КВР")))</f>
        <v>Закупка товаров, работ и услуг для муниципальных нужд</v>
      </c>
      <c r="B713" s="43" t="s">
        <v>575</v>
      </c>
      <c r="C713" s="8" t="s">
        <v>188</v>
      </c>
      <c r="D713" s="1" t="s">
        <v>217</v>
      </c>
      <c r="E713" s="141">
        <v>200</v>
      </c>
      <c r="F713" s="7"/>
      <c r="G713" s="7"/>
      <c r="H713" s="35"/>
      <c r="I713" s="7"/>
      <c r="J713" s="35"/>
      <c r="K713" s="7"/>
      <c r="L713" s="35"/>
      <c r="M713" s="7"/>
      <c r="N713" s="35"/>
      <c r="O713" s="7"/>
      <c r="P713" s="35"/>
      <c r="Q713" s="7"/>
      <c r="R713" s="35"/>
      <c r="S713" s="7">
        <f t="shared" si="170"/>
        <v>50</v>
      </c>
      <c r="T713" s="35">
        <f t="shared" si="159"/>
        <v>50</v>
      </c>
    </row>
    <row r="714" spans="1:20" ht="33">
      <c r="A714" s="61" t="str">
        <f ca="1">IF(ISERROR(MATCH(E714,Код_КВР,0)),"",INDIRECT(ADDRESS(MATCH(E714,Код_КВР,0)+1,2,,,"КВР")))</f>
        <v>Иные закупки товаров, работ и услуг для обеспечения муниципальных нужд</v>
      </c>
      <c r="B714" s="43" t="s">
        <v>575</v>
      </c>
      <c r="C714" s="8" t="s">
        <v>188</v>
      </c>
      <c r="D714" s="1" t="s">
        <v>217</v>
      </c>
      <c r="E714" s="141">
        <v>240</v>
      </c>
      <c r="F714" s="7"/>
      <c r="G714" s="7"/>
      <c r="H714" s="35"/>
      <c r="I714" s="7"/>
      <c r="J714" s="35"/>
      <c r="K714" s="7"/>
      <c r="L714" s="35"/>
      <c r="M714" s="7"/>
      <c r="N714" s="35"/>
      <c r="O714" s="7"/>
      <c r="P714" s="35"/>
      <c r="Q714" s="7"/>
      <c r="R714" s="35"/>
      <c r="S714" s="7">
        <f t="shared" si="170"/>
        <v>50</v>
      </c>
      <c r="T714" s="35">
        <f t="shared" si="159"/>
        <v>50</v>
      </c>
    </row>
    <row r="715" spans="1:20" ht="33">
      <c r="A715" s="61" t="str">
        <f ca="1">IF(ISERROR(MATCH(E715,Код_КВР,0)),"",INDIRECT(ADDRESS(MATCH(E715,Код_КВР,0)+1,2,,,"КВР")))</f>
        <v xml:space="preserve">Прочая закупка товаров, работ и услуг для обеспечения муниципальных нужд         </v>
      </c>
      <c r="B715" s="43" t="s">
        <v>575</v>
      </c>
      <c r="C715" s="8" t="s">
        <v>188</v>
      </c>
      <c r="D715" s="1" t="s">
        <v>217</v>
      </c>
      <c r="E715" s="141">
        <v>244</v>
      </c>
      <c r="F715" s="7"/>
      <c r="G715" s="7"/>
      <c r="H715" s="35"/>
      <c r="I715" s="7"/>
      <c r="J715" s="35"/>
      <c r="K715" s="7"/>
      <c r="L715" s="35"/>
      <c r="M715" s="7"/>
      <c r="N715" s="35"/>
      <c r="O715" s="7"/>
      <c r="P715" s="35"/>
      <c r="Q715" s="7"/>
      <c r="R715" s="35"/>
      <c r="S715" s="7">
        <v>50</v>
      </c>
      <c r="T715" s="35">
        <f t="shared" si="159"/>
        <v>50</v>
      </c>
    </row>
    <row r="716" spans="1:20" hidden="1">
      <c r="A716" s="61" t="str">
        <f ca="1">IF(ISERROR(MATCH(B716,Код_КЦСР,0)),"",INDIRECT(ADDRESS(MATCH(B716,Код_КЦСР,0)+1,2,,,"КЦСР")))</f>
        <v>Активное долголетие</v>
      </c>
      <c r="B716" s="43" t="s">
        <v>580</v>
      </c>
      <c r="C716" s="8"/>
      <c r="D716" s="1"/>
      <c r="E716" s="104"/>
      <c r="F716" s="7">
        <f>F717+F722</f>
        <v>50</v>
      </c>
      <c r="G716" s="7">
        <f>G717+G722</f>
        <v>0</v>
      </c>
      <c r="H716" s="35">
        <f t="shared" si="164"/>
        <v>50</v>
      </c>
      <c r="I716" s="7">
        <f>I717+I722</f>
        <v>0</v>
      </c>
      <c r="J716" s="35">
        <f t="shared" si="161"/>
        <v>50</v>
      </c>
      <c r="K716" s="7">
        <f>K717+K722</f>
        <v>0</v>
      </c>
      <c r="L716" s="35">
        <f t="shared" si="157"/>
        <v>50</v>
      </c>
      <c r="M716" s="7">
        <f>M717+M722</f>
        <v>0</v>
      </c>
      <c r="N716" s="35">
        <f t="shared" si="158"/>
        <v>50</v>
      </c>
      <c r="O716" s="7">
        <f>O717+O722</f>
        <v>0</v>
      </c>
      <c r="P716" s="35">
        <f t="shared" si="154"/>
        <v>50</v>
      </c>
      <c r="Q716" s="7">
        <f>Q717+Q722</f>
        <v>0</v>
      </c>
      <c r="R716" s="35">
        <f t="shared" si="155"/>
        <v>50</v>
      </c>
      <c r="S716" s="7">
        <f>S717+S722</f>
        <v>-50</v>
      </c>
      <c r="T716" s="35">
        <f t="shared" si="159"/>
        <v>0</v>
      </c>
    </row>
    <row r="717" spans="1:20" hidden="1">
      <c r="A717" s="61" t="str">
        <f ca="1">IF(ISERROR(MATCH(C717,Код_Раздел,0)),"",INDIRECT(ADDRESS(MATCH(C717,Код_Раздел,0)+1,2,,,"Раздел")))</f>
        <v>Культура, кинематография</v>
      </c>
      <c r="B717" s="43" t="s">
        <v>580</v>
      </c>
      <c r="C717" s="8" t="s">
        <v>222</v>
      </c>
      <c r="D717" s="1"/>
      <c r="E717" s="104"/>
      <c r="F717" s="7">
        <f t="shared" ref="F717:S720" si="171">F718</f>
        <v>0</v>
      </c>
      <c r="G717" s="7">
        <f t="shared" si="171"/>
        <v>0</v>
      </c>
      <c r="H717" s="35">
        <f t="shared" si="164"/>
        <v>0</v>
      </c>
      <c r="I717" s="7">
        <f t="shared" si="171"/>
        <v>0</v>
      </c>
      <c r="J717" s="35">
        <f t="shared" si="161"/>
        <v>0</v>
      </c>
      <c r="K717" s="7">
        <f t="shared" si="171"/>
        <v>0</v>
      </c>
      <c r="L717" s="35">
        <f t="shared" si="157"/>
        <v>0</v>
      </c>
      <c r="M717" s="7">
        <f t="shared" si="171"/>
        <v>0</v>
      </c>
      <c r="N717" s="35">
        <f t="shared" si="158"/>
        <v>0</v>
      </c>
      <c r="O717" s="7">
        <f t="shared" si="171"/>
        <v>0</v>
      </c>
      <c r="P717" s="35">
        <f t="shared" si="154"/>
        <v>0</v>
      </c>
      <c r="Q717" s="7">
        <f t="shared" si="171"/>
        <v>0</v>
      </c>
      <c r="R717" s="35">
        <f t="shared" si="155"/>
        <v>0</v>
      </c>
      <c r="S717" s="7">
        <f t="shared" si="171"/>
        <v>0</v>
      </c>
      <c r="T717" s="35">
        <f t="shared" si="159"/>
        <v>0</v>
      </c>
    </row>
    <row r="718" spans="1:20" hidden="1">
      <c r="A718" s="12" t="s">
        <v>163</v>
      </c>
      <c r="B718" s="43" t="s">
        <v>580</v>
      </c>
      <c r="C718" s="8" t="s">
        <v>222</v>
      </c>
      <c r="D718" s="1" t="s">
        <v>216</v>
      </c>
      <c r="E718" s="104"/>
      <c r="F718" s="7">
        <f t="shared" si="171"/>
        <v>0</v>
      </c>
      <c r="G718" s="7">
        <f t="shared" si="171"/>
        <v>0</v>
      </c>
      <c r="H718" s="35">
        <f t="shared" si="164"/>
        <v>0</v>
      </c>
      <c r="I718" s="7">
        <f t="shared" si="171"/>
        <v>0</v>
      </c>
      <c r="J718" s="35">
        <f t="shared" si="161"/>
        <v>0</v>
      </c>
      <c r="K718" s="7">
        <f t="shared" si="171"/>
        <v>0</v>
      </c>
      <c r="L718" s="35">
        <f t="shared" si="157"/>
        <v>0</v>
      </c>
      <c r="M718" s="7">
        <f t="shared" si="171"/>
        <v>0</v>
      </c>
      <c r="N718" s="35">
        <f t="shared" si="158"/>
        <v>0</v>
      </c>
      <c r="O718" s="7">
        <f t="shared" si="171"/>
        <v>0</v>
      </c>
      <c r="P718" s="35">
        <f t="shared" si="154"/>
        <v>0</v>
      </c>
      <c r="Q718" s="7">
        <f t="shared" si="171"/>
        <v>0</v>
      </c>
      <c r="R718" s="35">
        <f t="shared" si="155"/>
        <v>0</v>
      </c>
      <c r="S718" s="7">
        <f t="shared" si="171"/>
        <v>0</v>
      </c>
      <c r="T718" s="35">
        <f t="shared" si="159"/>
        <v>0</v>
      </c>
    </row>
    <row r="719" spans="1:20" hidden="1">
      <c r="A719" s="61" t="str">
        <f ca="1">IF(ISERROR(MATCH(E719,Код_КВР,0)),"",INDIRECT(ADDRESS(MATCH(E719,Код_КВР,0)+1,2,,,"КВР")))</f>
        <v>Закупка товаров, работ и услуг для муниципальных нужд</v>
      </c>
      <c r="B719" s="43" t="s">
        <v>580</v>
      </c>
      <c r="C719" s="8" t="s">
        <v>222</v>
      </c>
      <c r="D719" s="1" t="s">
        <v>216</v>
      </c>
      <c r="E719" s="104">
        <v>200</v>
      </c>
      <c r="F719" s="7">
        <f t="shared" si="171"/>
        <v>0</v>
      </c>
      <c r="G719" s="7">
        <f t="shared" si="171"/>
        <v>0</v>
      </c>
      <c r="H719" s="35">
        <f t="shared" si="164"/>
        <v>0</v>
      </c>
      <c r="I719" s="7">
        <f t="shared" si="171"/>
        <v>0</v>
      </c>
      <c r="J719" s="35">
        <f t="shared" si="161"/>
        <v>0</v>
      </c>
      <c r="K719" s="7">
        <f t="shared" si="171"/>
        <v>0</v>
      </c>
      <c r="L719" s="35">
        <f t="shared" si="157"/>
        <v>0</v>
      </c>
      <c r="M719" s="7">
        <f t="shared" si="171"/>
        <v>0</v>
      </c>
      <c r="N719" s="35">
        <f t="shared" si="158"/>
        <v>0</v>
      </c>
      <c r="O719" s="7">
        <f t="shared" si="171"/>
        <v>0</v>
      </c>
      <c r="P719" s="35">
        <f t="shared" si="154"/>
        <v>0</v>
      </c>
      <c r="Q719" s="7">
        <f t="shared" si="171"/>
        <v>0</v>
      </c>
      <c r="R719" s="35">
        <f t="shared" si="155"/>
        <v>0</v>
      </c>
      <c r="S719" s="7">
        <f t="shared" si="171"/>
        <v>0</v>
      </c>
      <c r="T719" s="35">
        <f t="shared" si="159"/>
        <v>0</v>
      </c>
    </row>
    <row r="720" spans="1:20" ht="33" hidden="1">
      <c r="A720" s="61" t="str">
        <f ca="1">IF(ISERROR(MATCH(E720,Код_КВР,0)),"",INDIRECT(ADDRESS(MATCH(E720,Код_КВР,0)+1,2,,,"КВР")))</f>
        <v>Иные закупки товаров, работ и услуг для обеспечения муниципальных нужд</v>
      </c>
      <c r="B720" s="43" t="s">
        <v>580</v>
      </c>
      <c r="C720" s="8" t="s">
        <v>222</v>
      </c>
      <c r="D720" s="1" t="s">
        <v>216</v>
      </c>
      <c r="E720" s="104">
        <v>240</v>
      </c>
      <c r="F720" s="7">
        <f t="shared" si="171"/>
        <v>0</v>
      </c>
      <c r="G720" s="7">
        <f t="shared" si="171"/>
        <v>0</v>
      </c>
      <c r="H720" s="35">
        <f t="shared" si="164"/>
        <v>0</v>
      </c>
      <c r="I720" s="7">
        <f t="shared" si="171"/>
        <v>0</v>
      </c>
      <c r="J720" s="35">
        <f t="shared" si="161"/>
        <v>0</v>
      </c>
      <c r="K720" s="7">
        <f t="shared" si="171"/>
        <v>0</v>
      </c>
      <c r="L720" s="35">
        <f t="shared" si="157"/>
        <v>0</v>
      </c>
      <c r="M720" s="7">
        <f t="shared" si="171"/>
        <v>0</v>
      </c>
      <c r="N720" s="35">
        <f t="shared" si="158"/>
        <v>0</v>
      </c>
      <c r="O720" s="7">
        <f t="shared" si="171"/>
        <v>0</v>
      </c>
      <c r="P720" s="35">
        <f t="shared" si="154"/>
        <v>0</v>
      </c>
      <c r="Q720" s="7">
        <f t="shared" si="171"/>
        <v>0</v>
      </c>
      <c r="R720" s="35">
        <f t="shared" si="155"/>
        <v>0</v>
      </c>
      <c r="S720" s="7">
        <f t="shared" si="171"/>
        <v>0</v>
      </c>
      <c r="T720" s="35">
        <f t="shared" si="159"/>
        <v>0</v>
      </c>
    </row>
    <row r="721" spans="1:20" ht="33" hidden="1">
      <c r="A721" s="61" t="str">
        <f ca="1">IF(ISERROR(MATCH(E721,Код_КВР,0)),"",INDIRECT(ADDRESS(MATCH(E721,Код_КВР,0)+1,2,,,"КВР")))</f>
        <v xml:space="preserve">Прочая закупка товаров, работ и услуг для обеспечения муниципальных нужд         </v>
      </c>
      <c r="B721" s="43" t="s">
        <v>580</v>
      </c>
      <c r="C721" s="8" t="s">
        <v>222</v>
      </c>
      <c r="D721" s="1" t="s">
        <v>216</v>
      </c>
      <c r="E721" s="104">
        <v>244</v>
      </c>
      <c r="F721" s="7">
        <f>прил.6!G1142</f>
        <v>0</v>
      </c>
      <c r="G721" s="7">
        <f>прил.6!H1142</f>
        <v>0</v>
      </c>
      <c r="H721" s="35">
        <f t="shared" si="164"/>
        <v>0</v>
      </c>
      <c r="I721" s="7">
        <f>прил.6!J1142</f>
        <v>0</v>
      </c>
      <c r="J721" s="35">
        <f t="shared" si="161"/>
        <v>0</v>
      </c>
      <c r="K721" s="7">
        <f>прил.6!L1142</f>
        <v>0</v>
      </c>
      <c r="L721" s="35">
        <f t="shared" si="157"/>
        <v>0</v>
      </c>
      <c r="M721" s="7">
        <f>прил.6!N1142</f>
        <v>0</v>
      </c>
      <c r="N721" s="35">
        <f t="shared" si="158"/>
        <v>0</v>
      </c>
      <c r="O721" s="7">
        <f>прил.6!P1142</f>
        <v>0</v>
      </c>
      <c r="P721" s="35">
        <f t="shared" si="154"/>
        <v>0</v>
      </c>
      <c r="Q721" s="7">
        <f>прил.6!R1142</f>
        <v>0</v>
      </c>
      <c r="R721" s="35">
        <f t="shared" si="155"/>
        <v>0</v>
      </c>
      <c r="S721" s="7">
        <f>прил.6!T1142</f>
        <v>0</v>
      </c>
      <c r="T721" s="35">
        <f t="shared" si="159"/>
        <v>0</v>
      </c>
    </row>
    <row r="722" spans="1:20" hidden="1">
      <c r="A722" s="61" t="str">
        <f ca="1">IF(ISERROR(MATCH(C722,Код_Раздел,0)),"",INDIRECT(ADDRESS(MATCH(C722,Код_Раздел,0)+1,2,,,"Раздел")))</f>
        <v>Социальная политика</v>
      </c>
      <c r="B722" s="43" t="s">
        <v>580</v>
      </c>
      <c r="C722" s="8" t="s">
        <v>188</v>
      </c>
      <c r="D722" s="1"/>
      <c r="E722" s="104"/>
      <c r="F722" s="7">
        <f t="shared" ref="F722:S725" si="172">F723</f>
        <v>50</v>
      </c>
      <c r="G722" s="7">
        <f t="shared" si="172"/>
        <v>0</v>
      </c>
      <c r="H722" s="35">
        <f t="shared" si="164"/>
        <v>50</v>
      </c>
      <c r="I722" s="7">
        <f t="shared" si="172"/>
        <v>0</v>
      </c>
      <c r="J722" s="35">
        <f t="shared" si="161"/>
        <v>50</v>
      </c>
      <c r="K722" s="7">
        <f t="shared" si="172"/>
        <v>0</v>
      </c>
      <c r="L722" s="35">
        <f t="shared" si="157"/>
        <v>50</v>
      </c>
      <c r="M722" s="7">
        <f t="shared" si="172"/>
        <v>0</v>
      </c>
      <c r="N722" s="35">
        <f t="shared" si="158"/>
        <v>50</v>
      </c>
      <c r="O722" s="7">
        <f t="shared" si="172"/>
        <v>0</v>
      </c>
      <c r="P722" s="35">
        <f t="shared" si="154"/>
        <v>50</v>
      </c>
      <c r="Q722" s="7">
        <f t="shared" si="172"/>
        <v>0</v>
      </c>
      <c r="R722" s="35">
        <f t="shared" si="155"/>
        <v>50</v>
      </c>
      <c r="S722" s="7">
        <f t="shared" si="172"/>
        <v>-50</v>
      </c>
      <c r="T722" s="35">
        <f t="shared" si="159"/>
        <v>0</v>
      </c>
    </row>
    <row r="723" spans="1:20" hidden="1">
      <c r="A723" s="12" t="s">
        <v>189</v>
      </c>
      <c r="B723" s="43" t="s">
        <v>580</v>
      </c>
      <c r="C723" s="8" t="s">
        <v>188</v>
      </c>
      <c r="D723" s="1" t="s">
        <v>217</v>
      </c>
      <c r="E723" s="104"/>
      <c r="F723" s="7">
        <f t="shared" si="172"/>
        <v>50</v>
      </c>
      <c r="G723" s="7">
        <f t="shared" si="172"/>
        <v>0</v>
      </c>
      <c r="H723" s="35">
        <f t="shared" si="164"/>
        <v>50</v>
      </c>
      <c r="I723" s="7">
        <f t="shared" si="172"/>
        <v>0</v>
      </c>
      <c r="J723" s="35">
        <f t="shared" si="161"/>
        <v>50</v>
      </c>
      <c r="K723" s="7">
        <f t="shared" si="172"/>
        <v>0</v>
      </c>
      <c r="L723" s="35">
        <f t="shared" si="157"/>
        <v>50</v>
      </c>
      <c r="M723" s="7">
        <f t="shared" si="172"/>
        <v>0</v>
      </c>
      <c r="N723" s="35">
        <f t="shared" si="158"/>
        <v>50</v>
      </c>
      <c r="O723" s="7">
        <f t="shared" si="172"/>
        <v>0</v>
      </c>
      <c r="P723" s="35">
        <f t="shared" si="154"/>
        <v>50</v>
      </c>
      <c r="Q723" s="7">
        <f t="shared" si="172"/>
        <v>0</v>
      </c>
      <c r="R723" s="35">
        <f t="shared" si="155"/>
        <v>50</v>
      </c>
      <c r="S723" s="7">
        <f t="shared" si="172"/>
        <v>-50</v>
      </c>
      <c r="T723" s="35">
        <f t="shared" si="159"/>
        <v>0</v>
      </c>
    </row>
    <row r="724" spans="1:20" ht="20.25" hidden="1" customHeight="1">
      <c r="A724" s="61" t="str">
        <f ca="1">IF(ISERROR(MATCH(E724,Код_КВР,0)),"",INDIRECT(ADDRESS(MATCH(E724,Код_КВР,0)+1,2,,,"КВР")))</f>
        <v>Закупка товаров, работ и услуг для муниципальных нужд</v>
      </c>
      <c r="B724" s="43" t="s">
        <v>580</v>
      </c>
      <c r="C724" s="8" t="s">
        <v>188</v>
      </c>
      <c r="D724" s="1" t="s">
        <v>217</v>
      </c>
      <c r="E724" s="104">
        <v>200</v>
      </c>
      <c r="F724" s="7">
        <f t="shared" si="172"/>
        <v>50</v>
      </c>
      <c r="G724" s="7">
        <f t="shared" si="172"/>
        <v>0</v>
      </c>
      <c r="H724" s="35">
        <f t="shared" si="164"/>
        <v>50</v>
      </c>
      <c r="I724" s="7">
        <f t="shared" si="172"/>
        <v>0</v>
      </c>
      <c r="J724" s="35">
        <f t="shared" si="161"/>
        <v>50</v>
      </c>
      <c r="K724" s="7">
        <f t="shared" si="172"/>
        <v>0</v>
      </c>
      <c r="L724" s="35">
        <f t="shared" si="157"/>
        <v>50</v>
      </c>
      <c r="M724" s="7">
        <f t="shared" si="172"/>
        <v>0</v>
      </c>
      <c r="N724" s="35">
        <f t="shared" si="158"/>
        <v>50</v>
      </c>
      <c r="O724" s="7">
        <f t="shared" si="172"/>
        <v>0</v>
      </c>
      <c r="P724" s="35">
        <f t="shared" si="154"/>
        <v>50</v>
      </c>
      <c r="Q724" s="7">
        <f t="shared" si="172"/>
        <v>0</v>
      </c>
      <c r="R724" s="35">
        <f t="shared" si="155"/>
        <v>50</v>
      </c>
      <c r="S724" s="7">
        <f t="shared" si="172"/>
        <v>-50</v>
      </c>
      <c r="T724" s="35">
        <f t="shared" si="159"/>
        <v>0</v>
      </c>
    </row>
    <row r="725" spans="1:20" ht="33.75" hidden="1" customHeight="1">
      <c r="A725" s="61" t="str">
        <f ca="1">IF(ISERROR(MATCH(E725,Код_КВР,0)),"",INDIRECT(ADDRESS(MATCH(E725,Код_КВР,0)+1,2,,,"КВР")))</f>
        <v>Иные закупки товаров, работ и услуг для обеспечения муниципальных нужд</v>
      </c>
      <c r="B725" s="43" t="s">
        <v>580</v>
      </c>
      <c r="C725" s="8" t="s">
        <v>188</v>
      </c>
      <c r="D725" s="1" t="s">
        <v>217</v>
      </c>
      <c r="E725" s="104">
        <v>240</v>
      </c>
      <c r="F725" s="7">
        <f t="shared" si="172"/>
        <v>50</v>
      </c>
      <c r="G725" s="7">
        <f t="shared" si="172"/>
        <v>0</v>
      </c>
      <c r="H725" s="35">
        <f t="shared" si="164"/>
        <v>50</v>
      </c>
      <c r="I725" s="7">
        <f t="shared" si="172"/>
        <v>0</v>
      </c>
      <c r="J725" s="35">
        <f t="shared" si="161"/>
        <v>50</v>
      </c>
      <c r="K725" s="7">
        <f t="shared" si="172"/>
        <v>0</v>
      </c>
      <c r="L725" s="35">
        <f t="shared" si="157"/>
        <v>50</v>
      </c>
      <c r="M725" s="7">
        <f t="shared" si="172"/>
        <v>0</v>
      </c>
      <c r="N725" s="35">
        <f t="shared" si="158"/>
        <v>50</v>
      </c>
      <c r="O725" s="7">
        <f t="shared" si="172"/>
        <v>0</v>
      </c>
      <c r="P725" s="35">
        <f t="shared" si="154"/>
        <v>50</v>
      </c>
      <c r="Q725" s="7">
        <f t="shared" si="172"/>
        <v>0</v>
      </c>
      <c r="R725" s="35">
        <f t="shared" si="155"/>
        <v>50</v>
      </c>
      <c r="S725" s="7">
        <f t="shared" si="172"/>
        <v>-50</v>
      </c>
      <c r="T725" s="35">
        <f t="shared" si="159"/>
        <v>0</v>
      </c>
    </row>
    <row r="726" spans="1:20" ht="36" hidden="1" customHeight="1">
      <c r="A726" s="61" t="str">
        <f ca="1">IF(ISERROR(MATCH(E726,Код_КВР,0)),"",INDIRECT(ADDRESS(MATCH(E726,Код_КВР,0)+1,2,,,"КВР")))</f>
        <v xml:space="preserve">Прочая закупка товаров, работ и услуг для обеспечения муниципальных нужд         </v>
      </c>
      <c r="B726" s="43" t="s">
        <v>580</v>
      </c>
      <c r="C726" s="8" t="s">
        <v>188</v>
      </c>
      <c r="D726" s="1" t="s">
        <v>217</v>
      </c>
      <c r="E726" s="104">
        <v>244</v>
      </c>
      <c r="F726" s="7">
        <f>прил.6!G1420</f>
        <v>50</v>
      </c>
      <c r="G726" s="7">
        <f>прил.6!H1420</f>
        <v>0</v>
      </c>
      <c r="H726" s="35">
        <f t="shared" si="164"/>
        <v>50</v>
      </c>
      <c r="I726" s="7">
        <f>прил.6!J1420</f>
        <v>0</v>
      </c>
      <c r="J726" s="35">
        <f t="shared" si="161"/>
        <v>50</v>
      </c>
      <c r="K726" s="7">
        <f>прил.6!L1420</f>
        <v>0</v>
      </c>
      <c r="L726" s="35">
        <f t="shared" si="157"/>
        <v>50</v>
      </c>
      <c r="M726" s="7">
        <f>прил.6!N1420</f>
        <v>0</v>
      </c>
      <c r="N726" s="35">
        <f t="shared" si="158"/>
        <v>50</v>
      </c>
      <c r="O726" s="7">
        <f>прил.6!P1420</f>
        <v>0</v>
      </c>
      <c r="P726" s="35">
        <f t="shared" si="154"/>
        <v>50</v>
      </c>
      <c r="Q726" s="7">
        <f>прил.6!R1420</f>
        <v>0</v>
      </c>
      <c r="R726" s="35">
        <f t="shared" si="155"/>
        <v>50</v>
      </c>
      <c r="S726" s="7">
        <f>прил.6!T1420</f>
        <v>-50</v>
      </c>
      <c r="T726" s="35">
        <f t="shared" si="159"/>
        <v>0</v>
      </c>
    </row>
    <row r="727" spans="1:20" ht="33">
      <c r="A727" s="61" t="str">
        <f ca="1">IF(ISERROR(MATCH(B727,Код_КЦСР,0)),"",INDIRECT(ADDRESS(MATCH(B727,Код_КЦСР,0)+1,2,,,"КЦСР")))</f>
        <v>Муниципальная программа «iCity – Современные информационные технологии г. Череповца»  на 2014-2020 годы</v>
      </c>
      <c r="B727" s="43" t="s">
        <v>582</v>
      </c>
      <c r="C727" s="8"/>
      <c r="D727" s="1"/>
      <c r="E727" s="104"/>
      <c r="F727" s="7">
        <f>F728+F734</f>
        <v>46345.3</v>
      </c>
      <c r="G727" s="7">
        <f>G728+G734</f>
        <v>0</v>
      </c>
      <c r="H727" s="35">
        <f t="shared" si="164"/>
        <v>46345.3</v>
      </c>
      <c r="I727" s="7">
        <f>I728+I734</f>
        <v>2175.6999999999998</v>
      </c>
      <c r="J727" s="35">
        <f t="shared" si="161"/>
        <v>48521</v>
      </c>
      <c r="K727" s="7">
        <f>K728+K734</f>
        <v>-642.5</v>
      </c>
      <c r="L727" s="35">
        <f t="shared" si="157"/>
        <v>47878.5</v>
      </c>
      <c r="M727" s="7">
        <f>M728+M734</f>
        <v>41.6</v>
      </c>
      <c r="N727" s="35">
        <f t="shared" si="158"/>
        <v>47920.1</v>
      </c>
      <c r="O727" s="7">
        <f>O728+O734</f>
        <v>1200</v>
      </c>
      <c r="P727" s="35">
        <f t="shared" si="154"/>
        <v>49120.1</v>
      </c>
      <c r="Q727" s="7">
        <f>Q728+Q734</f>
        <v>12.700000000000003</v>
      </c>
      <c r="R727" s="35">
        <f t="shared" si="155"/>
        <v>49132.799999999996</v>
      </c>
      <c r="S727" s="7">
        <f>S728+S734</f>
        <v>0</v>
      </c>
      <c r="T727" s="35">
        <f t="shared" si="159"/>
        <v>49132.799999999996</v>
      </c>
    </row>
    <row r="728" spans="1:20" ht="56.25" customHeight="1">
      <c r="A728" s="61" t="str">
        <f ca="1">IF(ISERROR(MATCH(B728,Код_КЦСР,0)),"",INDIRECT(ADDRESS(MATCH(B728,Код_КЦСР,0)+1,2,,,"КЦСР")))</f>
        <v>Обеспечение развития и надежного функционирования городской сетевой инфраструктуры МСПД, базирующейся на современных технических решениях</v>
      </c>
      <c r="B728" s="43" t="s">
        <v>584</v>
      </c>
      <c r="C728" s="8"/>
      <c r="D728" s="1"/>
      <c r="E728" s="104"/>
      <c r="F728" s="7">
        <f t="shared" ref="F728:S732" si="173">F729</f>
        <v>736</v>
      </c>
      <c r="G728" s="7">
        <f t="shared" si="173"/>
        <v>0</v>
      </c>
      <c r="H728" s="35">
        <f t="shared" si="164"/>
        <v>736</v>
      </c>
      <c r="I728" s="7">
        <f t="shared" si="173"/>
        <v>500</v>
      </c>
      <c r="J728" s="35">
        <f t="shared" si="161"/>
        <v>1236</v>
      </c>
      <c r="K728" s="7">
        <f t="shared" si="173"/>
        <v>0</v>
      </c>
      <c r="L728" s="35">
        <f t="shared" si="157"/>
        <v>1236</v>
      </c>
      <c r="M728" s="7">
        <f t="shared" si="173"/>
        <v>0</v>
      </c>
      <c r="N728" s="35">
        <f t="shared" si="158"/>
        <v>1236</v>
      </c>
      <c r="O728" s="7">
        <f t="shared" si="173"/>
        <v>0</v>
      </c>
      <c r="P728" s="35">
        <f t="shared" ref="P728:P806" si="174">N728+O728</f>
        <v>1236</v>
      </c>
      <c r="Q728" s="7">
        <f t="shared" si="173"/>
        <v>137.9</v>
      </c>
      <c r="R728" s="35">
        <f t="shared" ref="R728:R806" si="175">P728+Q728</f>
        <v>1373.9</v>
      </c>
      <c r="S728" s="7">
        <f t="shared" si="173"/>
        <v>81.2</v>
      </c>
      <c r="T728" s="35">
        <f t="shared" si="159"/>
        <v>1455.1000000000001</v>
      </c>
    </row>
    <row r="729" spans="1:20">
      <c r="A729" s="61" t="str">
        <f ca="1">IF(ISERROR(MATCH(C729,Код_Раздел,0)),"",INDIRECT(ADDRESS(MATCH(C729,Код_Раздел,0)+1,2,,,"Раздел")))</f>
        <v>Национальная экономика</v>
      </c>
      <c r="B729" s="43" t="s">
        <v>584</v>
      </c>
      <c r="C729" s="8" t="s">
        <v>216</v>
      </c>
      <c r="D729" s="1"/>
      <c r="E729" s="104"/>
      <c r="F729" s="7">
        <f t="shared" si="173"/>
        <v>736</v>
      </c>
      <c r="G729" s="7">
        <f t="shared" si="173"/>
        <v>0</v>
      </c>
      <c r="H729" s="35">
        <f t="shared" si="164"/>
        <v>736</v>
      </c>
      <c r="I729" s="7">
        <f t="shared" si="173"/>
        <v>500</v>
      </c>
      <c r="J729" s="35">
        <f t="shared" si="161"/>
        <v>1236</v>
      </c>
      <c r="K729" s="7">
        <f t="shared" si="173"/>
        <v>0</v>
      </c>
      <c r="L729" s="35">
        <f t="shared" si="157"/>
        <v>1236</v>
      </c>
      <c r="M729" s="7">
        <f t="shared" si="173"/>
        <v>0</v>
      </c>
      <c r="N729" s="35">
        <f t="shared" si="158"/>
        <v>1236</v>
      </c>
      <c r="O729" s="7">
        <f t="shared" si="173"/>
        <v>0</v>
      </c>
      <c r="P729" s="35">
        <f t="shared" si="174"/>
        <v>1236</v>
      </c>
      <c r="Q729" s="7">
        <f t="shared" si="173"/>
        <v>137.9</v>
      </c>
      <c r="R729" s="35">
        <f t="shared" si="175"/>
        <v>1373.9</v>
      </c>
      <c r="S729" s="7">
        <f t="shared" si="173"/>
        <v>81.2</v>
      </c>
      <c r="T729" s="35">
        <f t="shared" si="159"/>
        <v>1455.1000000000001</v>
      </c>
    </row>
    <row r="730" spans="1:20">
      <c r="A730" s="12" t="s">
        <v>230</v>
      </c>
      <c r="B730" s="43" t="s">
        <v>584</v>
      </c>
      <c r="C730" s="8" t="s">
        <v>216</v>
      </c>
      <c r="D730" s="1" t="s">
        <v>188</v>
      </c>
      <c r="E730" s="104"/>
      <c r="F730" s="7">
        <f t="shared" si="173"/>
        <v>736</v>
      </c>
      <c r="G730" s="7">
        <f t="shared" si="173"/>
        <v>0</v>
      </c>
      <c r="H730" s="35">
        <f t="shared" si="164"/>
        <v>736</v>
      </c>
      <c r="I730" s="7">
        <f t="shared" si="173"/>
        <v>500</v>
      </c>
      <c r="J730" s="35">
        <f t="shared" si="161"/>
        <v>1236</v>
      </c>
      <c r="K730" s="7">
        <f t="shared" si="173"/>
        <v>0</v>
      </c>
      <c r="L730" s="35">
        <f t="shared" si="157"/>
        <v>1236</v>
      </c>
      <c r="M730" s="7">
        <f t="shared" si="173"/>
        <v>0</v>
      </c>
      <c r="N730" s="35">
        <f t="shared" si="158"/>
        <v>1236</v>
      </c>
      <c r="O730" s="7">
        <f t="shared" si="173"/>
        <v>0</v>
      </c>
      <c r="P730" s="35">
        <f t="shared" si="174"/>
        <v>1236</v>
      </c>
      <c r="Q730" s="7">
        <f t="shared" si="173"/>
        <v>137.9</v>
      </c>
      <c r="R730" s="35">
        <f t="shared" si="175"/>
        <v>1373.9</v>
      </c>
      <c r="S730" s="7">
        <f t="shared" si="173"/>
        <v>81.2</v>
      </c>
      <c r="T730" s="35">
        <f t="shared" si="159"/>
        <v>1455.1000000000001</v>
      </c>
    </row>
    <row r="731" spans="1:20" ht="36.75" customHeight="1">
      <c r="A731" s="61" t="str">
        <f ca="1">IF(ISERROR(MATCH(E731,Код_КВР,0)),"",INDIRECT(ADDRESS(MATCH(E731,Код_КВР,0)+1,2,,,"КВР")))</f>
        <v>Предоставление субсидий бюджетным, автономным учреждениям и иным некоммерческим организациям</v>
      </c>
      <c r="B731" s="43" t="s">
        <v>584</v>
      </c>
      <c r="C731" s="8" t="s">
        <v>216</v>
      </c>
      <c r="D731" s="1" t="s">
        <v>188</v>
      </c>
      <c r="E731" s="104">
        <v>600</v>
      </c>
      <c r="F731" s="7">
        <f t="shared" si="173"/>
        <v>736</v>
      </c>
      <c r="G731" s="7">
        <f t="shared" si="173"/>
        <v>0</v>
      </c>
      <c r="H731" s="35">
        <f t="shared" si="164"/>
        <v>736</v>
      </c>
      <c r="I731" s="7">
        <f t="shared" si="173"/>
        <v>500</v>
      </c>
      <c r="J731" s="35">
        <f t="shared" si="161"/>
        <v>1236</v>
      </c>
      <c r="K731" s="7">
        <f t="shared" si="173"/>
        <v>0</v>
      </c>
      <c r="L731" s="35">
        <f t="shared" si="157"/>
        <v>1236</v>
      </c>
      <c r="M731" s="7">
        <f t="shared" si="173"/>
        <v>0</v>
      </c>
      <c r="N731" s="35">
        <f t="shared" si="158"/>
        <v>1236</v>
      </c>
      <c r="O731" s="7">
        <f t="shared" si="173"/>
        <v>0</v>
      </c>
      <c r="P731" s="35">
        <f t="shared" si="174"/>
        <v>1236</v>
      </c>
      <c r="Q731" s="7">
        <f t="shared" si="173"/>
        <v>137.9</v>
      </c>
      <c r="R731" s="35">
        <f t="shared" si="175"/>
        <v>1373.9</v>
      </c>
      <c r="S731" s="7">
        <f t="shared" si="173"/>
        <v>81.2</v>
      </c>
      <c r="T731" s="35">
        <f t="shared" si="159"/>
        <v>1455.1000000000001</v>
      </c>
    </row>
    <row r="732" spans="1:20">
      <c r="A732" s="61" t="str">
        <f ca="1">IF(ISERROR(MATCH(E732,Код_КВР,0)),"",INDIRECT(ADDRESS(MATCH(E732,Код_КВР,0)+1,2,,,"КВР")))</f>
        <v>Субсидии бюджетным учреждениям</v>
      </c>
      <c r="B732" s="43" t="s">
        <v>584</v>
      </c>
      <c r="C732" s="8" t="s">
        <v>216</v>
      </c>
      <c r="D732" s="1" t="s">
        <v>188</v>
      </c>
      <c r="E732" s="104">
        <v>610</v>
      </c>
      <c r="F732" s="7">
        <f t="shared" si="173"/>
        <v>736</v>
      </c>
      <c r="G732" s="7">
        <f t="shared" si="173"/>
        <v>0</v>
      </c>
      <c r="H732" s="35">
        <f t="shared" si="164"/>
        <v>736</v>
      </c>
      <c r="I732" s="7">
        <f t="shared" si="173"/>
        <v>500</v>
      </c>
      <c r="J732" s="35">
        <f t="shared" si="161"/>
        <v>1236</v>
      </c>
      <c r="K732" s="7">
        <f t="shared" si="173"/>
        <v>0</v>
      </c>
      <c r="L732" s="35">
        <f t="shared" si="157"/>
        <v>1236</v>
      </c>
      <c r="M732" s="7">
        <f t="shared" si="173"/>
        <v>0</v>
      </c>
      <c r="N732" s="35">
        <f t="shared" si="158"/>
        <v>1236</v>
      </c>
      <c r="O732" s="7">
        <f t="shared" si="173"/>
        <v>0</v>
      </c>
      <c r="P732" s="35">
        <f t="shared" si="174"/>
        <v>1236</v>
      </c>
      <c r="Q732" s="7">
        <f t="shared" si="173"/>
        <v>137.9</v>
      </c>
      <c r="R732" s="35">
        <f t="shared" si="175"/>
        <v>1373.9</v>
      </c>
      <c r="S732" s="7">
        <f t="shared" si="173"/>
        <v>81.2</v>
      </c>
      <c r="T732" s="35">
        <f t="shared" si="159"/>
        <v>1455.1000000000001</v>
      </c>
    </row>
    <row r="733" spans="1:20">
      <c r="A733" s="61" t="str">
        <f ca="1">IF(ISERROR(MATCH(E733,Код_КВР,0)),"",INDIRECT(ADDRESS(MATCH(E733,Код_КВР,0)+1,2,,,"КВР")))</f>
        <v>Субсидии бюджетным учреждениям на иные цели</v>
      </c>
      <c r="B733" s="43" t="s">
        <v>584</v>
      </c>
      <c r="C733" s="8" t="s">
        <v>216</v>
      </c>
      <c r="D733" s="1" t="s">
        <v>188</v>
      </c>
      <c r="E733" s="104">
        <v>612</v>
      </c>
      <c r="F733" s="7">
        <f>прил.6!G250</f>
        <v>736</v>
      </c>
      <c r="G733" s="7">
        <f>прил.6!H250</f>
        <v>0</v>
      </c>
      <c r="H733" s="35">
        <f t="shared" si="164"/>
        <v>736</v>
      </c>
      <c r="I733" s="7">
        <f>прил.6!J250</f>
        <v>500</v>
      </c>
      <c r="J733" s="35">
        <f t="shared" si="161"/>
        <v>1236</v>
      </c>
      <c r="K733" s="7">
        <f>прил.6!L250</f>
        <v>0</v>
      </c>
      <c r="L733" s="35">
        <f t="shared" si="157"/>
        <v>1236</v>
      </c>
      <c r="M733" s="7">
        <f>прил.6!N250</f>
        <v>0</v>
      </c>
      <c r="N733" s="35">
        <f t="shared" si="158"/>
        <v>1236</v>
      </c>
      <c r="O733" s="7">
        <f>прил.6!P250</f>
        <v>0</v>
      </c>
      <c r="P733" s="35">
        <f t="shared" si="174"/>
        <v>1236</v>
      </c>
      <c r="Q733" s="7">
        <f>прил.6!R250</f>
        <v>137.9</v>
      </c>
      <c r="R733" s="35">
        <f t="shared" si="175"/>
        <v>1373.9</v>
      </c>
      <c r="S733" s="7">
        <f>прил.6!T250</f>
        <v>81.2</v>
      </c>
      <c r="T733" s="35">
        <f t="shared" si="159"/>
        <v>1455.1000000000001</v>
      </c>
    </row>
    <row r="734" spans="1:20" ht="85.5" customHeight="1">
      <c r="A734" s="61" t="str">
        <f ca="1">IF(ISERROR(MATCH(B734,Код_КЦСР,0)),"",INDIRECT(ADDRESS(MATCH(B734,Код_КЦСР,0)+1,2,,,"КЦСР")))</f>
        <v>Обеспечение выполнения муниципального задания бюджетным учреждением города в сфере информационных технологий по обеспечению надежного функционирования технической и сетевой инфраструктуры, информационных систем, средств связи органов мэрии города</v>
      </c>
      <c r="B734" s="43" t="s">
        <v>585</v>
      </c>
      <c r="C734" s="8"/>
      <c r="D734" s="1"/>
      <c r="E734" s="104"/>
      <c r="F734" s="7">
        <f t="shared" ref="F734:S737" si="176">F735</f>
        <v>45609.3</v>
      </c>
      <c r="G734" s="7">
        <f t="shared" si="176"/>
        <v>0</v>
      </c>
      <c r="H734" s="35">
        <f t="shared" si="164"/>
        <v>45609.3</v>
      </c>
      <c r="I734" s="7">
        <f t="shared" si="176"/>
        <v>1675.7</v>
      </c>
      <c r="J734" s="35">
        <f t="shared" si="161"/>
        <v>47285</v>
      </c>
      <c r="K734" s="7">
        <f t="shared" si="176"/>
        <v>-642.5</v>
      </c>
      <c r="L734" s="35">
        <f t="shared" si="157"/>
        <v>46642.5</v>
      </c>
      <c r="M734" s="7">
        <f t="shared" si="176"/>
        <v>41.6</v>
      </c>
      <c r="N734" s="35">
        <f t="shared" si="158"/>
        <v>46684.1</v>
      </c>
      <c r="O734" s="7">
        <f t="shared" si="176"/>
        <v>1200</v>
      </c>
      <c r="P734" s="35">
        <f t="shared" si="174"/>
        <v>47884.1</v>
      </c>
      <c r="Q734" s="7">
        <f t="shared" si="176"/>
        <v>-125.2</v>
      </c>
      <c r="R734" s="35">
        <f t="shared" si="175"/>
        <v>47758.9</v>
      </c>
      <c r="S734" s="7">
        <f t="shared" si="176"/>
        <v>-81.199999999999989</v>
      </c>
      <c r="T734" s="35">
        <f t="shared" si="159"/>
        <v>47677.700000000004</v>
      </c>
    </row>
    <row r="735" spans="1:20">
      <c r="A735" s="61" t="str">
        <f ca="1">IF(ISERROR(MATCH(C735,Код_Раздел,0)),"",INDIRECT(ADDRESS(MATCH(C735,Код_Раздел,0)+1,2,,,"Раздел")))</f>
        <v>Национальная экономика</v>
      </c>
      <c r="B735" s="43" t="s">
        <v>585</v>
      </c>
      <c r="C735" s="8" t="s">
        <v>216</v>
      </c>
      <c r="D735" s="1"/>
      <c r="E735" s="104"/>
      <c r="F735" s="7">
        <f t="shared" si="176"/>
        <v>45609.3</v>
      </c>
      <c r="G735" s="7">
        <f t="shared" si="176"/>
        <v>0</v>
      </c>
      <c r="H735" s="35">
        <f t="shared" si="164"/>
        <v>45609.3</v>
      </c>
      <c r="I735" s="7">
        <f t="shared" si="176"/>
        <v>1675.7</v>
      </c>
      <c r="J735" s="35">
        <f t="shared" si="161"/>
        <v>47285</v>
      </c>
      <c r="K735" s="7">
        <f t="shared" si="176"/>
        <v>-642.5</v>
      </c>
      <c r="L735" s="35">
        <f t="shared" si="157"/>
        <v>46642.5</v>
      </c>
      <c r="M735" s="7">
        <f t="shared" si="176"/>
        <v>41.6</v>
      </c>
      <c r="N735" s="35">
        <f t="shared" si="158"/>
        <v>46684.1</v>
      </c>
      <c r="O735" s="7">
        <f t="shared" si="176"/>
        <v>1200</v>
      </c>
      <c r="P735" s="35">
        <f t="shared" si="174"/>
        <v>47884.1</v>
      </c>
      <c r="Q735" s="7">
        <f t="shared" si="176"/>
        <v>-125.2</v>
      </c>
      <c r="R735" s="35">
        <f t="shared" si="175"/>
        <v>47758.9</v>
      </c>
      <c r="S735" s="7">
        <f t="shared" si="176"/>
        <v>-81.199999999999989</v>
      </c>
      <c r="T735" s="35">
        <f t="shared" si="159"/>
        <v>47677.700000000004</v>
      </c>
    </row>
    <row r="736" spans="1:20">
      <c r="A736" s="12" t="s">
        <v>230</v>
      </c>
      <c r="B736" s="43" t="s">
        <v>585</v>
      </c>
      <c r="C736" s="8" t="s">
        <v>216</v>
      </c>
      <c r="D736" s="1" t="s">
        <v>188</v>
      </c>
      <c r="E736" s="104"/>
      <c r="F736" s="7">
        <f t="shared" si="176"/>
        <v>45609.3</v>
      </c>
      <c r="G736" s="7">
        <f t="shared" si="176"/>
        <v>0</v>
      </c>
      <c r="H736" s="35">
        <f t="shared" si="164"/>
        <v>45609.3</v>
      </c>
      <c r="I736" s="7">
        <f t="shared" si="176"/>
        <v>1675.7</v>
      </c>
      <c r="J736" s="35">
        <f t="shared" si="161"/>
        <v>47285</v>
      </c>
      <c r="K736" s="7">
        <f t="shared" si="176"/>
        <v>-642.5</v>
      </c>
      <c r="L736" s="35">
        <f t="shared" ref="L736:L821" si="177">J736+K736</f>
        <v>46642.5</v>
      </c>
      <c r="M736" s="7">
        <f t="shared" si="176"/>
        <v>41.6</v>
      </c>
      <c r="N736" s="35">
        <f t="shared" ref="N736:N826" si="178">L736+M736</f>
        <v>46684.1</v>
      </c>
      <c r="O736" s="7">
        <f t="shared" si="176"/>
        <v>1200</v>
      </c>
      <c r="P736" s="35">
        <f t="shared" si="174"/>
        <v>47884.1</v>
      </c>
      <c r="Q736" s="7">
        <f t="shared" si="176"/>
        <v>-125.2</v>
      </c>
      <c r="R736" s="35">
        <f t="shared" si="175"/>
        <v>47758.9</v>
      </c>
      <c r="S736" s="7">
        <f t="shared" si="176"/>
        <v>-81.199999999999989</v>
      </c>
      <c r="T736" s="35">
        <f t="shared" si="159"/>
        <v>47677.700000000004</v>
      </c>
    </row>
    <row r="737" spans="1:20" ht="35.25" customHeight="1">
      <c r="A737" s="61" t="str">
        <f ca="1">IF(ISERROR(MATCH(E737,Код_КВР,0)),"",INDIRECT(ADDRESS(MATCH(E737,Код_КВР,0)+1,2,,,"КВР")))</f>
        <v>Предоставление субсидий бюджетным, автономным учреждениям и иным некоммерческим организациям</v>
      </c>
      <c r="B737" s="43" t="s">
        <v>585</v>
      </c>
      <c r="C737" s="8" t="s">
        <v>216</v>
      </c>
      <c r="D737" s="1" t="s">
        <v>188</v>
      </c>
      <c r="E737" s="104">
        <v>600</v>
      </c>
      <c r="F737" s="7">
        <f t="shared" si="176"/>
        <v>45609.3</v>
      </c>
      <c r="G737" s="7">
        <f t="shared" si="176"/>
        <v>0</v>
      </c>
      <c r="H737" s="35">
        <f t="shared" si="164"/>
        <v>45609.3</v>
      </c>
      <c r="I737" s="7">
        <f t="shared" si="176"/>
        <v>1675.7</v>
      </c>
      <c r="J737" s="35">
        <f t="shared" si="161"/>
        <v>47285</v>
      </c>
      <c r="K737" s="7">
        <f t="shared" si="176"/>
        <v>-642.5</v>
      </c>
      <c r="L737" s="35">
        <f t="shared" si="177"/>
        <v>46642.5</v>
      </c>
      <c r="M737" s="7">
        <f t="shared" si="176"/>
        <v>41.6</v>
      </c>
      <c r="N737" s="35">
        <f t="shared" si="178"/>
        <v>46684.1</v>
      </c>
      <c r="O737" s="7">
        <f t="shared" si="176"/>
        <v>1200</v>
      </c>
      <c r="P737" s="35">
        <f t="shared" si="174"/>
        <v>47884.1</v>
      </c>
      <c r="Q737" s="7">
        <f t="shared" si="176"/>
        <v>-125.2</v>
      </c>
      <c r="R737" s="35">
        <f t="shared" si="175"/>
        <v>47758.9</v>
      </c>
      <c r="S737" s="7">
        <f t="shared" si="176"/>
        <v>-81.199999999999989</v>
      </c>
      <c r="T737" s="35">
        <f t="shared" ref="T737:T813" si="179">R737+S737</f>
        <v>47677.700000000004</v>
      </c>
    </row>
    <row r="738" spans="1:20">
      <c r="A738" s="61" t="str">
        <f ca="1">IF(ISERROR(MATCH(E738,Код_КВР,0)),"",INDIRECT(ADDRESS(MATCH(E738,Код_КВР,0)+1,2,,,"КВР")))</f>
        <v>Субсидии бюджетным учреждениям</v>
      </c>
      <c r="B738" s="43" t="s">
        <v>585</v>
      </c>
      <c r="C738" s="8" t="s">
        <v>216</v>
      </c>
      <c r="D738" s="1" t="s">
        <v>188</v>
      </c>
      <c r="E738" s="104">
        <v>610</v>
      </c>
      <c r="F738" s="7">
        <f>SUM(F739:F740)</f>
        <v>45609.3</v>
      </c>
      <c r="G738" s="7">
        <f>SUM(G739:G740)</f>
        <v>0</v>
      </c>
      <c r="H738" s="35">
        <f t="shared" si="164"/>
        <v>45609.3</v>
      </c>
      <c r="I738" s="7">
        <f>SUM(I739:I740)</f>
        <v>1675.7</v>
      </c>
      <c r="J738" s="35">
        <f t="shared" si="161"/>
        <v>47285</v>
      </c>
      <c r="K738" s="7">
        <f>SUM(K739:K740)</f>
        <v>-642.5</v>
      </c>
      <c r="L738" s="35">
        <f t="shared" si="177"/>
        <v>46642.5</v>
      </c>
      <c r="M738" s="7">
        <f>SUM(M739:M740)</f>
        <v>41.6</v>
      </c>
      <c r="N738" s="35">
        <f t="shared" si="178"/>
        <v>46684.1</v>
      </c>
      <c r="O738" s="7">
        <f>SUM(O739:O740)</f>
        <v>1200</v>
      </c>
      <c r="P738" s="35">
        <f t="shared" si="174"/>
        <v>47884.1</v>
      </c>
      <c r="Q738" s="7">
        <f>SUM(Q739:Q740)</f>
        <v>-125.2</v>
      </c>
      <c r="R738" s="35">
        <f t="shared" si="175"/>
        <v>47758.9</v>
      </c>
      <c r="S738" s="7">
        <f>SUM(S739:S740)</f>
        <v>-81.199999999999989</v>
      </c>
      <c r="T738" s="35">
        <f t="shared" si="179"/>
        <v>47677.700000000004</v>
      </c>
    </row>
    <row r="739" spans="1:20" ht="49.5">
      <c r="A739" s="61" t="str">
        <f ca="1">IF(ISERROR(MATCH(E739,Код_КВР,0)),"",INDIRECT(ADDRESS(MATCH(E739,Код_КВР,0)+1,2,,,"КВР")))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39" s="43" t="s">
        <v>585</v>
      </c>
      <c r="C739" s="8" t="s">
        <v>216</v>
      </c>
      <c r="D739" s="1" t="s">
        <v>188</v>
      </c>
      <c r="E739" s="104">
        <v>611</v>
      </c>
      <c r="F739" s="7">
        <f>прил.6!G254</f>
        <v>42162.3</v>
      </c>
      <c r="G739" s="7">
        <f>прил.6!H254</f>
        <v>0</v>
      </c>
      <c r="H739" s="35">
        <f t="shared" si="164"/>
        <v>42162.3</v>
      </c>
      <c r="I739" s="7">
        <f>прил.6!J254</f>
        <v>1545.7</v>
      </c>
      <c r="J739" s="35">
        <f t="shared" si="161"/>
        <v>43708</v>
      </c>
      <c r="K739" s="7">
        <f>прил.6!L254</f>
        <v>-642.5</v>
      </c>
      <c r="L739" s="35">
        <f t="shared" si="177"/>
        <v>43065.5</v>
      </c>
      <c r="M739" s="7">
        <f>прил.6!N254</f>
        <v>0</v>
      </c>
      <c r="N739" s="35">
        <f t="shared" si="178"/>
        <v>43065.5</v>
      </c>
      <c r="O739" s="7">
        <f>прил.6!P254</f>
        <v>0</v>
      </c>
      <c r="P739" s="35">
        <f t="shared" si="174"/>
        <v>43065.5</v>
      </c>
      <c r="Q739" s="7">
        <f>прил.6!R254</f>
        <v>0</v>
      </c>
      <c r="R739" s="35">
        <f t="shared" si="175"/>
        <v>43065.5</v>
      </c>
      <c r="S739" s="7">
        <f>прил.6!T254</f>
        <v>0</v>
      </c>
      <c r="T739" s="35">
        <f t="shared" si="179"/>
        <v>43065.5</v>
      </c>
    </row>
    <row r="740" spans="1:20">
      <c r="A740" s="61" t="str">
        <f ca="1">IF(ISERROR(MATCH(E740,Код_КВР,0)),"",INDIRECT(ADDRESS(MATCH(E740,Код_КВР,0)+1,2,,,"КВР")))</f>
        <v>Субсидии бюджетным учреждениям на иные цели</v>
      </c>
      <c r="B740" s="43" t="s">
        <v>585</v>
      </c>
      <c r="C740" s="8" t="s">
        <v>216</v>
      </c>
      <c r="D740" s="1" t="s">
        <v>188</v>
      </c>
      <c r="E740" s="104">
        <v>612</v>
      </c>
      <c r="F740" s="7">
        <f>прил.6!G255</f>
        <v>3447</v>
      </c>
      <c r="G740" s="7">
        <f>прил.6!H255</f>
        <v>0</v>
      </c>
      <c r="H740" s="35">
        <f t="shared" si="164"/>
        <v>3447</v>
      </c>
      <c r="I740" s="7">
        <f>прил.6!J255</f>
        <v>130</v>
      </c>
      <c r="J740" s="35">
        <f t="shared" si="161"/>
        <v>3577</v>
      </c>
      <c r="K740" s="7">
        <f>прил.6!L255</f>
        <v>0</v>
      </c>
      <c r="L740" s="35">
        <f t="shared" si="177"/>
        <v>3577</v>
      </c>
      <c r="M740" s="7">
        <f>прил.6!N255</f>
        <v>41.6</v>
      </c>
      <c r="N740" s="35">
        <f t="shared" si="178"/>
        <v>3618.6</v>
      </c>
      <c r="O740" s="7">
        <f>прил.6!P255</f>
        <v>1200</v>
      </c>
      <c r="P740" s="35">
        <f t="shared" si="174"/>
        <v>4818.6000000000004</v>
      </c>
      <c r="Q740" s="7">
        <f>прил.6!R255</f>
        <v>-125.2</v>
      </c>
      <c r="R740" s="35">
        <f t="shared" si="175"/>
        <v>4693.4000000000005</v>
      </c>
      <c r="S740" s="7">
        <f>прил.6!T255</f>
        <v>-81.199999999999989</v>
      </c>
      <c r="T740" s="35">
        <f t="shared" si="179"/>
        <v>4612.2000000000007</v>
      </c>
    </row>
    <row r="741" spans="1:20" ht="35.25" customHeight="1">
      <c r="A741" s="61" t="str">
        <f ca="1">IF(ISERROR(MATCH(B741,Код_КЦСР,0)),"",INDIRECT(ADDRESS(MATCH(B741,Код_КЦСР,0)+1,2,,,"КЦСР")))</f>
        <v>Муниципальная программа «Развитие внутреннего и въездного туризма в г. Череповце» на 2014-2022 годы</v>
      </c>
      <c r="B741" s="45" t="s">
        <v>1</v>
      </c>
      <c r="C741" s="8"/>
      <c r="D741" s="1"/>
      <c r="E741" s="104"/>
      <c r="F741" s="7">
        <f>F742+F753</f>
        <v>91.4</v>
      </c>
      <c r="G741" s="7">
        <f>G742+G753</f>
        <v>0</v>
      </c>
      <c r="H741" s="35">
        <f t="shared" si="164"/>
        <v>91.4</v>
      </c>
      <c r="I741" s="7">
        <f>I742+I753</f>
        <v>0</v>
      </c>
      <c r="J741" s="35">
        <f t="shared" si="161"/>
        <v>91.4</v>
      </c>
      <c r="K741" s="7">
        <f>K742+K753</f>
        <v>0</v>
      </c>
      <c r="L741" s="35">
        <f t="shared" si="177"/>
        <v>91.4</v>
      </c>
      <c r="M741" s="7">
        <f>M742+M753</f>
        <v>0</v>
      </c>
      <c r="N741" s="35">
        <f t="shared" si="178"/>
        <v>91.4</v>
      </c>
      <c r="O741" s="7">
        <f>O742+O753</f>
        <v>0</v>
      </c>
      <c r="P741" s="35">
        <f t="shared" si="174"/>
        <v>91.4</v>
      </c>
      <c r="Q741" s="7">
        <f>Q742+Q753</f>
        <v>0</v>
      </c>
      <c r="R741" s="35">
        <f t="shared" si="175"/>
        <v>91.4</v>
      </c>
      <c r="S741" s="7">
        <f>S742+S753</f>
        <v>0</v>
      </c>
      <c r="T741" s="35">
        <f t="shared" si="179"/>
        <v>91.4</v>
      </c>
    </row>
    <row r="742" spans="1:20" ht="35.25" customHeight="1">
      <c r="A742" s="61" t="str">
        <f ca="1">IF(ISERROR(MATCH(B742,Код_КЦСР,0)),"",INDIRECT(ADDRESS(MATCH(B742,Код_КЦСР,0)+1,2,,,"КЦСР")))</f>
        <v>Продвижение городского туристского продукта на российском рынке</v>
      </c>
      <c r="B742" s="45" t="s">
        <v>2</v>
      </c>
      <c r="C742" s="8"/>
      <c r="D742" s="1"/>
      <c r="E742" s="104"/>
      <c r="F742" s="7">
        <f>F743</f>
        <v>63.4</v>
      </c>
      <c r="G742" s="7">
        <f>G743</f>
        <v>0</v>
      </c>
      <c r="H742" s="35">
        <f t="shared" si="164"/>
        <v>63.4</v>
      </c>
      <c r="I742" s="7">
        <f>I743</f>
        <v>0</v>
      </c>
      <c r="J742" s="35">
        <f t="shared" ref="J742:J854" si="180">H742+I742</f>
        <v>63.4</v>
      </c>
      <c r="K742" s="7">
        <f>K743</f>
        <v>0</v>
      </c>
      <c r="L742" s="35">
        <f t="shared" si="177"/>
        <v>63.4</v>
      </c>
      <c r="M742" s="7">
        <f>M743</f>
        <v>0</v>
      </c>
      <c r="N742" s="35">
        <f t="shared" si="178"/>
        <v>63.4</v>
      </c>
      <c r="O742" s="7">
        <f>O743</f>
        <v>0</v>
      </c>
      <c r="P742" s="35">
        <f t="shared" si="174"/>
        <v>63.4</v>
      </c>
      <c r="Q742" s="7">
        <f>Q743</f>
        <v>0</v>
      </c>
      <c r="R742" s="35">
        <f t="shared" si="175"/>
        <v>63.4</v>
      </c>
      <c r="S742" s="7">
        <f>S743</f>
        <v>0</v>
      </c>
      <c r="T742" s="35">
        <f t="shared" si="179"/>
        <v>63.4</v>
      </c>
    </row>
    <row r="743" spans="1:20">
      <c r="A743" s="61" t="str">
        <f ca="1">IF(ISERROR(MATCH(C743,Код_Раздел,0)),"",INDIRECT(ADDRESS(MATCH(C743,Код_Раздел,0)+1,2,,,"Раздел")))</f>
        <v>Национальная экономика</v>
      </c>
      <c r="B743" s="45" t="s">
        <v>2</v>
      </c>
      <c r="C743" s="8" t="s">
        <v>216</v>
      </c>
      <c r="D743" s="1"/>
      <c r="E743" s="104"/>
      <c r="F743" s="7">
        <f>F744</f>
        <v>63.4</v>
      </c>
      <c r="G743" s="7">
        <f>G744</f>
        <v>0</v>
      </c>
      <c r="H743" s="35">
        <f t="shared" si="164"/>
        <v>63.4</v>
      </c>
      <c r="I743" s="7">
        <f>I744</f>
        <v>0</v>
      </c>
      <c r="J743" s="35">
        <f t="shared" si="180"/>
        <v>63.4</v>
      </c>
      <c r="K743" s="7">
        <f>K744</f>
        <v>0</v>
      </c>
      <c r="L743" s="35">
        <f t="shared" si="177"/>
        <v>63.4</v>
      </c>
      <c r="M743" s="7">
        <f>M744</f>
        <v>0</v>
      </c>
      <c r="N743" s="35">
        <f t="shared" si="178"/>
        <v>63.4</v>
      </c>
      <c r="O743" s="7">
        <f>O744</f>
        <v>0</v>
      </c>
      <c r="P743" s="35">
        <f t="shared" si="174"/>
        <v>63.4</v>
      </c>
      <c r="Q743" s="7">
        <f>Q744</f>
        <v>0</v>
      </c>
      <c r="R743" s="35">
        <f t="shared" si="175"/>
        <v>63.4</v>
      </c>
      <c r="S743" s="7">
        <f>S744</f>
        <v>0</v>
      </c>
      <c r="T743" s="35">
        <f t="shared" si="179"/>
        <v>63.4</v>
      </c>
    </row>
    <row r="744" spans="1:20">
      <c r="A744" s="12" t="s">
        <v>223</v>
      </c>
      <c r="B744" s="45" t="s">
        <v>2</v>
      </c>
      <c r="C744" s="8" t="s">
        <v>216</v>
      </c>
      <c r="D744" s="8" t="s">
        <v>196</v>
      </c>
      <c r="E744" s="104"/>
      <c r="F744" s="7">
        <f>F745+F747+F750</f>
        <v>63.4</v>
      </c>
      <c r="G744" s="7">
        <f>G745+G747+G750</f>
        <v>0</v>
      </c>
      <c r="H744" s="35">
        <f t="shared" si="164"/>
        <v>63.4</v>
      </c>
      <c r="I744" s="7">
        <f>I745+I747+I750</f>
        <v>0</v>
      </c>
      <c r="J744" s="35">
        <f t="shared" si="180"/>
        <v>63.4</v>
      </c>
      <c r="K744" s="7">
        <f>K745+K747+K750</f>
        <v>0</v>
      </c>
      <c r="L744" s="35">
        <f t="shared" si="177"/>
        <v>63.4</v>
      </c>
      <c r="M744" s="7">
        <f>M745+M747+M750</f>
        <v>0</v>
      </c>
      <c r="N744" s="35">
        <f t="shared" si="178"/>
        <v>63.4</v>
      </c>
      <c r="O744" s="7">
        <f>O745+O747+O750</f>
        <v>0</v>
      </c>
      <c r="P744" s="35">
        <f t="shared" si="174"/>
        <v>63.4</v>
      </c>
      <c r="Q744" s="7">
        <f>Q745+Q747+Q750</f>
        <v>0</v>
      </c>
      <c r="R744" s="35">
        <f t="shared" si="175"/>
        <v>63.4</v>
      </c>
      <c r="S744" s="7">
        <f>S745+S747+S750</f>
        <v>0</v>
      </c>
      <c r="T744" s="35">
        <f t="shared" si="179"/>
        <v>63.4</v>
      </c>
    </row>
    <row r="745" spans="1:20" ht="36.75" customHeight="1">
      <c r="A745" s="61" t="str">
        <f t="shared" ref="A745:A752" ca="1" si="181">IF(ISERROR(MATCH(E745,Код_КВР,0)),"",INDIRECT(ADDRESS(MATCH(E745,Код_КВР,0)+1,2,,,"КВР")))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745" s="45" t="s">
        <v>2</v>
      </c>
      <c r="C745" s="8" t="s">
        <v>216</v>
      </c>
      <c r="D745" s="8" t="s">
        <v>196</v>
      </c>
      <c r="E745" s="104">
        <v>100</v>
      </c>
      <c r="F745" s="7">
        <f>F746</f>
        <v>11</v>
      </c>
      <c r="G745" s="7">
        <f>G746</f>
        <v>0</v>
      </c>
      <c r="H745" s="35">
        <f t="shared" si="164"/>
        <v>11</v>
      </c>
      <c r="I745" s="7">
        <f>I746</f>
        <v>0</v>
      </c>
      <c r="J745" s="35">
        <f t="shared" si="180"/>
        <v>11</v>
      </c>
      <c r="K745" s="7">
        <f>K746</f>
        <v>0</v>
      </c>
      <c r="L745" s="35">
        <f t="shared" si="177"/>
        <v>11</v>
      </c>
      <c r="M745" s="7">
        <f>M746</f>
        <v>0</v>
      </c>
      <c r="N745" s="35">
        <f t="shared" si="178"/>
        <v>11</v>
      </c>
      <c r="O745" s="7">
        <f>O746</f>
        <v>0</v>
      </c>
      <c r="P745" s="35">
        <f t="shared" si="174"/>
        <v>11</v>
      </c>
      <c r="Q745" s="7">
        <f>Q746</f>
        <v>0</v>
      </c>
      <c r="R745" s="35">
        <f t="shared" si="175"/>
        <v>11</v>
      </c>
      <c r="S745" s="7">
        <f>S746</f>
        <v>0</v>
      </c>
      <c r="T745" s="35">
        <f t="shared" si="179"/>
        <v>11</v>
      </c>
    </row>
    <row r="746" spans="1:20">
      <c r="A746" s="61" t="str">
        <f t="shared" ca="1" si="181"/>
        <v>Расходы на выплаты персоналу муниципальных органов</v>
      </c>
      <c r="B746" s="45" t="s">
        <v>2</v>
      </c>
      <c r="C746" s="8" t="s">
        <v>216</v>
      </c>
      <c r="D746" s="8" t="s">
        <v>196</v>
      </c>
      <c r="E746" s="104">
        <v>120</v>
      </c>
      <c r="F746" s="7">
        <f>прил.6!G914</f>
        <v>11</v>
      </c>
      <c r="G746" s="7">
        <f>прил.6!H914</f>
        <v>0</v>
      </c>
      <c r="H746" s="35">
        <f t="shared" si="164"/>
        <v>11</v>
      </c>
      <c r="I746" s="7">
        <f>прил.6!J914</f>
        <v>0</v>
      </c>
      <c r="J746" s="35">
        <f t="shared" si="180"/>
        <v>11</v>
      </c>
      <c r="K746" s="7">
        <f>прил.6!L914</f>
        <v>0</v>
      </c>
      <c r="L746" s="35">
        <f t="shared" si="177"/>
        <v>11</v>
      </c>
      <c r="M746" s="7">
        <f>прил.6!N914</f>
        <v>0</v>
      </c>
      <c r="N746" s="35">
        <f t="shared" si="178"/>
        <v>11</v>
      </c>
      <c r="O746" s="7">
        <f>прил.6!P914</f>
        <v>0</v>
      </c>
      <c r="P746" s="35">
        <f t="shared" si="174"/>
        <v>11</v>
      </c>
      <c r="Q746" s="7">
        <f>прил.6!R914</f>
        <v>0</v>
      </c>
      <c r="R746" s="35">
        <f t="shared" si="175"/>
        <v>11</v>
      </c>
      <c r="S746" s="7">
        <f>прил.6!T914</f>
        <v>0</v>
      </c>
      <c r="T746" s="35">
        <f t="shared" si="179"/>
        <v>11</v>
      </c>
    </row>
    <row r="747" spans="1:20">
      <c r="A747" s="61" t="str">
        <f t="shared" ca="1" si="181"/>
        <v>Закупка товаров, работ и услуг для муниципальных нужд</v>
      </c>
      <c r="B747" s="45" t="s">
        <v>2</v>
      </c>
      <c r="C747" s="8" t="s">
        <v>216</v>
      </c>
      <c r="D747" s="8" t="s">
        <v>196</v>
      </c>
      <c r="E747" s="104">
        <v>200</v>
      </c>
      <c r="F747" s="7">
        <f>F748</f>
        <v>22</v>
      </c>
      <c r="G747" s="7">
        <f>G748</f>
        <v>0</v>
      </c>
      <c r="H747" s="35">
        <f t="shared" si="164"/>
        <v>22</v>
      </c>
      <c r="I747" s="7">
        <f>I748</f>
        <v>0</v>
      </c>
      <c r="J747" s="35">
        <f t="shared" si="180"/>
        <v>22</v>
      </c>
      <c r="K747" s="7">
        <f>K748</f>
        <v>0</v>
      </c>
      <c r="L747" s="35">
        <f t="shared" si="177"/>
        <v>22</v>
      </c>
      <c r="M747" s="7">
        <f>M748</f>
        <v>0</v>
      </c>
      <c r="N747" s="35">
        <f t="shared" si="178"/>
        <v>22</v>
      </c>
      <c r="O747" s="7">
        <f>O748</f>
        <v>0</v>
      </c>
      <c r="P747" s="35">
        <f t="shared" si="174"/>
        <v>22</v>
      </c>
      <c r="Q747" s="7">
        <f>Q748</f>
        <v>0</v>
      </c>
      <c r="R747" s="35">
        <f t="shared" si="175"/>
        <v>22</v>
      </c>
      <c r="S747" s="7">
        <f>S748</f>
        <v>0</v>
      </c>
      <c r="T747" s="35">
        <f t="shared" si="179"/>
        <v>22</v>
      </c>
    </row>
    <row r="748" spans="1:20" ht="36" customHeight="1">
      <c r="A748" s="61" t="str">
        <f t="shared" ca="1" si="181"/>
        <v>Иные закупки товаров, работ и услуг для обеспечения муниципальных нужд</v>
      </c>
      <c r="B748" s="45" t="s">
        <v>2</v>
      </c>
      <c r="C748" s="8" t="s">
        <v>216</v>
      </c>
      <c r="D748" s="8" t="s">
        <v>196</v>
      </c>
      <c r="E748" s="104">
        <v>240</v>
      </c>
      <c r="F748" s="7">
        <f>F749</f>
        <v>22</v>
      </c>
      <c r="G748" s="7">
        <f>G749</f>
        <v>0</v>
      </c>
      <c r="H748" s="35">
        <f t="shared" si="164"/>
        <v>22</v>
      </c>
      <c r="I748" s="7">
        <f>I749</f>
        <v>0</v>
      </c>
      <c r="J748" s="35">
        <f t="shared" si="180"/>
        <v>22</v>
      </c>
      <c r="K748" s="7">
        <f>K749</f>
        <v>0</v>
      </c>
      <c r="L748" s="35">
        <f t="shared" si="177"/>
        <v>22</v>
      </c>
      <c r="M748" s="7">
        <f>M749</f>
        <v>0</v>
      </c>
      <c r="N748" s="35">
        <f t="shared" si="178"/>
        <v>22</v>
      </c>
      <c r="O748" s="7">
        <f>O749</f>
        <v>0</v>
      </c>
      <c r="P748" s="35">
        <f t="shared" si="174"/>
        <v>22</v>
      </c>
      <c r="Q748" s="7">
        <f>Q749</f>
        <v>0</v>
      </c>
      <c r="R748" s="35">
        <f t="shared" si="175"/>
        <v>22</v>
      </c>
      <c r="S748" s="7">
        <f>S749</f>
        <v>0</v>
      </c>
      <c r="T748" s="35">
        <f t="shared" si="179"/>
        <v>22</v>
      </c>
    </row>
    <row r="749" spans="1:20" ht="33.75" customHeight="1">
      <c r="A749" s="61" t="str">
        <f t="shared" ca="1" si="181"/>
        <v xml:space="preserve">Прочая закупка товаров, работ и услуг для обеспечения муниципальных нужд         </v>
      </c>
      <c r="B749" s="45" t="s">
        <v>2</v>
      </c>
      <c r="C749" s="8" t="s">
        <v>216</v>
      </c>
      <c r="D749" s="8" t="s">
        <v>196</v>
      </c>
      <c r="E749" s="104">
        <v>244</v>
      </c>
      <c r="F749" s="7">
        <f>прил.6!G302+прил.6!G466+прил.6!G1551</f>
        <v>22</v>
      </c>
      <c r="G749" s="7">
        <f>прил.6!H302+прил.6!H466+прил.6!H1551</f>
        <v>0</v>
      </c>
      <c r="H749" s="35">
        <f t="shared" si="164"/>
        <v>22</v>
      </c>
      <c r="I749" s="7">
        <f>прил.6!J302+прил.6!J466+прил.6!J1551</f>
        <v>0</v>
      </c>
      <c r="J749" s="35">
        <f t="shared" si="180"/>
        <v>22</v>
      </c>
      <c r="K749" s="7">
        <f>прил.6!L302+прил.6!L466+прил.6!L1551</f>
        <v>0</v>
      </c>
      <c r="L749" s="35">
        <f t="shared" si="177"/>
        <v>22</v>
      </c>
      <c r="M749" s="7">
        <f>прил.6!N302+прил.6!N466+прил.6!N1551</f>
        <v>0</v>
      </c>
      <c r="N749" s="35">
        <f t="shared" si="178"/>
        <v>22</v>
      </c>
      <c r="O749" s="7">
        <f>прил.6!P302+прил.6!P466+прил.6!P1551</f>
        <v>0</v>
      </c>
      <c r="P749" s="35">
        <f t="shared" si="174"/>
        <v>22</v>
      </c>
      <c r="Q749" s="7">
        <f>прил.6!R302+прил.6!R466+прил.6!R1551</f>
        <v>0</v>
      </c>
      <c r="R749" s="35">
        <f t="shared" si="175"/>
        <v>22</v>
      </c>
      <c r="S749" s="7">
        <f>прил.6!T302+прил.6!T466+прил.6!T1551</f>
        <v>0</v>
      </c>
      <c r="T749" s="35">
        <f t="shared" si="179"/>
        <v>22</v>
      </c>
    </row>
    <row r="750" spans="1:20" ht="36" customHeight="1">
      <c r="A750" s="61" t="str">
        <f t="shared" ca="1" si="181"/>
        <v>Предоставление субсидий бюджетным, автономным учреждениям и иным некоммерческим организациям</v>
      </c>
      <c r="B750" s="45" t="s">
        <v>2</v>
      </c>
      <c r="C750" s="8" t="s">
        <v>216</v>
      </c>
      <c r="D750" s="8" t="s">
        <v>196</v>
      </c>
      <c r="E750" s="104">
        <v>600</v>
      </c>
      <c r="F750" s="7">
        <f>F751</f>
        <v>30.4</v>
      </c>
      <c r="G750" s="7">
        <f>G751</f>
        <v>0</v>
      </c>
      <c r="H750" s="35">
        <f t="shared" ref="H750:H862" si="182">F750+G750</f>
        <v>30.4</v>
      </c>
      <c r="I750" s="7">
        <f>I751</f>
        <v>0</v>
      </c>
      <c r="J750" s="35">
        <f t="shared" si="180"/>
        <v>30.4</v>
      </c>
      <c r="K750" s="7">
        <f>K751</f>
        <v>0</v>
      </c>
      <c r="L750" s="35">
        <f t="shared" si="177"/>
        <v>30.4</v>
      </c>
      <c r="M750" s="7">
        <f>M751</f>
        <v>0</v>
      </c>
      <c r="N750" s="35">
        <f t="shared" si="178"/>
        <v>30.4</v>
      </c>
      <c r="O750" s="7">
        <f>O751</f>
        <v>0</v>
      </c>
      <c r="P750" s="35">
        <f t="shared" si="174"/>
        <v>30.4</v>
      </c>
      <c r="Q750" s="7">
        <f>Q751</f>
        <v>0</v>
      </c>
      <c r="R750" s="35">
        <f t="shared" si="175"/>
        <v>30.4</v>
      </c>
      <c r="S750" s="7">
        <f>S751</f>
        <v>0</v>
      </c>
      <c r="T750" s="35">
        <f t="shared" si="179"/>
        <v>30.4</v>
      </c>
    </row>
    <row r="751" spans="1:20">
      <c r="A751" s="61" t="str">
        <f t="shared" ca="1" si="181"/>
        <v>Субсидии бюджетным учреждениям</v>
      </c>
      <c r="B751" s="45" t="s">
        <v>2</v>
      </c>
      <c r="C751" s="8" t="s">
        <v>216</v>
      </c>
      <c r="D751" s="8" t="s">
        <v>196</v>
      </c>
      <c r="E751" s="104">
        <v>610</v>
      </c>
      <c r="F751" s="7">
        <f>F752</f>
        <v>30.4</v>
      </c>
      <c r="G751" s="7">
        <f>G752</f>
        <v>0</v>
      </c>
      <c r="H751" s="35">
        <f t="shared" si="182"/>
        <v>30.4</v>
      </c>
      <c r="I751" s="7">
        <f>I752</f>
        <v>0</v>
      </c>
      <c r="J751" s="35">
        <f t="shared" si="180"/>
        <v>30.4</v>
      </c>
      <c r="K751" s="7">
        <f>K752</f>
        <v>0</v>
      </c>
      <c r="L751" s="35">
        <f t="shared" si="177"/>
        <v>30.4</v>
      </c>
      <c r="M751" s="7">
        <f>M752</f>
        <v>0</v>
      </c>
      <c r="N751" s="35">
        <f t="shared" si="178"/>
        <v>30.4</v>
      </c>
      <c r="O751" s="7">
        <f>O752</f>
        <v>0</v>
      </c>
      <c r="P751" s="35">
        <f t="shared" si="174"/>
        <v>30.4</v>
      </c>
      <c r="Q751" s="7">
        <f>Q752</f>
        <v>0</v>
      </c>
      <c r="R751" s="35">
        <f t="shared" si="175"/>
        <v>30.4</v>
      </c>
      <c r="S751" s="7">
        <f>S752</f>
        <v>0</v>
      </c>
      <c r="T751" s="35">
        <f t="shared" si="179"/>
        <v>30.4</v>
      </c>
    </row>
    <row r="752" spans="1:20">
      <c r="A752" s="61" t="str">
        <f t="shared" ca="1" si="181"/>
        <v>Субсидии бюджетным учреждениям на иные цели</v>
      </c>
      <c r="B752" s="45" t="s">
        <v>2</v>
      </c>
      <c r="C752" s="8" t="s">
        <v>216</v>
      </c>
      <c r="D752" s="8" t="s">
        <v>196</v>
      </c>
      <c r="E752" s="104">
        <v>612</v>
      </c>
      <c r="F752" s="7">
        <f>прил.6!G917</f>
        <v>30.4</v>
      </c>
      <c r="G752" s="7">
        <f>прил.6!H917</f>
        <v>0</v>
      </c>
      <c r="H752" s="35">
        <f t="shared" si="182"/>
        <v>30.4</v>
      </c>
      <c r="I752" s="7">
        <f>прил.6!J917</f>
        <v>0</v>
      </c>
      <c r="J752" s="35">
        <f t="shared" si="180"/>
        <v>30.4</v>
      </c>
      <c r="K752" s="7">
        <f>прил.6!L917</f>
        <v>0</v>
      </c>
      <c r="L752" s="35">
        <f t="shared" si="177"/>
        <v>30.4</v>
      </c>
      <c r="M752" s="7">
        <f>прил.6!N917</f>
        <v>0</v>
      </c>
      <c r="N752" s="35">
        <f t="shared" si="178"/>
        <v>30.4</v>
      </c>
      <c r="O752" s="7">
        <f>прил.6!P917</f>
        <v>0</v>
      </c>
      <c r="P752" s="35">
        <f t="shared" si="174"/>
        <v>30.4</v>
      </c>
      <c r="Q752" s="7">
        <f>прил.6!R917</f>
        <v>0</v>
      </c>
      <c r="R752" s="35">
        <f t="shared" si="175"/>
        <v>30.4</v>
      </c>
      <c r="S752" s="7">
        <f>прил.6!T917</f>
        <v>0</v>
      </c>
      <c r="T752" s="35">
        <f t="shared" si="179"/>
        <v>30.4</v>
      </c>
    </row>
    <row r="753" spans="1:20">
      <c r="A753" s="61" t="str">
        <f ca="1">IF(ISERROR(MATCH(B753,Код_КЦСР,0)),"",INDIRECT(ADDRESS(MATCH(B753,Код_КЦСР,0)+1,2,,,"КЦСР")))</f>
        <v>Развитие туристской, инженерной и транспортной инфраструктур</v>
      </c>
      <c r="B753" s="45" t="s">
        <v>3</v>
      </c>
      <c r="C753" s="8"/>
      <c r="D753" s="1"/>
      <c r="E753" s="104"/>
      <c r="F753" s="7">
        <f t="shared" ref="F753:S757" si="183">F754</f>
        <v>28</v>
      </c>
      <c r="G753" s="7">
        <f t="shared" si="183"/>
        <v>0</v>
      </c>
      <c r="H753" s="35">
        <f t="shared" si="182"/>
        <v>28</v>
      </c>
      <c r="I753" s="7">
        <f t="shared" si="183"/>
        <v>0</v>
      </c>
      <c r="J753" s="35">
        <f t="shared" si="180"/>
        <v>28</v>
      </c>
      <c r="K753" s="7">
        <f t="shared" si="183"/>
        <v>0</v>
      </c>
      <c r="L753" s="35">
        <f t="shared" si="177"/>
        <v>28</v>
      </c>
      <c r="M753" s="7">
        <f t="shared" si="183"/>
        <v>0</v>
      </c>
      <c r="N753" s="35">
        <f t="shared" si="178"/>
        <v>28</v>
      </c>
      <c r="O753" s="7">
        <f t="shared" si="183"/>
        <v>0</v>
      </c>
      <c r="P753" s="35">
        <f t="shared" si="174"/>
        <v>28</v>
      </c>
      <c r="Q753" s="7">
        <f t="shared" si="183"/>
        <v>0</v>
      </c>
      <c r="R753" s="35">
        <f t="shared" si="175"/>
        <v>28</v>
      </c>
      <c r="S753" s="7">
        <f t="shared" si="183"/>
        <v>0</v>
      </c>
      <c r="T753" s="35">
        <f t="shared" si="179"/>
        <v>28</v>
      </c>
    </row>
    <row r="754" spans="1:20">
      <c r="A754" s="61" t="str">
        <f ca="1">IF(ISERROR(MATCH(C754,Код_Раздел,0)),"",INDIRECT(ADDRESS(MATCH(C754,Код_Раздел,0)+1,2,,,"Раздел")))</f>
        <v>Национальная экономика</v>
      </c>
      <c r="B754" s="45" t="s">
        <v>3</v>
      </c>
      <c r="C754" s="8" t="s">
        <v>216</v>
      </c>
      <c r="D754" s="1"/>
      <c r="E754" s="104"/>
      <c r="F754" s="7">
        <f t="shared" si="183"/>
        <v>28</v>
      </c>
      <c r="G754" s="7">
        <f t="shared" si="183"/>
        <v>0</v>
      </c>
      <c r="H754" s="35">
        <f t="shared" si="182"/>
        <v>28</v>
      </c>
      <c r="I754" s="7">
        <f t="shared" si="183"/>
        <v>0</v>
      </c>
      <c r="J754" s="35">
        <f t="shared" si="180"/>
        <v>28</v>
      </c>
      <c r="K754" s="7">
        <f t="shared" si="183"/>
        <v>0</v>
      </c>
      <c r="L754" s="35">
        <f t="shared" si="177"/>
        <v>28</v>
      </c>
      <c r="M754" s="7">
        <f t="shared" si="183"/>
        <v>0</v>
      </c>
      <c r="N754" s="35">
        <f t="shared" si="178"/>
        <v>28</v>
      </c>
      <c r="O754" s="7">
        <f t="shared" si="183"/>
        <v>0</v>
      </c>
      <c r="P754" s="35">
        <f t="shared" si="174"/>
        <v>28</v>
      </c>
      <c r="Q754" s="7">
        <f t="shared" si="183"/>
        <v>0</v>
      </c>
      <c r="R754" s="35">
        <f t="shared" si="175"/>
        <v>28</v>
      </c>
      <c r="S754" s="7">
        <f t="shared" si="183"/>
        <v>0</v>
      </c>
      <c r="T754" s="35">
        <f t="shared" si="179"/>
        <v>28</v>
      </c>
    </row>
    <row r="755" spans="1:20">
      <c r="A755" s="12" t="s">
        <v>223</v>
      </c>
      <c r="B755" s="45" t="s">
        <v>3</v>
      </c>
      <c r="C755" s="8" t="s">
        <v>216</v>
      </c>
      <c r="D755" s="8" t="s">
        <v>196</v>
      </c>
      <c r="E755" s="104"/>
      <c r="F755" s="7">
        <f t="shared" si="183"/>
        <v>28</v>
      </c>
      <c r="G755" s="7">
        <f t="shared" si="183"/>
        <v>0</v>
      </c>
      <c r="H755" s="35">
        <f t="shared" si="182"/>
        <v>28</v>
      </c>
      <c r="I755" s="7">
        <f t="shared" si="183"/>
        <v>0</v>
      </c>
      <c r="J755" s="35">
        <f t="shared" si="180"/>
        <v>28</v>
      </c>
      <c r="K755" s="7">
        <f t="shared" si="183"/>
        <v>0</v>
      </c>
      <c r="L755" s="35">
        <f t="shared" si="177"/>
        <v>28</v>
      </c>
      <c r="M755" s="7">
        <f t="shared" si="183"/>
        <v>0</v>
      </c>
      <c r="N755" s="35">
        <f t="shared" si="178"/>
        <v>28</v>
      </c>
      <c r="O755" s="7">
        <f t="shared" si="183"/>
        <v>0</v>
      </c>
      <c r="P755" s="35">
        <f t="shared" si="174"/>
        <v>28</v>
      </c>
      <c r="Q755" s="7">
        <f t="shared" si="183"/>
        <v>0</v>
      </c>
      <c r="R755" s="35">
        <f t="shared" si="175"/>
        <v>28</v>
      </c>
      <c r="S755" s="7">
        <f t="shared" si="183"/>
        <v>0</v>
      </c>
      <c r="T755" s="35">
        <f t="shared" si="179"/>
        <v>28</v>
      </c>
    </row>
    <row r="756" spans="1:20">
      <c r="A756" s="61" t="str">
        <f ca="1">IF(ISERROR(MATCH(E756,Код_КВР,0)),"",INDIRECT(ADDRESS(MATCH(E756,Код_КВР,0)+1,2,,,"КВР")))</f>
        <v>Закупка товаров, работ и услуг для муниципальных нужд</v>
      </c>
      <c r="B756" s="45" t="s">
        <v>3</v>
      </c>
      <c r="C756" s="8" t="s">
        <v>216</v>
      </c>
      <c r="D756" s="8" t="s">
        <v>196</v>
      </c>
      <c r="E756" s="104">
        <v>200</v>
      </c>
      <c r="F756" s="7">
        <f t="shared" si="183"/>
        <v>28</v>
      </c>
      <c r="G756" s="7">
        <f t="shared" si="183"/>
        <v>0</v>
      </c>
      <c r="H756" s="35">
        <f t="shared" si="182"/>
        <v>28</v>
      </c>
      <c r="I756" s="7">
        <f t="shared" si="183"/>
        <v>0</v>
      </c>
      <c r="J756" s="35">
        <f t="shared" si="180"/>
        <v>28</v>
      </c>
      <c r="K756" s="7">
        <f t="shared" si="183"/>
        <v>0</v>
      </c>
      <c r="L756" s="35">
        <f t="shared" si="177"/>
        <v>28</v>
      </c>
      <c r="M756" s="7">
        <f t="shared" si="183"/>
        <v>0</v>
      </c>
      <c r="N756" s="35">
        <f t="shared" si="178"/>
        <v>28</v>
      </c>
      <c r="O756" s="7">
        <f t="shared" si="183"/>
        <v>0</v>
      </c>
      <c r="P756" s="35">
        <f t="shared" si="174"/>
        <v>28</v>
      </c>
      <c r="Q756" s="7">
        <f t="shared" si="183"/>
        <v>0</v>
      </c>
      <c r="R756" s="35">
        <f t="shared" si="175"/>
        <v>28</v>
      </c>
      <c r="S756" s="7">
        <f t="shared" si="183"/>
        <v>0</v>
      </c>
      <c r="T756" s="35">
        <f t="shared" si="179"/>
        <v>28</v>
      </c>
    </row>
    <row r="757" spans="1:20" ht="33">
      <c r="A757" s="61" t="str">
        <f ca="1">IF(ISERROR(MATCH(E757,Код_КВР,0)),"",INDIRECT(ADDRESS(MATCH(E757,Код_КВР,0)+1,2,,,"КВР")))</f>
        <v>Иные закупки товаров, работ и услуг для обеспечения муниципальных нужд</v>
      </c>
      <c r="B757" s="45" t="s">
        <v>3</v>
      </c>
      <c r="C757" s="8" t="s">
        <v>216</v>
      </c>
      <c r="D757" s="8" t="s">
        <v>196</v>
      </c>
      <c r="E757" s="104">
        <v>240</v>
      </c>
      <c r="F757" s="7">
        <f t="shared" si="183"/>
        <v>28</v>
      </c>
      <c r="G757" s="7">
        <f t="shared" si="183"/>
        <v>0</v>
      </c>
      <c r="H757" s="35">
        <f t="shared" si="182"/>
        <v>28</v>
      </c>
      <c r="I757" s="7">
        <f t="shared" si="183"/>
        <v>0</v>
      </c>
      <c r="J757" s="35">
        <f t="shared" si="180"/>
        <v>28</v>
      </c>
      <c r="K757" s="7">
        <f t="shared" si="183"/>
        <v>0</v>
      </c>
      <c r="L757" s="35">
        <f t="shared" si="177"/>
        <v>28</v>
      </c>
      <c r="M757" s="7">
        <f t="shared" si="183"/>
        <v>0</v>
      </c>
      <c r="N757" s="35">
        <f t="shared" si="178"/>
        <v>28</v>
      </c>
      <c r="O757" s="7">
        <f t="shared" si="183"/>
        <v>0</v>
      </c>
      <c r="P757" s="35">
        <f t="shared" si="174"/>
        <v>28</v>
      </c>
      <c r="Q757" s="7">
        <f t="shared" si="183"/>
        <v>0</v>
      </c>
      <c r="R757" s="35">
        <f t="shared" si="175"/>
        <v>28</v>
      </c>
      <c r="S757" s="7">
        <f t="shared" si="183"/>
        <v>0</v>
      </c>
      <c r="T757" s="35">
        <f t="shared" si="179"/>
        <v>28</v>
      </c>
    </row>
    <row r="758" spans="1:20" ht="33">
      <c r="A758" s="61" t="str">
        <f ca="1">IF(ISERROR(MATCH(E758,Код_КВР,0)),"",INDIRECT(ADDRESS(MATCH(E758,Код_КВР,0)+1,2,,,"КВР")))</f>
        <v xml:space="preserve">Прочая закупка товаров, работ и услуг для обеспечения муниципальных нужд         </v>
      </c>
      <c r="B758" s="45" t="s">
        <v>3</v>
      </c>
      <c r="C758" s="8" t="s">
        <v>216</v>
      </c>
      <c r="D758" s="8" t="s">
        <v>196</v>
      </c>
      <c r="E758" s="104">
        <v>244</v>
      </c>
      <c r="F758" s="7">
        <f>прил.6!G470</f>
        <v>28</v>
      </c>
      <c r="G758" s="7">
        <f>прил.6!H470</f>
        <v>0</v>
      </c>
      <c r="H758" s="35">
        <f t="shared" si="182"/>
        <v>28</v>
      </c>
      <c r="I758" s="7">
        <f>прил.6!J470</f>
        <v>0</v>
      </c>
      <c r="J758" s="35">
        <f t="shared" si="180"/>
        <v>28</v>
      </c>
      <c r="K758" s="7">
        <f>прил.6!L470</f>
        <v>0</v>
      </c>
      <c r="L758" s="35">
        <f t="shared" si="177"/>
        <v>28</v>
      </c>
      <c r="M758" s="7">
        <f>прил.6!N470</f>
        <v>0</v>
      </c>
      <c r="N758" s="35">
        <f t="shared" si="178"/>
        <v>28</v>
      </c>
      <c r="O758" s="7">
        <f>прил.6!P470</f>
        <v>0</v>
      </c>
      <c r="P758" s="35">
        <f t="shared" si="174"/>
        <v>28</v>
      </c>
      <c r="Q758" s="7">
        <f>прил.6!R470</f>
        <v>0</v>
      </c>
      <c r="R758" s="35">
        <f t="shared" si="175"/>
        <v>28</v>
      </c>
      <c r="S758" s="7">
        <f>прил.6!T470</f>
        <v>0</v>
      </c>
      <c r="T758" s="35">
        <f t="shared" si="179"/>
        <v>28</v>
      </c>
    </row>
    <row r="759" spans="1:20" ht="33">
      <c r="A759" s="61" t="str">
        <f ca="1">IF(ISERROR(MATCH(B759,Код_КЦСР,0)),"",INDIRECT(ADDRESS(MATCH(B759,Код_КЦСР,0)+1,2,,,"КЦСР")))</f>
        <v>Муниципальная программа «Социальная поддержка граждан» на 2014-2018 годы</v>
      </c>
      <c r="B759" s="45" t="s">
        <v>5</v>
      </c>
      <c r="C759" s="8"/>
      <c r="D759" s="1"/>
      <c r="E759" s="104"/>
      <c r="F759" s="7">
        <f>F760+F766+F778+F788+F798+F812+F846+F856+F862+F881+F887+F896+F906+F937</f>
        <v>859558.59999999986</v>
      </c>
      <c r="G759" s="7">
        <f>G760+G766+G778+G788+G798+G812+G846+G856+G862+G881+G887+G896+G906+G937</f>
        <v>0</v>
      </c>
      <c r="H759" s="35">
        <f t="shared" si="182"/>
        <v>859558.59999999986</v>
      </c>
      <c r="I759" s="7">
        <f>I760+I766+I778+I788+I798+I812+I846+I856+I862+I881+I887+I896+I906+I937</f>
        <v>0</v>
      </c>
      <c r="J759" s="35">
        <f t="shared" si="180"/>
        <v>859558.59999999986</v>
      </c>
      <c r="K759" s="7">
        <f>K760+K766+K778+K788+K798+K812+K846+K856+K862+K881+K887+K896+K906+K937</f>
        <v>-3790.2</v>
      </c>
      <c r="L759" s="35">
        <f t="shared" si="177"/>
        <v>855768.39999999991</v>
      </c>
      <c r="M759" s="7">
        <f>M760+M766+M778+M788+M798+M812+M846+M856+M862+M881+M887+M896+M906+M937+M826</f>
        <v>432</v>
      </c>
      <c r="N759" s="35">
        <f t="shared" si="178"/>
        <v>856200.39999999991</v>
      </c>
      <c r="O759" s="7">
        <f>O760+O766+O778+O788+O798+O812+O846+O856+O862+O881+O887+O896+O906+O937+O826</f>
        <v>0</v>
      </c>
      <c r="P759" s="35">
        <f t="shared" si="174"/>
        <v>856200.39999999991</v>
      </c>
      <c r="Q759" s="7">
        <f>Q760+Q766+Q778+Q788+Q798+Q812+Q846+Q856+Q862+Q881+Q887+Q896+Q906+Q937+Q826+Q870+Q772+Q833</f>
        <v>64600.399999999994</v>
      </c>
      <c r="R759" s="35">
        <f t="shared" si="175"/>
        <v>920800.79999999993</v>
      </c>
      <c r="S759" s="7">
        <f>S760+S766+S778+S788+S798+S812+S846+S856+S862+S881+S887+S896+S906+S937+S826+S870+S772+S833</f>
        <v>46570.900000000009</v>
      </c>
      <c r="T759" s="35">
        <f t="shared" si="179"/>
        <v>967371.7</v>
      </c>
    </row>
    <row r="760" spans="1:20" ht="56.25" customHeight="1">
      <c r="A760" s="61" t="str">
        <f ca="1">IF(ISERROR(MATCH(B760,Код_КЦСР,0)),"",INDIRECT(ADDRESS(MATCH(B760,Код_КЦСР,0)+1,2,,,"КЦСР")))</f>
        <v>Частичная оплата стоимости путевок в оздоровительные учреждения для детей работников органов городского самоуправления и муниципальных учреждений города</v>
      </c>
      <c r="B760" s="45" t="s">
        <v>6</v>
      </c>
      <c r="C760" s="8"/>
      <c r="D760" s="1"/>
      <c r="E760" s="104"/>
      <c r="F760" s="7">
        <f t="shared" ref="F760:S764" si="184">F761</f>
        <v>962.5</v>
      </c>
      <c r="G760" s="7">
        <f t="shared" si="184"/>
        <v>0</v>
      </c>
      <c r="H760" s="35">
        <f t="shared" si="182"/>
        <v>962.5</v>
      </c>
      <c r="I760" s="7">
        <f t="shared" si="184"/>
        <v>0</v>
      </c>
      <c r="J760" s="35">
        <f t="shared" si="180"/>
        <v>962.5</v>
      </c>
      <c r="K760" s="7">
        <f t="shared" si="184"/>
        <v>0</v>
      </c>
      <c r="L760" s="35">
        <f t="shared" si="177"/>
        <v>962.5</v>
      </c>
      <c r="M760" s="7">
        <f t="shared" si="184"/>
        <v>0</v>
      </c>
      <c r="N760" s="35">
        <f t="shared" si="178"/>
        <v>962.5</v>
      </c>
      <c r="O760" s="7">
        <f t="shared" si="184"/>
        <v>0</v>
      </c>
      <c r="P760" s="35">
        <f t="shared" si="174"/>
        <v>962.5</v>
      </c>
      <c r="Q760" s="7">
        <f t="shared" si="184"/>
        <v>0</v>
      </c>
      <c r="R760" s="35">
        <f t="shared" si="175"/>
        <v>962.5</v>
      </c>
      <c r="S760" s="7">
        <f t="shared" si="184"/>
        <v>0</v>
      </c>
      <c r="T760" s="35">
        <f t="shared" si="179"/>
        <v>962.5</v>
      </c>
    </row>
    <row r="761" spans="1:20">
      <c r="A761" s="61" t="str">
        <f ca="1">IF(ISERROR(MATCH(C761,Код_Раздел,0)),"",INDIRECT(ADDRESS(MATCH(C761,Код_Раздел,0)+1,2,,,"Раздел")))</f>
        <v>Образование</v>
      </c>
      <c r="B761" s="45" t="s">
        <v>6</v>
      </c>
      <c r="C761" s="8" t="s">
        <v>195</v>
      </c>
      <c r="D761" s="1"/>
      <c r="E761" s="104"/>
      <c r="F761" s="7">
        <f t="shared" si="184"/>
        <v>962.5</v>
      </c>
      <c r="G761" s="7">
        <f t="shared" si="184"/>
        <v>0</v>
      </c>
      <c r="H761" s="35">
        <f t="shared" si="182"/>
        <v>962.5</v>
      </c>
      <c r="I761" s="7">
        <f t="shared" si="184"/>
        <v>0</v>
      </c>
      <c r="J761" s="35">
        <f t="shared" si="180"/>
        <v>962.5</v>
      </c>
      <c r="K761" s="7">
        <f t="shared" si="184"/>
        <v>0</v>
      </c>
      <c r="L761" s="35">
        <f t="shared" si="177"/>
        <v>962.5</v>
      </c>
      <c r="M761" s="7">
        <f t="shared" si="184"/>
        <v>0</v>
      </c>
      <c r="N761" s="35">
        <f t="shared" si="178"/>
        <v>962.5</v>
      </c>
      <c r="O761" s="7">
        <f t="shared" si="184"/>
        <v>0</v>
      </c>
      <c r="P761" s="35">
        <f t="shared" si="174"/>
        <v>962.5</v>
      </c>
      <c r="Q761" s="7">
        <f t="shared" si="184"/>
        <v>0</v>
      </c>
      <c r="R761" s="35">
        <f t="shared" si="175"/>
        <v>962.5</v>
      </c>
      <c r="S761" s="7">
        <f t="shared" si="184"/>
        <v>0</v>
      </c>
      <c r="T761" s="35">
        <f t="shared" si="179"/>
        <v>962.5</v>
      </c>
    </row>
    <row r="762" spans="1:20">
      <c r="A762" s="12" t="s">
        <v>199</v>
      </c>
      <c r="B762" s="45" t="s">
        <v>6</v>
      </c>
      <c r="C762" s="8" t="s">
        <v>195</v>
      </c>
      <c r="D762" s="8" t="s">
        <v>195</v>
      </c>
      <c r="E762" s="104"/>
      <c r="F762" s="7">
        <f t="shared" si="184"/>
        <v>962.5</v>
      </c>
      <c r="G762" s="7">
        <f t="shared" si="184"/>
        <v>0</v>
      </c>
      <c r="H762" s="35">
        <f t="shared" si="182"/>
        <v>962.5</v>
      </c>
      <c r="I762" s="7">
        <f t="shared" si="184"/>
        <v>0</v>
      </c>
      <c r="J762" s="35">
        <f t="shared" si="180"/>
        <v>962.5</v>
      </c>
      <c r="K762" s="7">
        <f t="shared" si="184"/>
        <v>0</v>
      </c>
      <c r="L762" s="35">
        <f t="shared" si="177"/>
        <v>962.5</v>
      </c>
      <c r="M762" s="7">
        <f t="shared" si="184"/>
        <v>0</v>
      </c>
      <c r="N762" s="35">
        <f t="shared" si="178"/>
        <v>962.5</v>
      </c>
      <c r="O762" s="7">
        <f t="shared" si="184"/>
        <v>0</v>
      </c>
      <c r="P762" s="35">
        <f t="shared" si="174"/>
        <v>962.5</v>
      </c>
      <c r="Q762" s="7">
        <f t="shared" si="184"/>
        <v>0</v>
      </c>
      <c r="R762" s="35">
        <f t="shared" si="175"/>
        <v>962.5</v>
      </c>
      <c r="S762" s="7">
        <f t="shared" si="184"/>
        <v>0</v>
      </c>
      <c r="T762" s="35">
        <f t="shared" si="179"/>
        <v>962.5</v>
      </c>
    </row>
    <row r="763" spans="1:20">
      <c r="A763" s="61" t="str">
        <f ca="1">IF(ISERROR(MATCH(E763,Код_КВР,0)),"",INDIRECT(ADDRESS(MATCH(E763,Код_КВР,0)+1,2,,,"КВР")))</f>
        <v>Социальное обеспечение и иные выплаты населению</v>
      </c>
      <c r="B763" s="45" t="s">
        <v>6</v>
      </c>
      <c r="C763" s="8" t="s">
        <v>195</v>
      </c>
      <c r="D763" s="8" t="s">
        <v>195</v>
      </c>
      <c r="E763" s="104">
        <v>300</v>
      </c>
      <c r="F763" s="7">
        <f t="shared" si="184"/>
        <v>962.5</v>
      </c>
      <c r="G763" s="7">
        <f t="shared" si="184"/>
        <v>0</v>
      </c>
      <c r="H763" s="35">
        <f t="shared" si="182"/>
        <v>962.5</v>
      </c>
      <c r="I763" s="7">
        <f t="shared" si="184"/>
        <v>0</v>
      </c>
      <c r="J763" s="35">
        <f t="shared" si="180"/>
        <v>962.5</v>
      </c>
      <c r="K763" s="7">
        <f t="shared" si="184"/>
        <v>0</v>
      </c>
      <c r="L763" s="35">
        <f t="shared" si="177"/>
        <v>962.5</v>
      </c>
      <c r="M763" s="7">
        <f t="shared" si="184"/>
        <v>0</v>
      </c>
      <c r="N763" s="35">
        <f t="shared" si="178"/>
        <v>962.5</v>
      </c>
      <c r="O763" s="7">
        <f t="shared" si="184"/>
        <v>0</v>
      </c>
      <c r="P763" s="35">
        <f t="shared" si="174"/>
        <v>962.5</v>
      </c>
      <c r="Q763" s="7">
        <f t="shared" si="184"/>
        <v>0</v>
      </c>
      <c r="R763" s="35">
        <f t="shared" si="175"/>
        <v>962.5</v>
      </c>
      <c r="S763" s="7">
        <f t="shared" si="184"/>
        <v>0</v>
      </c>
      <c r="T763" s="35">
        <f t="shared" si="179"/>
        <v>962.5</v>
      </c>
    </row>
    <row r="764" spans="1:20" ht="36" customHeight="1">
      <c r="A764" s="61" t="str">
        <f ca="1">IF(ISERROR(MATCH(E764,Код_КВР,0)),"",INDIRECT(ADDRESS(MATCH(E764,Код_КВР,0)+1,2,,,"КВР")))</f>
        <v>Социальные выплаты гражданам, кроме публичных нормативных социальных выплат</v>
      </c>
      <c r="B764" s="45" t="s">
        <v>6</v>
      </c>
      <c r="C764" s="8" t="s">
        <v>195</v>
      </c>
      <c r="D764" s="8" t="s">
        <v>195</v>
      </c>
      <c r="E764" s="104">
        <v>320</v>
      </c>
      <c r="F764" s="7">
        <f t="shared" si="184"/>
        <v>962.5</v>
      </c>
      <c r="G764" s="7">
        <f t="shared" si="184"/>
        <v>0</v>
      </c>
      <c r="H764" s="35">
        <f t="shared" si="182"/>
        <v>962.5</v>
      </c>
      <c r="I764" s="7">
        <f t="shared" si="184"/>
        <v>0</v>
      </c>
      <c r="J764" s="35">
        <f t="shared" si="180"/>
        <v>962.5</v>
      </c>
      <c r="K764" s="7">
        <f t="shared" si="184"/>
        <v>0</v>
      </c>
      <c r="L764" s="35">
        <f t="shared" si="177"/>
        <v>962.5</v>
      </c>
      <c r="M764" s="7">
        <f t="shared" si="184"/>
        <v>0</v>
      </c>
      <c r="N764" s="35">
        <f t="shared" si="178"/>
        <v>962.5</v>
      </c>
      <c r="O764" s="7">
        <f t="shared" si="184"/>
        <v>0</v>
      </c>
      <c r="P764" s="35">
        <f t="shared" si="174"/>
        <v>962.5</v>
      </c>
      <c r="Q764" s="7">
        <f t="shared" si="184"/>
        <v>0</v>
      </c>
      <c r="R764" s="35">
        <f t="shared" si="175"/>
        <v>962.5</v>
      </c>
      <c r="S764" s="7">
        <f t="shared" si="184"/>
        <v>0</v>
      </c>
      <c r="T764" s="35">
        <f t="shared" si="179"/>
        <v>962.5</v>
      </c>
    </row>
    <row r="765" spans="1:20" ht="33">
      <c r="A765" s="61" t="str">
        <f ca="1">IF(ISERROR(MATCH(E765,Код_КВР,0)),"",INDIRECT(ADDRESS(MATCH(E765,Код_КВР,0)+1,2,,,"КВР")))</f>
        <v>Приобретение товаров, работ, услуг в пользу граждан в целях их социального обеспечения</v>
      </c>
      <c r="B765" s="45" t="s">
        <v>6</v>
      </c>
      <c r="C765" s="8" t="s">
        <v>195</v>
      </c>
      <c r="D765" s="8" t="s">
        <v>195</v>
      </c>
      <c r="E765" s="104">
        <v>323</v>
      </c>
      <c r="F765" s="7">
        <f>прил.6!G1302</f>
        <v>962.5</v>
      </c>
      <c r="G765" s="7">
        <f>прил.6!H1302</f>
        <v>0</v>
      </c>
      <c r="H765" s="35">
        <f t="shared" si="182"/>
        <v>962.5</v>
      </c>
      <c r="I765" s="7">
        <f>прил.6!J1302</f>
        <v>0</v>
      </c>
      <c r="J765" s="35">
        <f t="shared" si="180"/>
        <v>962.5</v>
      </c>
      <c r="K765" s="7">
        <f>прил.6!L1302</f>
        <v>0</v>
      </c>
      <c r="L765" s="35">
        <f t="shared" si="177"/>
        <v>962.5</v>
      </c>
      <c r="M765" s="7">
        <f>прил.6!N1302</f>
        <v>0</v>
      </c>
      <c r="N765" s="35">
        <f t="shared" si="178"/>
        <v>962.5</v>
      </c>
      <c r="O765" s="7">
        <f>прил.6!P1302</f>
        <v>0</v>
      </c>
      <c r="P765" s="35">
        <f t="shared" si="174"/>
        <v>962.5</v>
      </c>
      <c r="Q765" s="7">
        <f>прил.6!R1302</f>
        <v>0</v>
      </c>
      <c r="R765" s="35">
        <f t="shared" si="175"/>
        <v>962.5</v>
      </c>
      <c r="S765" s="7">
        <f>прил.6!T1302</f>
        <v>0</v>
      </c>
      <c r="T765" s="35">
        <f t="shared" si="179"/>
        <v>962.5</v>
      </c>
    </row>
    <row r="766" spans="1:20" ht="75" customHeight="1">
      <c r="A766" s="61" t="str">
        <f ca="1">IF(ISERROR(MATCH(B766,Код_КЦСР,0)),"",INDIRECT(ADDRESS(MATCH(B766,Код_КЦСР,0)+1,2,,,"КЦСР")))</f>
        <v xml:space="preserve"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</v>
      </c>
      <c r="B766" s="47" t="s">
        <v>8</v>
      </c>
      <c r="C766" s="8"/>
      <c r="D766" s="1"/>
      <c r="E766" s="104"/>
      <c r="F766" s="7">
        <f t="shared" ref="F766:S770" si="185">F767</f>
        <v>113.2</v>
      </c>
      <c r="G766" s="7">
        <f t="shared" si="185"/>
        <v>0</v>
      </c>
      <c r="H766" s="35">
        <f t="shared" si="182"/>
        <v>113.2</v>
      </c>
      <c r="I766" s="7">
        <f t="shared" si="185"/>
        <v>0</v>
      </c>
      <c r="J766" s="35">
        <f t="shared" si="180"/>
        <v>113.2</v>
      </c>
      <c r="K766" s="7">
        <f t="shared" si="185"/>
        <v>0</v>
      </c>
      <c r="L766" s="35">
        <f t="shared" si="177"/>
        <v>113.2</v>
      </c>
      <c r="M766" s="7">
        <f t="shared" si="185"/>
        <v>0</v>
      </c>
      <c r="N766" s="35">
        <f t="shared" si="178"/>
        <v>113.2</v>
      </c>
      <c r="O766" s="7">
        <f t="shared" si="185"/>
        <v>0</v>
      </c>
      <c r="P766" s="35">
        <f t="shared" si="174"/>
        <v>113.2</v>
      </c>
      <c r="Q766" s="7">
        <f t="shared" si="185"/>
        <v>0</v>
      </c>
      <c r="R766" s="35">
        <f t="shared" si="175"/>
        <v>113.2</v>
      </c>
      <c r="S766" s="7">
        <f t="shared" si="185"/>
        <v>0</v>
      </c>
      <c r="T766" s="35">
        <f t="shared" si="179"/>
        <v>113.2</v>
      </c>
    </row>
    <row r="767" spans="1:20">
      <c r="A767" s="61" t="str">
        <f ca="1">IF(ISERROR(MATCH(C767,Код_Раздел,0)),"",INDIRECT(ADDRESS(MATCH(C767,Код_Раздел,0)+1,2,,,"Раздел")))</f>
        <v>Образование</v>
      </c>
      <c r="B767" s="47" t="s">
        <v>8</v>
      </c>
      <c r="C767" s="8" t="s">
        <v>195</v>
      </c>
      <c r="D767" s="1"/>
      <c r="E767" s="104"/>
      <c r="F767" s="7">
        <f t="shared" si="185"/>
        <v>113.2</v>
      </c>
      <c r="G767" s="7">
        <f t="shared" si="185"/>
        <v>0</v>
      </c>
      <c r="H767" s="35">
        <f t="shared" si="182"/>
        <v>113.2</v>
      </c>
      <c r="I767" s="7">
        <f t="shared" si="185"/>
        <v>0</v>
      </c>
      <c r="J767" s="35">
        <f t="shared" si="180"/>
        <v>113.2</v>
      </c>
      <c r="K767" s="7">
        <f t="shared" si="185"/>
        <v>0</v>
      </c>
      <c r="L767" s="35">
        <f t="shared" si="177"/>
        <v>113.2</v>
      </c>
      <c r="M767" s="7">
        <f t="shared" si="185"/>
        <v>0</v>
      </c>
      <c r="N767" s="35">
        <f t="shared" si="178"/>
        <v>113.2</v>
      </c>
      <c r="O767" s="7">
        <f t="shared" si="185"/>
        <v>0</v>
      </c>
      <c r="P767" s="35">
        <f t="shared" si="174"/>
        <v>113.2</v>
      </c>
      <c r="Q767" s="7">
        <f t="shared" si="185"/>
        <v>0</v>
      </c>
      <c r="R767" s="35">
        <f t="shared" si="175"/>
        <v>113.2</v>
      </c>
      <c r="S767" s="7">
        <f t="shared" si="185"/>
        <v>0</v>
      </c>
      <c r="T767" s="35">
        <f t="shared" si="179"/>
        <v>113.2</v>
      </c>
    </row>
    <row r="768" spans="1:20">
      <c r="A768" s="12" t="s">
        <v>199</v>
      </c>
      <c r="B768" s="47" t="s">
        <v>8</v>
      </c>
      <c r="C768" s="8" t="s">
        <v>195</v>
      </c>
      <c r="D768" s="8" t="s">
        <v>195</v>
      </c>
      <c r="E768" s="104"/>
      <c r="F768" s="7">
        <f t="shared" si="185"/>
        <v>113.2</v>
      </c>
      <c r="G768" s="7">
        <f t="shared" si="185"/>
        <v>0</v>
      </c>
      <c r="H768" s="35">
        <f t="shared" si="182"/>
        <v>113.2</v>
      </c>
      <c r="I768" s="7">
        <f t="shared" si="185"/>
        <v>0</v>
      </c>
      <c r="J768" s="35">
        <f t="shared" si="180"/>
        <v>113.2</v>
      </c>
      <c r="K768" s="7">
        <f t="shared" si="185"/>
        <v>0</v>
      </c>
      <c r="L768" s="35">
        <f t="shared" si="177"/>
        <v>113.2</v>
      </c>
      <c r="M768" s="7">
        <f t="shared" si="185"/>
        <v>0</v>
      </c>
      <c r="N768" s="35">
        <f t="shared" si="178"/>
        <v>113.2</v>
      </c>
      <c r="O768" s="7">
        <f t="shared" si="185"/>
        <v>0</v>
      </c>
      <c r="P768" s="35">
        <f t="shared" si="174"/>
        <v>113.2</v>
      </c>
      <c r="Q768" s="7">
        <f t="shared" si="185"/>
        <v>0</v>
      </c>
      <c r="R768" s="35">
        <f t="shared" si="175"/>
        <v>113.2</v>
      </c>
      <c r="S768" s="7">
        <f t="shared" si="185"/>
        <v>0</v>
      </c>
      <c r="T768" s="35">
        <f t="shared" si="179"/>
        <v>113.2</v>
      </c>
    </row>
    <row r="769" spans="1:20" ht="33">
      <c r="A769" s="61" t="str">
        <f ca="1">IF(ISERROR(MATCH(E769,Код_КВР,0)),"",INDIRECT(ADDRESS(MATCH(E769,Код_КВР,0)+1,2,,,"КВР")))</f>
        <v>Капитальные вложения в объекты недвижимого имущества муниципальной собственности</v>
      </c>
      <c r="B769" s="47" t="s">
        <v>8</v>
      </c>
      <c r="C769" s="8" t="s">
        <v>195</v>
      </c>
      <c r="D769" s="8" t="s">
        <v>195</v>
      </c>
      <c r="E769" s="104">
        <v>400</v>
      </c>
      <c r="F769" s="7">
        <f t="shared" si="185"/>
        <v>113.2</v>
      </c>
      <c r="G769" s="7">
        <f t="shared" si="185"/>
        <v>0</v>
      </c>
      <c r="H769" s="35">
        <f t="shared" si="182"/>
        <v>113.2</v>
      </c>
      <c r="I769" s="7">
        <f t="shared" si="185"/>
        <v>0</v>
      </c>
      <c r="J769" s="35">
        <f t="shared" si="180"/>
        <v>113.2</v>
      </c>
      <c r="K769" s="7">
        <f t="shared" si="185"/>
        <v>0</v>
      </c>
      <c r="L769" s="35">
        <f t="shared" si="177"/>
        <v>113.2</v>
      </c>
      <c r="M769" s="7">
        <f t="shared" si="185"/>
        <v>0</v>
      </c>
      <c r="N769" s="35">
        <f t="shared" si="178"/>
        <v>113.2</v>
      </c>
      <c r="O769" s="7">
        <f t="shared" si="185"/>
        <v>0</v>
      </c>
      <c r="P769" s="35">
        <f t="shared" si="174"/>
        <v>113.2</v>
      </c>
      <c r="Q769" s="7">
        <f t="shared" si="185"/>
        <v>0</v>
      </c>
      <c r="R769" s="35">
        <f t="shared" si="175"/>
        <v>113.2</v>
      </c>
      <c r="S769" s="7">
        <f t="shared" si="185"/>
        <v>0</v>
      </c>
      <c r="T769" s="35">
        <f t="shared" si="179"/>
        <v>113.2</v>
      </c>
    </row>
    <row r="770" spans="1:20">
      <c r="A770" s="61" t="str">
        <f ca="1">IF(ISERROR(MATCH(E770,Код_КВР,0)),"",INDIRECT(ADDRESS(MATCH(E770,Код_КВР,0)+1,2,,,"КВР")))</f>
        <v>Бюджетные инвестиции</v>
      </c>
      <c r="B770" s="47" t="s">
        <v>8</v>
      </c>
      <c r="C770" s="8" t="s">
        <v>195</v>
      </c>
      <c r="D770" s="8" t="s">
        <v>195</v>
      </c>
      <c r="E770" s="104">
        <v>410</v>
      </c>
      <c r="F770" s="7">
        <f t="shared" si="185"/>
        <v>113.2</v>
      </c>
      <c r="G770" s="7">
        <f t="shared" si="185"/>
        <v>0</v>
      </c>
      <c r="H770" s="35">
        <f t="shared" si="182"/>
        <v>113.2</v>
      </c>
      <c r="I770" s="7">
        <f t="shared" si="185"/>
        <v>0</v>
      </c>
      <c r="J770" s="35">
        <f t="shared" si="180"/>
        <v>113.2</v>
      </c>
      <c r="K770" s="7">
        <f t="shared" si="185"/>
        <v>0</v>
      </c>
      <c r="L770" s="35">
        <f t="shared" si="177"/>
        <v>113.2</v>
      </c>
      <c r="M770" s="7">
        <f t="shared" si="185"/>
        <v>0</v>
      </c>
      <c r="N770" s="35">
        <f t="shared" si="178"/>
        <v>113.2</v>
      </c>
      <c r="O770" s="7">
        <f t="shared" si="185"/>
        <v>0</v>
      </c>
      <c r="P770" s="35">
        <f t="shared" si="174"/>
        <v>113.2</v>
      </c>
      <c r="Q770" s="7">
        <f t="shared" si="185"/>
        <v>0</v>
      </c>
      <c r="R770" s="35">
        <f t="shared" si="175"/>
        <v>113.2</v>
      </c>
      <c r="S770" s="7">
        <f t="shared" si="185"/>
        <v>0</v>
      </c>
      <c r="T770" s="35">
        <f t="shared" si="179"/>
        <v>113.2</v>
      </c>
    </row>
    <row r="771" spans="1:20" ht="33">
      <c r="A771" s="61" t="str">
        <f ca="1">IF(ISERROR(MATCH(E771,Код_КВР,0)),"",INDIRECT(ADDRESS(MATCH(E771,Код_КВР,0)+1,2,,,"КВР")))</f>
        <v>Бюджетные инвестиции в объекты капитального строительства муниципальной собственности</v>
      </c>
      <c r="B771" s="47" t="s">
        <v>8</v>
      </c>
      <c r="C771" s="8" t="s">
        <v>195</v>
      </c>
      <c r="D771" s="8" t="s">
        <v>195</v>
      </c>
      <c r="E771" s="104">
        <v>414</v>
      </c>
      <c r="F771" s="7">
        <f>прил.6!G1632</f>
        <v>113.2</v>
      </c>
      <c r="G771" s="7">
        <f>прил.6!H1632</f>
        <v>0</v>
      </c>
      <c r="H771" s="35">
        <f t="shared" si="182"/>
        <v>113.2</v>
      </c>
      <c r="I771" s="7">
        <f>прил.6!J1632</f>
        <v>0</v>
      </c>
      <c r="J771" s="35">
        <f t="shared" si="180"/>
        <v>113.2</v>
      </c>
      <c r="K771" s="7">
        <f>прил.6!L1632</f>
        <v>0</v>
      </c>
      <c r="L771" s="35">
        <f t="shared" si="177"/>
        <v>113.2</v>
      </c>
      <c r="M771" s="7">
        <f>прил.6!N1632</f>
        <v>0</v>
      </c>
      <c r="N771" s="35">
        <f t="shared" si="178"/>
        <v>113.2</v>
      </c>
      <c r="O771" s="7">
        <f>прил.6!P1632</f>
        <v>0</v>
      </c>
      <c r="P771" s="35">
        <f t="shared" si="174"/>
        <v>113.2</v>
      </c>
      <c r="Q771" s="7">
        <f>прил.6!R1632</f>
        <v>0</v>
      </c>
      <c r="R771" s="35">
        <f t="shared" si="175"/>
        <v>113.2</v>
      </c>
      <c r="S771" s="7">
        <f>прил.6!T1632</f>
        <v>0</v>
      </c>
      <c r="T771" s="35">
        <f t="shared" si="179"/>
        <v>113.2</v>
      </c>
    </row>
    <row r="772" spans="1:20" ht="56.25" customHeight="1">
      <c r="A772" s="61" t="str">
        <f ca="1">IF(ISERROR(MATCH(B772,Код_КЦСР,0)),"",INDIRECT(ADDRESS(MATCH(B772,Код_КЦСР,0)+1,2,,,"КЦСР")))</f>
        <v>Мероприятия по подпрограмме «Безбарьерная среда» в рамках софинансирования с государственной программой «Социальная поддержка граждан в Вологодской области на 2014-2018 годы»</v>
      </c>
      <c r="B772" s="45" t="s">
        <v>659</v>
      </c>
      <c r="C772" s="8"/>
      <c r="D772" s="1"/>
      <c r="E772" s="118"/>
      <c r="F772" s="7"/>
      <c r="G772" s="7"/>
      <c r="H772" s="35"/>
      <c r="I772" s="7"/>
      <c r="J772" s="35"/>
      <c r="K772" s="7"/>
      <c r="L772" s="35"/>
      <c r="M772" s="7"/>
      <c r="N772" s="35"/>
      <c r="O772" s="7"/>
      <c r="P772" s="35"/>
      <c r="Q772" s="7">
        <f>Q773</f>
        <v>75</v>
      </c>
      <c r="R772" s="35">
        <f t="shared" si="175"/>
        <v>75</v>
      </c>
      <c r="S772" s="7">
        <f>S773</f>
        <v>0</v>
      </c>
      <c r="T772" s="35">
        <f t="shared" si="179"/>
        <v>75</v>
      </c>
    </row>
    <row r="773" spans="1:20">
      <c r="A773" s="61" t="str">
        <f ca="1">IF(ISERROR(MATCH(C773,Код_Раздел,0)),"",INDIRECT(ADDRESS(MATCH(C773,Код_Раздел,0)+1,2,,,"Раздел")))</f>
        <v>Национальная экономика</v>
      </c>
      <c r="B773" s="45" t="s">
        <v>659</v>
      </c>
      <c r="C773" s="8" t="s">
        <v>216</v>
      </c>
      <c r="D773" s="1"/>
      <c r="E773" s="118"/>
      <c r="F773" s="7"/>
      <c r="G773" s="7"/>
      <c r="H773" s="35"/>
      <c r="I773" s="7"/>
      <c r="J773" s="35"/>
      <c r="K773" s="7"/>
      <c r="L773" s="35"/>
      <c r="M773" s="7"/>
      <c r="N773" s="35"/>
      <c r="O773" s="7"/>
      <c r="P773" s="35"/>
      <c r="Q773" s="7">
        <f>Q774</f>
        <v>75</v>
      </c>
      <c r="R773" s="35">
        <f t="shared" si="175"/>
        <v>75</v>
      </c>
      <c r="S773" s="7">
        <f>S774</f>
        <v>0</v>
      </c>
      <c r="T773" s="35">
        <f t="shared" si="179"/>
        <v>75</v>
      </c>
    </row>
    <row r="774" spans="1:20" ht="20.25" customHeight="1">
      <c r="A774" s="77" t="s">
        <v>180</v>
      </c>
      <c r="B774" s="45" t="s">
        <v>659</v>
      </c>
      <c r="C774" s="8" t="s">
        <v>216</v>
      </c>
      <c r="D774" s="8" t="s">
        <v>219</v>
      </c>
      <c r="E774" s="118"/>
      <c r="F774" s="7"/>
      <c r="G774" s="7"/>
      <c r="H774" s="35"/>
      <c r="I774" s="7"/>
      <c r="J774" s="35"/>
      <c r="K774" s="7"/>
      <c r="L774" s="35"/>
      <c r="M774" s="7"/>
      <c r="N774" s="35"/>
      <c r="O774" s="7"/>
      <c r="P774" s="35"/>
      <c r="Q774" s="7">
        <f>Q775</f>
        <v>75</v>
      </c>
      <c r="R774" s="35">
        <f t="shared" si="175"/>
        <v>75</v>
      </c>
      <c r="S774" s="7">
        <f>S775</f>
        <v>0</v>
      </c>
      <c r="T774" s="35">
        <f t="shared" si="179"/>
        <v>75</v>
      </c>
    </row>
    <row r="775" spans="1:20" ht="21" customHeight="1">
      <c r="A775" s="61" t="str">
        <f ca="1">IF(ISERROR(MATCH(E775,Код_КВР,0)),"",INDIRECT(ADDRESS(MATCH(E775,Код_КВР,0)+1,2,,,"КВР")))</f>
        <v>Закупка товаров, работ и услуг для муниципальных нужд</v>
      </c>
      <c r="B775" s="45" t="s">
        <v>659</v>
      </c>
      <c r="C775" s="8" t="s">
        <v>216</v>
      </c>
      <c r="D775" s="8" t="s">
        <v>219</v>
      </c>
      <c r="E775" s="118">
        <v>200</v>
      </c>
      <c r="F775" s="7"/>
      <c r="G775" s="7"/>
      <c r="H775" s="35"/>
      <c r="I775" s="7"/>
      <c r="J775" s="35"/>
      <c r="K775" s="7"/>
      <c r="L775" s="35"/>
      <c r="M775" s="7"/>
      <c r="N775" s="35"/>
      <c r="O775" s="7"/>
      <c r="P775" s="35"/>
      <c r="Q775" s="7">
        <f>Q776</f>
        <v>75</v>
      </c>
      <c r="R775" s="35">
        <f t="shared" si="175"/>
        <v>75</v>
      </c>
      <c r="S775" s="7">
        <f>S776</f>
        <v>0</v>
      </c>
      <c r="T775" s="35">
        <f t="shared" si="179"/>
        <v>75</v>
      </c>
    </row>
    <row r="776" spans="1:20" ht="21" customHeight="1">
      <c r="A776" s="61" t="str">
        <f ca="1">IF(ISERROR(MATCH(E776,Код_КВР,0)),"",INDIRECT(ADDRESS(MATCH(E776,Код_КВР,0)+1,2,,,"КВР")))</f>
        <v>Иные закупки товаров, работ и услуг для обеспечения муниципальных нужд</v>
      </c>
      <c r="B776" s="45" t="s">
        <v>659</v>
      </c>
      <c r="C776" s="8" t="s">
        <v>216</v>
      </c>
      <c r="D776" s="8" t="s">
        <v>219</v>
      </c>
      <c r="E776" s="118">
        <v>240</v>
      </c>
      <c r="F776" s="7"/>
      <c r="G776" s="7"/>
      <c r="H776" s="35"/>
      <c r="I776" s="7"/>
      <c r="J776" s="35"/>
      <c r="K776" s="7"/>
      <c r="L776" s="35"/>
      <c r="M776" s="7"/>
      <c r="N776" s="35"/>
      <c r="O776" s="7"/>
      <c r="P776" s="35"/>
      <c r="Q776" s="7">
        <f>Q777</f>
        <v>75</v>
      </c>
      <c r="R776" s="35">
        <f t="shared" si="175"/>
        <v>75</v>
      </c>
      <c r="S776" s="7">
        <f>S777</f>
        <v>0</v>
      </c>
      <c r="T776" s="35">
        <f t="shared" si="179"/>
        <v>75</v>
      </c>
    </row>
    <row r="777" spans="1:20" ht="33">
      <c r="A777" s="61" t="str">
        <f ca="1">IF(ISERROR(MATCH(E777,Код_КВР,0)),"",INDIRECT(ADDRESS(MATCH(E777,Код_КВР,0)+1,2,,,"КВР")))</f>
        <v xml:space="preserve">Прочая закупка товаров, работ и услуг для обеспечения муниципальных нужд         </v>
      </c>
      <c r="B777" s="45" t="s">
        <v>659</v>
      </c>
      <c r="C777" s="8" t="s">
        <v>216</v>
      </c>
      <c r="D777" s="8" t="s">
        <v>219</v>
      </c>
      <c r="E777" s="118">
        <v>244</v>
      </c>
      <c r="F777" s="7"/>
      <c r="G777" s="7"/>
      <c r="H777" s="35"/>
      <c r="I777" s="7"/>
      <c r="J777" s="35"/>
      <c r="K777" s="7"/>
      <c r="L777" s="35"/>
      <c r="M777" s="7"/>
      <c r="N777" s="35"/>
      <c r="O777" s="7"/>
      <c r="P777" s="35"/>
      <c r="Q777" s="7">
        <f>прил.6!R435</f>
        <v>75</v>
      </c>
      <c r="R777" s="35">
        <f t="shared" si="175"/>
        <v>75</v>
      </c>
      <c r="S777" s="7">
        <f>прил.6!T435</f>
        <v>0</v>
      </c>
      <c r="T777" s="35">
        <f t="shared" si="179"/>
        <v>75</v>
      </c>
    </row>
    <row r="778" spans="1:20" ht="33">
      <c r="A778" s="61" t="str">
        <f ca="1">IF(ISERROR(MATCH(B778,Код_КЦСР,0)),"",INDIRECT(ADDRESS(MATCH(B778,Код_КЦСР,0)+1,2,,,"КЦСР")))</f>
        <v>Выплата ежемесячного социального пособия на оздоровление работникам учреждений здравоохранения</v>
      </c>
      <c r="B778" s="45" t="s">
        <v>9</v>
      </c>
      <c r="C778" s="8"/>
      <c r="D778" s="1"/>
      <c r="E778" s="104"/>
      <c r="F778" s="7">
        <f t="shared" ref="F778:S786" si="186">F779</f>
        <v>27293</v>
      </c>
      <c r="G778" s="7">
        <f t="shared" si="186"/>
        <v>0</v>
      </c>
      <c r="H778" s="35">
        <f t="shared" si="182"/>
        <v>27293</v>
      </c>
      <c r="I778" s="7">
        <f t="shared" si="186"/>
        <v>0</v>
      </c>
      <c r="J778" s="35">
        <f t="shared" si="180"/>
        <v>27293</v>
      </c>
      <c r="K778" s="7">
        <f t="shared" si="186"/>
        <v>-825</v>
      </c>
      <c r="L778" s="35">
        <f t="shared" si="177"/>
        <v>26468</v>
      </c>
      <c r="M778" s="7">
        <f t="shared" si="186"/>
        <v>0</v>
      </c>
      <c r="N778" s="35">
        <f t="shared" si="178"/>
        <v>26468</v>
      </c>
      <c r="O778" s="7">
        <f t="shared" si="186"/>
        <v>0</v>
      </c>
      <c r="P778" s="35">
        <f t="shared" si="174"/>
        <v>26468</v>
      </c>
      <c r="Q778" s="7">
        <f t="shared" si="186"/>
        <v>0</v>
      </c>
      <c r="R778" s="35">
        <f t="shared" si="175"/>
        <v>26468</v>
      </c>
      <c r="S778" s="7">
        <f t="shared" si="186"/>
        <v>0</v>
      </c>
      <c r="T778" s="35">
        <f t="shared" si="179"/>
        <v>26468</v>
      </c>
    </row>
    <row r="779" spans="1:20" ht="71.25" customHeight="1">
      <c r="A779" s="61" t="str">
        <f ca="1">IF(ISERROR(MATCH(B779,Код_КЦСР,0)),"",INDIRECT(ADDRESS(MATCH(B779,Код_КЦСР,0)+1,2,,,"КЦСР")))</f>
        <v>Ежемесячное социальное пособие на оздоровление отдельным категориям работников учреждений здравоохранения в соответствии с решением Череповецкой городской Думы от 29.05.2012 № 93</v>
      </c>
      <c r="B779" s="45" t="s">
        <v>11</v>
      </c>
      <c r="C779" s="8"/>
      <c r="D779" s="1"/>
      <c r="E779" s="104"/>
      <c r="F779" s="7">
        <f t="shared" si="186"/>
        <v>27293</v>
      </c>
      <c r="G779" s="7">
        <f t="shared" si="186"/>
        <v>0</v>
      </c>
      <c r="H779" s="35">
        <f t="shared" si="182"/>
        <v>27293</v>
      </c>
      <c r="I779" s="7">
        <f t="shared" si="186"/>
        <v>0</v>
      </c>
      <c r="J779" s="35">
        <f t="shared" si="180"/>
        <v>27293</v>
      </c>
      <c r="K779" s="7">
        <f t="shared" si="186"/>
        <v>-825</v>
      </c>
      <c r="L779" s="35">
        <f t="shared" si="177"/>
        <v>26468</v>
      </c>
      <c r="M779" s="7">
        <f t="shared" si="186"/>
        <v>0</v>
      </c>
      <c r="N779" s="35">
        <f t="shared" si="178"/>
        <v>26468</v>
      </c>
      <c r="O779" s="7">
        <f t="shared" si="186"/>
        <v>0</v>
      </c>
      <c r="P779" s="35">
        <f t="shared" si="174"/>
        <v>26468</v>
      </c>
      <c r="Q779" s="7">
        <f t="shared" si="186"/>
        <v>0</v>
      </c>
      <c r="R779" s="35">
        <f t="shared" si="175"/>
        <v>26468</v>
      </c>
      <c r="S779" s="7">
        <f t="shared" si="186"/>
        <v>0</v>
      </c>
      <c r="T779" s="35">
        <f t="shared" si="179"/>
        <v>26468</v>
      </c>
    </row>
    <row r="780" spans="1:20">
      <c r="A780" s="61" t="str">
        <f ca="1">IF(ISERROR(MATCH(C780,Код_Раздел,0)),"",INDIRECT(ADDRESS(MATCH(C780,Код_Раздел,0)+1,2,,,"Раздел")))</f>
        <v>Социальная политика</v>
      </c>
      <c r="B780" s="45" t="s">
        <v>11</v>
      </c>
      <c r="C780" s="8" t="s">
        <v>188</v>
      </c>
      <c r="D780" s="1"/>
      <c r="E780" s="104"/>
      <c r="F780" s="7">
        <f t="shared" si="186"/>
        <v>27293</v>
      </c>
      <c r="G780" s="7">
        <f t="shared" si="186"/>
        <v>0</v>
      </c>
      <c r="H780" s="35">
        <f t="shared" si="182"/>
        <v>27293</v>
      </c>
      <c r="I780" s="7">
        <f t="shared" si="186"/>
        <v>0</v>
      </c>
      <c r="J780" s="35">
        <f t="shared" si="180"/>
        <v>27293</v>
      </c>
      <c r="K780" s="7">
        <f t="shared" si="186"/>
        <v>-825</v>
      </c>
      <c r="L780" s="35">
        <f t="shared" si="177"/>
        <v>26468</v>
      </c>
      <c r="M780" s="7">
        <f t="shared" si="186"/>
        <v>0</v>
      </c>
      <c r="N780" s="35">
        <f t="shared" si="178"/>
        <v>26468</v>
      </c>
      <c r="O780" s="7">
        <f t="shared" si="186"/>
        <v>0</v>
      </c>
      <c r="P780" s="35">
        <f t="shared" si="174"/>
        <v>26468</v>
      </c>
      <c r="Q780" s="7">
        <f t="shared" si="186"/>
        <v>0</v>
      </c>
      <c r="R780" s="35">
        <f t="shared" si="175"/>
        <v>26468</v>
      </c>
      <c r="S780" s="7">
        <f t="shared" si="186"/>
        <v>0</v>
      </c>
      <c r="T780" s="35">
        <f t="shared" si="179"/>
        <v>26468</v>
      </c>
    </row>
    <row r="781" spans="1:20">
      <c r="A781" s="12" t="s">
        <v>179</v>
      </c>
      <c r="B781" s="45" t="s">
        <v>11</v>
      </c>
      <c r="C781" s="8" t="s">
        <v>188</v>
      </c>
      <c r="D781" s="8" t="s">
        <v>215</v>
      </c>
      <c r="E781" s="104"/>
      <c r="F781" s="7">
        <f>F785</f>
        <v>27293</v>
      </c>
      <c r="G781" s="7">
        <f>G785</f>
        <v>0</v>
      </c>
      <c r="H781" s="35">
        <f t="shared" si="182"/>
        <v>27293</v>
      </c>
      <c r="I781" s="7">
        <f>I785</f>
        <v>0</v>
      </c>
      <c r="J781" s="35">
        <f t="shared" si="180"/>
        <v>27293</v>
      </c>
      <c r="K781" s="7">
        <f>K785</f>
        <v>-825</v>
      </c>
      <c r="L781" s="35">
        <f t="shared" si="177"/>
        <v>26468</v>
      </c>
      <c r="M781" s="7">
        <f>M785</f>
        <v>0</v>
      </c>
      <c r="N781" s="35">
        <f t="shared" si="178"/>
        <v>26468</v>
      </c>
      <c r="O781" s="7">
        <f>O785</f>
        <v>0</v>
      </c>
      <c r="P781" s="35">
        <f t="shared" si="174"/>
        <v>26468</v>
      </c>
      <c r="Q781" s="7">
        <f>Q785</f>
        <v>0</v>
      </c>
      <c r="R781" s="35">
        <f t="shared" si="175"/>
        <v>26468</v>
      </c>
      <c r="S781" s="7">
        <f>S782+S785</f>
        <v>0</v>
      </c>
      <c r="T781" s="35">
        <f t="shared" si="179"/>
        <v>26468</v>
      </c>
    </row>
    <row r="782" spans="1:20">
      <c r="A782" s="61" t="str">
        <f t="shared" ref="A782:A787" ca="1" si="187">IF(ISERROR(MATCH(E782,Код_КВР,0)),"",INDIRECT(ADDRESS(MATCH(E782,Код_КВР,0)+1,2,,,"КВР")))</f>
        <v>Закупка товаров, работ и услуг для муниципальных нужд</v>
      </c>
      <c r="B782" s="45" t="s">
        <v>11</v>
      </c>
      <c r="C782" s="8" t="s">
        <v>188</v>
      </c>
      <c r="D782" s="8" t="s">
        <v>215</v>
      </c>
      <c r="E782" s="139">
        <v>200</v>
      </c>
      <c r="F782" s="7"/>
      <c r="G782" s="7"/>
      <c r="H782" s="35"/>
      <c r="I782" s="7"/>
      <c r="J782" s="35"/>
      <c r="K782" s="7"/>
      <c r="L782" s="35"/>
      <c r="M782" s="7"/>
      <c r="N782" s="35"/>
      <c r="O782" s="7"/>
      <c r="P782" s="35"/>
      <c r="Q782" s="7"/>
      <c r="R782" s="35"/>
      <c r="S782" s="7">
        <f t="shared" si="186"/>
        <v>212.5</v>
      </c>
      <c r="T782" s="35">
        <f t="shared" si="179"/>
        <v>212.5</v>
      </c>
    </row>
    <row r="783" spans="1:20" ht="33">
      <c r="A783" s="61" t="str">
        <f t="shared" ca="1" si="187"/>
        <v>Иные закупки товаров, работ и услуг для обеспечения муниципальных нужд</v>
      </c>
      <c r="B783" s="45" t="s">
        <v>11</v>
      </c>
      <c r="C783" s="8" t="s">
        <v>188</v>
      </c>
      <c r="D783" s="8" t="s">
        <v>215</v>
      </c>
      <c r="E783" s="139">
        <v>240</v>
      </c>
      <c r="F783" s="7"/>
      <c r="G783" s="7"/>
      <c r="H783" s="35"/>
      <c r="I783" s="7"/>
      <c r="J783" s="35"/>
      <c r="K783" s="7"/>
      <c r="L783" s="35"/>
      <c r="M783" s="7"/>
      <c r="N783" s="35"/>
      <c r="O783" s="7"/>
      <c r="P783" s="35"/>
      <c r="Q783" s="7"/>
      <c r="R783" s="35"/>
      <c r="S783" s="7">
        <f t="shared" si="186"/>
        <v>212.5</v>
      </c>
      <c r="T783" s="35">
        <f t="shared" si="179"/>
        <v>212.5</v>
      </c>
    </row>
    <row r="784" spans="1:20" ht="33">
      <c r="A784" s="61" t="str">
        <f t="shared" ca="1" si="187"/>
        <v xml:space="preserve">Прочая закупка товаров, работ и услуг для обеспечения муниципальных нужд         </v>
      </c>
      <c r="B784" s="45" t="s">
        <v>11</v>
      </c>
      <c r="C784" s="8" t="s">
        <v>188</v>
      </c>
      <c r="D784" s="8" t="s">
        <v>215</v>
      </c>
      <c r="E784" s="139">
        <v>244</v>
      </c>
      <c r="F784" s="7"/>
      <c r="G784" s="7"/>
      <c r="H784" s="35"/>
      <c r="I784" s="7"/>
      <c r="J784" s="35"/>
      <c r="K784" s="7"/>
      <c r="L784" s="35"/>
      <c r="M784" s="7"/>
      <c r="N784" s="35"/>
      <c r="O784" s="7"/>
      <c r="P784" s="35"/>
      <c r="Q784" s="7"/>
      <c r="R784" s="35"/>
      <c r="S784" s="7">
        <f>прил.6!T1342</f>
        <v>212.5</v>
      </c>
      <c r="T784" s="35">
        <f t="shared" si="179"/>
        <v>212.5</v>
      </c>
    </row>
    <row r="785" spans="1:20">
      <c r="A785" s="61" t="str">
        <f t="shared" ca="1" si="187"/>
        <v>Социальное обеспечение и иные выплаты населению</v>
      </c>
      <c r="B785" s="45" t="s">
        <v>11</v>
      </c>
      <c r="C785" s="8" t="s">
        <v>188</v>
      </c>
      <c r="D785" s="8" t="s">
        <v>215</v>
      </c>
      <c r="E785" s="104">
        <v>300</v>
      </c>
      <c r="F785" s="7">
        <f t="shared" si="186"/>
        <v>27293</v>
      </c>
      <c r="G785" s="7">
        <f t="shared" si="186"/>
        <v>0</v>
      </c>
      <c r="H785" s="35">
        <f t="shared" si="182"/>
        <v>27293</v>
      </c>
      <c r="I785" s="7">
        <f t="shared" si="186"/>
        <v>0</v>
      </c>
      <c r="J785" s="35">
        <f t="shared" si="180"/>
        <v>27293</v>
      </c>
      <c r="K785" s="7">
        <f t="shared" si="186"/>
        <v>-825</v>
      </c>
      <c r="L785" s="35">
        <f t="shared" si="177"/>
        <v>26468</v>
      </c>
      <c r="M785" s="7">
        <f t="shared" si="186"/>
        <v>0</v>
      </c>
      <c r="N785" s="35">
        <f t="shared" si="178"/>
        <v>26468</v>
      </c>
      <c r="O785" s="7">
        <f t="shared" si="186"/>
        <v>0</v>
      </c>
      <c r="P785" s="35">
        <f t="shared" si="174"/>
        <v>26468</v>
      </c>
      <c r="Q785" s="7">
        <f t="shared" si="186"/>
        <v>0</v>
      </c>
      <c r="R785" s="35">
        <f t="shared" si="175"/>
        <v>26468</v>
      </c>
      <c r="S785" s="7">
        <f t="shared" si="186"/>
        <v>-212.5</v>
      </c>
      <c r="T785" s="35">
        <f t="shared" si="179"/>
        <v>26255.5</v>
      </c>
    </row>
    <row r="786" spans="1:20" ht="18.75" customHeight="1">
      <c r="A786" s="61" t="str">
        <f t="shared" ca="1" si="187"/>
        <v>Публичные нормативные социальные выплаты гражданам</v>
      </c>
      <c r="B786" s="45" t="s">
        <v>11</v>
      </c>
      <c r="C786" s="8" t="s">
        <v>188</v>
      </c>
      <c r="D786" s="8" t="s">
        <v>215</v>
      </c>
      <c r="E786" s="104">
        <v>310</v>
      </c>
      <c r="F786" s="7">
        <f t="shared" si="186"/>
        <v>27293</v>
      </c>
      <c r="G786" s="7">
        <f t="shared" si="186"/>
        <v>0</v>
      </c>
      <c r="H786" s="35">
        <f t="shared" si="182"/>
        <v>27293</v>
      </c>
      <c r="I786" s="7">
        <f t="shared" si="186"/>
        <v>0</v>
      </c>
      <c r="J786" s="35">
        <f t="shared" si="180"/>
        <v>27293</v>
      </c>
      <c r="K786" s="7">
        <f t="shared" si="186"/>
        <v>-825</v>
      </c>
      <c r="L786" s="35">
        <f t="shared" si="177"/>
        <v>26468</v>
      </c>
      <c r="M786" s="7">
        <f t="shared" si="186"/>
        <v>0</v>
      </c>
      <c r="N786" s="35">
        <f t="shared" si="178"/>
        <v>26468</v>
      </c>
      <c r="O786" s="7">
        <f t="shared" si="186"/>
        <v>0</v>
      </c>
      <c r="P786" s="35">
        <f t="shared" si="174"/>
        <v>26468</v>
      </c>
      <c r="Q786" s="7">
        <f t="shared" si="186"/>
        <v>0</v>
      </c>
      <c r="R786" s="35">
        <f t="shared" si="175"/>
        <v>26468</v>
      </c>
      <c r="S786" s="7">
        <f t="shared" si="186"/>
        <v>-212.5</v>
      </c>
      <c r="T786" s="35">
        <f t="shared" si="179"/>
        <v>26255.5</v>
      </c>
    </row>
    <row r="787" spans="1:20" ht="35.25" customHeight="1">
      <c r="A787" s="61" t="str">
        <f t="shared" ca="1" si="187"/>
        <v>Пособия, компенсации, меры социальной поддержки по публичным нормативным обязательствам</v>
      </c>
      <c r="B787" s="45" t="s">
        <v>11</v>
      </c>
      <c r="C787" s="8" t="s">
        <v>188</v>
      </c>
      <c r="D787" s="8" t="s">
        <v>215</v>
      </c>
      <c r="E787" s="104">
        <v>313</v>
      </c>
      <c r="F787" s="7">
        <f>прил.6!G1345</f>
        <v>27293</v>
      </c>
      <c r="G787" s="7">
        <f>прил.6!H1345</f>
        <v>0</v>
      </c>
      <c r="H787" s="35">
        <f t="shared" si="182"/>
        <v>27293</v>
      </c>
      <c r="I787" s="7">
        <f>прил.6!J1345</f>
        <v>0</v>
      </c>
      <c r="J787" s="35">
        <f t="shared" si="180"/>
        <v>27293</v>
      </c>
      <c r="K787" s="7">
        <f>прил.6!L1345</f>
        <v>-825</v>
      </c>
      <c r="L787" s="35">
        <f t="shared" si="177"/>
        <v>26468</v>
      </c>
      <c r="M787" s="7">
        <f>прил.6!N1345</f>
        <v>0</v>
      </c>
      <c r="N787" s="35">
        <f t="shared" si="178"/>
        <v>26468</v>
      </c>
      <c r="O787" s="7">
        <f>прил.6!P1345</f>
        <v>0</v>
      </c>
      <c r="P787" s="35">
        <f t="shared" si="174"/>
        <v>26468</v>
      </c>
      <c r="Q787" s="7">
        <f>прил.6!R1345</f>
        <v>0</v>
      </c>
      <c r="R787" s="35">
        <f t="shared" si="175"/>
        <v>26468</v>
      </c>
      <c r="S787" s="7">
        <f>прил.6!T1345</f>
        <v>-212.5</v>
      </c>
      <c r="T787" s="35">
        <f t="shared" si="179"/>
        <v>26255.5</v>
      </c>
    </row>
    <row r="788" spans="1:20" ht="36.75" customHeight="1">
      <c r="A788" s="61" t="str">
        <f ca="1">IF(ISERROR(MATCH(B788,Код_КЦСР,0)),"",INDIRECT(ADDRESS(MATCH(B788,Код_КЦСР,0)+1,2,,,"КЦСР")))</f>
        <v>Выплата ежемесячного социального пособия за найм (поднайм) жилых помещений специалистам учреждений здравоохранения</v>
      </c>
      <c r="B788" s="45" t="s">
        <v>12</v>
      </c>
      <c r="C788" s="8"/>
      <c r="D788" s="1"/>
      <c r="E788" s="104"/>
      <c r="F788" s="7">
        <f t="shared" ref="F788:S796" si="188">F789</f>
        <v>3888</v>
      </c>
      <c r="G788" s="7">
        <f t="shared" si="188"/>
        <v>0</v>
      </c>
      <c r="H788" s="35">
        <f t="shared" si="182"/>
        <v>3888</v>
      </c>
      <c r="I788" s="7">
        <f t="shared" si="188"/>
        <v>0</v>
      </c>
      <c r="J788" s="35">
        <f t="shared" si="180"/>
        <v>3888</v>
      </c>
      <c r="K788" s="7">
        <f t="shared" si="188"/>
        <v>0</v>
      </c>
      <c r="L788" s="35">
        <f t="shared" si="177"/>
        <v>3888</v>
      </c>
      <c r="M788" s="7">
        <f t="shared" si="188"/>
        <v>0</v>
      </c>
      <c r="N788" s="35">
        <f t="shared" si="178"/>
        <v>3888</v>
      </c>
      <c r="O788" s="7">
        <f t="shared" si="188"/>
        <v>0</v>
      </c>
      <c r="P788" s="35">
        <f t="shared" si="174"/>
        <v>3888</v>
      </c>
      <c r="Q788" s="7">
        <f t="shared" si="188"/>
        <v>0</v>
      </c>
      <c r="R788" s="35">
        <f t="shared" si="175"/>
        <v>3888</v>
      </c>
      <c r="S788" s="7">
        <f t="shared" si="188"/>
        <v>0</v>
      </c>
      <c r="T788" s="35">
        <f t="shared" si="179"/>
        <v>3888</v>
      </c>
    </row>
    <row r="789" spans="1:20" ht="70.7" customHeight="1">
      <c r="A789" s="61" t="str">
        <f ca="1">IF(ISERROR(MATCH(B789,Код_КЦСР,0)),"",INDIRECT(ADDRESS(MATCH(B789,Код_КЦСР,0)+1,2,,,"КЦСР")))</f>
        <v>Ежемесячное социальное пособие за найм (поднайм) жилых помещений специалистам учреждений здравоохранения в соответствии с решением Череповецкой городской Думы от 29.05.2012 № 98</v>
      </c>
      <c r="B789" s="45" t="s">
        <v>13</v>
      </c>
      <c r="C789" s="8"/>
      <c r="D789" s="1"/>
      <c r="E789" s="104"/>
      <c r="F789" s="7">
        <f t="shared" si="188"/>
        <v>3888</v>
      </c>
      <c r="G789" s="7">
        <f t="shared" si="188"/>
        <v>0</v>
      </c>
      <c r="H789" s="35">
        <f t="shared" si="182"/>
        <v>3888</v>
      </c>
      <c r="I789" s="7">
        <f t="shared" si="188"/>
        <v>0</v>
      </c>
      <c r="J789" s="35">
        <f t="shared" si="180"/>
        <v>3888</v>
      </c>
      <c r="K789" s="7">
        <f t="shared" si="188"/>
        <v>0</v>
      </c>
      <c r="L789" s="35">
        <f t="shared" si="177"/>
        <v>3888</v>
      </c>
      <c r="M789" s="7">
        <f t="shared" si="188"/>
        <v>0</v>
      </c>
      <c r="N789" s="35">
        <f t="shared" si="178"/>
        <v>3888</v>
      </c>
      <c r="O789" s="7">
        <f t="shared" si="188"/>
        <v>0</v>
      </c>
      <c r="P789" s="35">
        <f t="shared" si="174"/>
        <v>3888</v>
      </c>
      <c r="Q789" s="7">
        <f t="shared" si="188"/>
        <v>0</v>
      </c>
      <c r="R789" s="35">
        <f t="shared" si="175"/>
        <v>3888</v>
      </c>
      <c r="S789" s="7">
        <f t="shared" si="188"/>
        <v>0</v>
      </c>
      <c r="T789" s="35">
        <f t="shared" si="179"/>
        <v>3888</v>
      </c>
    </row>
    <row r="790" spans="1:20">
      <c r="A790" s="61" t="str">
        <f ca="1">IF(ISERROR(MATCH(C790,Код_Раздел,0)),"",INDIRECT(ADDRESS(MATCH(C790,Код_Раздел,0)+1,2,,,"Раздел")))</f>
        <v>Социальная политика</v>
      </c>
      <c r="B790" s="45" t="s">
        <v>13</v>
      </c>
      <c r="C790" s="8" t="s">
        <v>188</v>
      </c>
      <c r="D790" s="1"/>
      <c r="E790" s="104"/>
      <c r="F790" s="7">
        <f t="shared" si="188"/>
        <v>3888</v>
      </c>
      <c r="G790" s="7">
        <f t="shared" si="188"/>
        <v>0</v>
      </c>
      <c r="H790" s="35">
        <f t="shared" si="182"/>
        <v>3888</v>
      </c>
      <c r="I790" s="7">
        <f t="shared" si="188"/>
        <v>0</v>
      </c>
      <c r="J790" s="35">
        <f t="shared" si="180"/>
        <v>3888</v>
      </c>
      <c r="K790" s="7">
        <f t="shared" si="188"/>
        <v>0</v>
      </c>
      <c r="L790" s="35">
        <f t="shared" si="177"/>
        <v>3888</v>
      </c>
      <c r="M790" s="7">
        <f t="shared" si="188"/>
        <v>0</v>
      </c>
      <c r="N790" s="35">
        <f t="shared" si="178"/>
        <v>3888</v>
      </c>
      <c r="O790" s="7">
        <f t="shared" si="188"/>
        <v>0</v>
      </c>
      <c r="P790" s="35">
        <f t="shared" si="174"/>
        <v>3888</v>
      </c>
      <c r="Q790" s="7">
        <f t="shared" si="188"/>
        <v>0</v>
      </c>
      <c r="R790" s="35">
        <f t="shared" si="175"/>
        <v>3888</v>
      </c>
      <c r="S790" s="7">
        <f t="shared" si="188"/>
        <v>0</v>
      </c>
      <c r="T790" s="35">
        <f t="shared" si="179"/>
        <v>3888</v>
      </c>
    </row>
    <row r="791" spans="1:20">
      <c r="A791" s="12" t="s">
        <v>179</v>
      </c>
      <c r="B791" s="45" t="s">
        <v>13</v>
      </c>
      <c r="C791" s="8" t="s">
        <v>188</v>
      </c>
      <c r="D791" s="8" t="s">
        <v>215</v>
      </c>
      <c r="E791" s="104"/>
      <c r="F791" s="7">
        <f>F795</f>
        <v>3888</v>
      </c>
      <c r="G791" s="7">
        <f>G795</f>
        <v>0</v>
      </c>
      <c r="H791" s="35">
        <f t="shared" si="182"/>
        <v>3888</v>
      </c>
      <c r="I791" s="7">
        <f>I795</f>
        <v>0</v>
      </c>
      <c r="J791" s="35">
        <f t="shared" si="180"/>
        <v>3888</v>
      </c>
      <c r="K791" s="7">
        <f>K795</f>
        <v>0</v>
      </c>
      <c r="L791" s="35">
        <f t="shared" si="177"/>
        <v>3888</v>
      </c>
      <c r="M791" s="7">
        <f>M795</f>
        <v>0</v>
      </c>
      <c r="N791" s="35">
        <f t="shared" si="178"/>
        <v>3888</v>
      </c>
      <c r="O791" s="7">
        <f>O795</f>
        <v>0</v>
      </c>
      <c r="P791" s="35">
        <f t="shared" si="174"/>
        <v>3888</v>
      </c>
      <c r="Q791" s="7">
        <f>Q795</f>
        <v>0</v>
      </c>
      <c r="R791" s="35">
        <f t="shared" si="175"/>
        <v>3888</v>
      </c>
      <c r="S791" s="7">
        <f>S792+S795</f>
        <v>0</v>
      </c>
      <c r="T791" s="35">
        <f t="shared" si="179"/>
        <v>3888</v>
      </c>
    </row>
    <row r="792" spans="1:20">
      <c r="A792" s="61" t="str">
        <f t="shared" ref="A792:A797" ca="1" si="189">IF(ISERROR(MATCH(E792,Код_КВР,0)),"",INDIRECT(ADDRESS(MATCH(E792,Код_КВР,0)+1,2,,,"КВР")))</f>
        <v>Закупка товаров, работ и услуг для муниципальных нужд</v>
      </c>
      <c r="B792" s="45" t="s">
        <v>13</v>
      </c>
      <c r="C792" s="8" t="s">
        <v>188</v>
      </c>
      <c r="D792" s="8" t="s">
        <v>215</v>
      </c>
      <c r="E792" s="139">
        <v>200</v>
      </c>
      <c r="F792" s="7"/>
      <c r="G792" s="7"/>
      <c r="H792" s="35"/>
      <c r="I792" s="7"/>
      <c r="J792" s="35"/>
      <c r="K792" s="7"/>
      <c r="L792" s="35"/>
      <c r="M792" s="7"/>
      <c r="N792" s="35"/>
      <c r="O792" s="7"/>
      <c r="P792" s="35"/>
      <c r="Q792" s="7"/>
      <c r="R792" s="35"/>
      <c r="S792" s="7">
        <f>S793</f>
        <v>23.5</v>
      </c>
      <c r="T792" s="35">
        <f t="shared" si="179"/>
        <v>23.5</v>
      </c>
    </row>
    <row r="793" spans="1:20" ht="33">
      <c r="A793" s="61" t="str">
        <f t="shared" ca="1" si="189"/>
        <v>Иные закупки товаров, работ и услуг для обеспечения муниципальных нужд</v>
      </c>
      <c r="B793" s="45" t="s">
        <v>13</v>
      </c>
      <c r="C793" s="8" t="s">
        <v>188</v>
      </c>
      <c r="D793" s="8" t="s">
        <v>215</v>
      </c>
      <c r="E793" s="139">
        <v>240</v>
      </c>
      <c r="F793" s="7"/>
      <c r="G793" s="7"/>
      <c r="H793" s="35"/>
      <c r="I793" s="7"/>
      <c r="J793" s="35"/>
      <c r="K793" s="7"/>
      <c r="L793" s="35"/>
      <c r="M793" s="7"/>
      <c r="N793" s="35"/>
      <c r="O793" s="7"/>
      <c r="P793" s="35"/>
      <c r="Q793" s="7"/>
      <c r="R793" s="35"/>
      <c r="S793" s="7">
        <f>S794</f>
        <v>23.5</v>
      </c>
      <c r="T793" s="35">
        <f t="shared" si="179"/>
        <v>23.5</v>
      </c>
    </row>
    <row r="794" spans="1:20" ht="33">
      <c r="A794" s="61" t="str">
        <f t="shared" ca="1" si="189"/>
        <v xml:space="preserve">Прочая закупка товаров, работ и услуг для обеспечения муниципальных нужд         </v>
      </c>
      <c r="B794" s="45" t="s">
        <v>13</v>
      </c>
      <c r="C794" s="8" t="s">
        <v>188</v>
      </c>
      <c r="D794" s="8" t="s">
        <v>215</v>
      </c>
      <c r="E794" s="139">
        <v>244</v>
      </c>
      <c r="F794" s="7"/>
      <c r="G794" s="7"/>
      <c r="H794" s="35"/>
      <c r="I794" s="7"/>
      <c r="J794" s="35"/>
      <c r="K794" s="7"/>
      <c r="L794" s="35"/>
      <c r="M794" s="7"/>
      <c r="N794" s="35"/>
      <c r="O794" s="7"/>
      <c r="P794" s="35"/>
      <c r="Q794" s="7"/>
      <c r="R794" s="35"/>
      <c r="S794" s="7">
        <v>23.5</v>
      </c>
      <c r="T794" s="35">
        <f t="shared" si="179"/>
        <v>23.5</v>
      </c>
    </row>
    <row r="795" spans="1:20">
      <c r="A795" s="61" t="str">
        <f t="shared" ca="1" si="189"/>
        <v>Социальное обеспечение и иные выплаты населению</v>
      </c>
      <c r="B795" s="45" t="s">
        <v>13</v>
      </c>
      <c r="C795" s="8" t="s">
        <v>188</v>
      </c>
      <c r="D795" s="8" t="s">
        <v>215</v>
      </c>
      <c r="E795" s="104">
        <v>300</v>
      </c>
      <c r="F795" s="7">
        <f t="shared" si="188"/>
        <v>3888</v>
      </c>
      <c r="G795" s="7">
        <f t="shared" si="188"/>
        <v>0</v>
      </c>
      <c r="H795" s="35">
        <f t="shared" si="182"/>
        <v>3888</v>
      </c>
      <c r="I795" s="7">
        <f t="shared" si="188"/>
        <v>0</v>
      </c>
      <c r="J795" s="35">
        <f t="shared" si="180"/>
        <v>3888</v>
      </c>
      <c r="K795" s="7">
        <f t="shared" si="188"/>
        <v>0</v>
      </c>
      <c r="L795" s="35">
        <f t="shared" si="177"/>
        <v>3888</v>
      </c>
      <c r="M795" s="7">
        <f t="shared" si="188"/>
        <v>0</v>
      </c>
      <c r="N795" s="35">
        <f t="shared" si="178"/>
        <v>3888</v>
      </c>
      <c r="O795" s="7">
        <f t="shared" si="188"/>
        <v>0</v>
      </c>
      <c r="P795" s="35">
        <f t="shared" si="174"/>
        <v>3888</v>
      </c>
      <c r="Q795" s="7">
        <f t="shared" si="188"/>
        <v>0</v>
      </c>
      <c r="R795" s="35">
        <f t="shared" si="175"/>
        <v>3888</v>
      </c>
      <c r="S795" s="7">
        <f t="shared" si="188"/>
        <v>-23.5</v>
      </c>
      <c r="T795" s="35">
        <f t="shared" si="179"/>
        <v>3864.5</v>
      </c>
    </row>
    <row r="796" spans="1:20">
      <c r="A796" s="61" t="str">
        <f t="shared" ca="1" si="189"/>
        <v>Публичные нормативные социальные выплаты гражданам</v>
      </c>
      <c r="B796" s="45" t="s">
        <v>13</v>
      </c>
      <c r="C796" s="8" t="s">
        <v>188</v>
      </c>
      <c r="D796" s="8" t="s">
        <v>215</v>
      </c>
      <c r="E796" s="104">
        <v>310</v>
      </c>
      <c r="F796" s="7">
        <f t="shared" si="188"/>
        <v>3888</v>
      </c>
      <c r="G796" s="7">
        <f t="shared" si="188"/>
        <v>0</v>
      </c>
      <c r="H796" s="35">
        <f t="shared" si="182"/>
        <v>3888</v>
      </c>
      <c r="I796" s="7">
        <f t="shared" si="188"/>
        <v>0</v>
      </c>
      <c r="J796" s="35">
        <f t="shared" si="180"/>
        <v>3888</v>
      </c>
      <c r="K796" s="7">
        <f t="shared" si="188"/>
        <v>0</v>
      </c>
      <c r="L796" s="35">
        <f t="shared" si="177"/>
        <v>3888</v>
      </c>
      <c r="M796" s="7">
        <f t="shared" si="188"/>
        <v>0</v>
      </c>
      <c r="N796" s="35">
        <f t="shared" si="178"/>
        <v>3888</v>
      </c>
      <c r="O796" s="7">
        <f t="shared" si="188"/>
        <v>0</v>
      </c>
      <c r="P796" s="35">
        <f t="shared" si="174"/>
        <v>3888</v>
      </c>
      <c r="Q796" s="7">
        <f t="shared" si="188"/>
        <v>0</v>
      </c>
      <c r="R796" s="35">
        <f t="shared" si="175"/>
        <v>3888</v>
      </c>
      <c r="S796" s="7">
        <f t="shared" si="188"/>
        <v>-23.5</v>
      </c>
      <c r="T796" s="35">
        <f t="shared" si="179"/>
        <v>3864.5</v>
      </c>
    </row>
    <row r="797" spans="1:20" ht="33">
      <c r="A797" s="61" t="str">
        <f t="shared" ca="1" si="189"/>
        <v>Пособия, компенсации, меры социальной поддержки по публичным нормативным обязательствам</v>
      </c>
      <c r="B797" s="45" t="s">
        <v>13</v>
      </c>
      <c r="C797" s="8" t="s">
        <v>188</v>
      </c>
      <c r="D797" s="8" t="s">
        <v>215</v>
      </c>
      <c r="E797" s="104">
        <v>313</v>
      </c>
      <c r="F797" s="7">
        <f>прил.6!G1353</f>
        <v>3888</v>
      </c>
      <c r="G797" s="7">
        <f>прил.6!H1353</f>
        <v>0</v>
      </c>
      <c r="H797" s="35">
        <f t="shared" si="182"/>
        <v>3888</v>
      </c>
      <c r="I797" s="7">
        <f>прил.6!J1353</f>
        <v>0</v>
      </c>
      <c r="J797" s="35">
        <f t="shared" si="180"/>
        <v>3888</v>
      </c>
      <c r="K797" s="7">
        <f>прил.6!L1353</f>
        <v>0</v>
      </c>
      <c r="L797" s="35">
        <f t="shared" si="177"/>
        <v>3888</v>
      </c>
      <c r="M797" s="7">
        <f>прил.6!N1353</f>
        <v>0</v>
      </c>
      <c r="N797" s="35">
        <f t="shared" si="178"/>
        <v>3888</v>
      </c>
      <c r="O797" s="7">
        <f>прил.6!P1353</f>
        <v>0</v>
      </c>
      <c r="P797" s="35">
        <f t="shared" si="174"/>
        <v>3888</v>
      </c>
      <c r="Q797" s="7">
        <f>прил.6!R1353</f>
        <v>0</v>
      </c>
      <c r="R797" s="35">
        <f t="shared" si="175"/>
        <v>3888</v>
      </c>
      <c r="S797" s="7">
        <f>прил.6!T1353</f>
        <v>-23.5</v>
      </c>
      <c r="T797" s="35">
        <f t="shared" si="179"/>
        <v>3864.5</v>
      </c>
    </row>
    <row r="798" spans="1:20" ht="36.75" customHeight="1">
      <c r="A798" s="61" t="str">
        <f ca="1">IF(ISERROR(MATCH(B798,Код_КЦСР,0)),"",INDIRECT(ADDRESS(MATCH(B798,Код_КЦСР,0)+1,2,,,"КЦСР")))</f>
        <v>Выплата вознаграждений лицам, имеющим знак «За особые заслуги перед городом Череповцом»</v>
      </c>
      <c r="B798" s="45" t="s">
        <v>14</v>
      </c>
      <c r="C798" s="8"/>
      <c r="D798" s="1"/>
      <c r="E798" s="104"/>
      <c r="F798" s="7">
        <f t="shared" ref="F798:S806" si="190">F799</f>
        <v>421.2</v>
      </c>
      <c r="G798" s="7">
        <f t="shared" si="190"/>
        <v>0</v>
      </c>
      <c r="H798" s="35">
        <f t="shared" si="182"/>
        <v>421.2</v>
      </c>
      <c r="I798" s="7">
        <f t="shared" si="190"/>
        <v>0</v>
      </c>
      <c r="J798" s="35">
        <f t="shared" si="180"/>
        <v>421.2</v>
      </c>
      <c r="K798" s="7">
        <f t="shared" si="190"/>
        <v>0</v>
      </c>
      <c r="L798" s="35">
        <f t="shared" si="177"/>
        <v>421.2</v>
      </c>
      <c r="M798" s="7">
        <f t="shared" si="190"/>
        <v>0</v>
      </c>
      <c r="N798" s="35">
        <f t="shared" si="178"/>
        <v>421.2</v>
      </c>
      <c r="O798" s="7">
        <f t="shared" si="190"/>
        <v>0</v>
      </c>
      <c r="P798" s="35">
        <f t="shared" si="174"/>
        <v>421.2</v>
      </c>
      <c r="Q798" s="7">
        <f t="shared" si="190"/>
        <v>0</v>
      </c>
      <c r="R798" s="35">
        <f t="shared" si="175"/>
        <v>421.2</v>
      </c>
      <c r="S798" s="7">
        <f t="shared" si="190"/>
        <v>0</v>
      </c>
      <c r="T798" s="35">
        <f t="shared" si="179"/>
        <v>421.2</v>
      </c>
    </row>
    <row r="799" spans="1:20" ht="69" customHeight="1">
      <c r="A799" s="61" t="str">
        <f ca="1">IF(ISERROR(MATCH(B799,Код_КЦСР,0)),"",INDIRECT(ADDRESS(MATCH(B799,Код_КЦСР,0)+1,2,,,"КЦСР")))</f>
        <v>Выплата вознаграждений лицам, имеющим знак «За особые заслуги перед городом Череповцом» в соответствии с постановлением Череповецкой городской Думы от 27.09.2005 № 88</v>
      </c>
      <c r="B799" s="45" t="s">
        <v>16</v>
      </c>
      <c r="C799" s="8"/>
      <c r="D799" s="1"/>
      <c r="E799" s="104"/>
      <c r="F799" s="7">
        <f t="shared" si="190"/>
        <v>421.2</v>
      </c>
      <c r="G799" s="7">
        <f t="shared" si="190"/>
        <v>0</v>
      </c>
      <c r="H799" s="35">
        <f t="shared" si="182"/>
        <v>421.2</v>
      </c>
      <c r="I799" s="7">
        <f t="shared" si="190"/>
        <v>0</v>
      </c>
      <c r="J799" s="35">
        <f t="shared" si="180"/>
        <v>421.2</v>
      </c>
      <c r="K799" s="7">
        <f t="shared" si="190"/>
        <v>0</v>
      </c>
      <c r="L799" s="35">
        <f t="shared" si="177"/>
        <v>421.2</v>
      </c>
      <c r="M799" s="7">
        <f t="shared" si="190"/>
        <v>0</v>
      </c>
      <c r="N799" s="35">
        <f t="shared" si="178"/>
        <v>421.2</v>
      </c>
      <c r="O799" s="7">
        <f t="shared" si="190"/>
        <v>0</v>
      </c>
      <c r="P799" s="35">
        <f t="shared" si="174"/>
        <v>421.2</v>
      </c>
      <c r="Q799" s="7">
        <f t="shared" si="190"/>
        <v>0</v>
      </c>
      <c r="R799" s="35">
        <f t="shared" si="175"/>
        <v>421.2</v>
      </c>
      <c r="S799" s="7">
        <f t="shared" si="190"/>
        <v>0</v>
      </c>
      <c r="T799" s="35">
        <f t="shared" si="179"/>
        <v>421.2</v>
      </c>
    </row>
    <row r="800" spans="1:20">
      <c r="A800" s="61" t="str">
        <f ca="1">IF(ISERROR(MATCH(C800,Код_Раздел,0)),"",INDIRECT(ADDRESS(MATCH(C800,Код_Раздел,0)+1,2,,,"Раздел")))</f>
        <v>Социальная политика</v>
      </c>
      <c r="B800" s="45" t="s">
        <v>16</v>
      </c>
      <c r="C800" s="8" t="s">
        <v>188</v>
      </c>
      <c r="D800" s="1"/>
      <c r="E800" s="104"/>
      <c r="F800" s="7">
        <f>F801</f>
        <v>421.2</v>
      </c>
      <c r="G800" s="7">
        <f>G801</f>
        <v>0</v>
      </c>
      <c r="H800" s="35">
        <f t="shared" si="182"/>
        <v>421.2</v>
      </c>
      <c r="I800" s="7">
        <f>I801</f>
        <v>0</v>
      </c>
      <c r="J800" s="35">
        <f t="shared" si="180"/>
        <v>421.2</v>
      </c>
      <c r="K800" s="7">
        <f>K801</f>
        <v>0</v>
      </c>
      <c r="L800" s="35">
        <f t="shared" si="177"/>
        <v>421.2</v>
      </c>
      <c r="M800" s="7">
        <f>M801</f>
        <v>0</v>
      </c>
      <c r="N800" s="35">
        <f t="shared" si="178"/>
        <v>421.2</v>
      </c>
      <c r="O800" s="7">
        <f>O801</f>
        <v>0</v>
      </c>
      <c r="P800" s="35">
        <f t="shared" si="174"/>
        <v>421.2</v>
      </c>
      <c r="Q800" s="7">
        <f>Q801</f>
        <v>0</v>
      </c>
      <c r="R800" s="35">
        <f t="shared" si="175"/>
        <v>421.2</v>
      </c>
      <c r="S800" s="7">
        <f>S801+S808</f>
        <v>0</v>
      </c>
      <c r="T800" s="35">
        <f t="shared" si="179"/>
        <v>421.2</v>
      </c>
    </row>
    <row r="801" spans="1:20">
      <c r="A801" s="12" t="s">
        <v>179</v>
      </c>
      <c r="B801" s="45" t="s">
        <v>16</v>
      </c>
      <c r="C801" s="8" t="s">
        <v>188</v>
      </c>
      <c r="D801" s="8" t="s">
        <v>215</v>
      </c>
      <c r="E801" s="104"/>
      <c r="F801" s="7">
        <f>F805</f>
        <v>421.2</v>
      </c>
      <c r="G801" s="7">
        <f>G805</f>
        <v>0</v>
      </c>
      <c r="H801" s="35">
        <f t="shared" si="182"/>
        <v>421.2</v>
      </c>
      <c r="I801" s="7">
        <f>I805</f>
        <v>0</v>
      </c>
      <c r="J801" s="35">
        <f t="shared" si="180"/>
        <v>421.2</v>
      </c>
      <c r="K801" s="7">
        <f>K805</f>
        <v>0</v>
      </c>
      <c r="L801" s="35">
        <f t="shared" si="177"/>
        <v>421.2</v>
      </c>
      <c r="M801" s="7">
        <f>M805</f>
        <v>0</v>
      </c>
      <c r="N801" s="35">
        <f t="shared" si="178"/>
        <v>421.2</v>
      </c>
      <c r="O801" s="7">
        <f>O805</f>
        <v>0</v>
      </c>
      <c r="P801" s="35">
        <f t="shared" si="174"/>
        <v>421.2</v>
      </c>
      <c r="Q801" s="7">
        <f>Q805</f>
        <v>0</v>
      </c>
      <c r="R801" s="35">
        <f t="shared" si="175"/>
        <v>421.2</v>
      </c>
      <c r="S801" s="7">
        <f>S802+S805</f>
        <v>0</v>
      </c>
      <c r="T801" s="35">
        <f t="shared" si="179"/>
        <v>421.2</v>
      </c>
    </row>
    <row r="802" spans="1:20">
      <c r="A802" s="61" t="str">
        <f t="shared" ref="A802:A807" ca="1" si="191">IF(ISERROR(MATCH(E802,Код_КВР,0)),"",INDIRECT(ADDRESS(MATCH(E802,Код_КВР,0)+1,2,,,"КВР")))</f>
        <v>Закупка товаров, работ и услуг для муниципальных нужд</v>
      </c>
      <c r="B802" s="45" t="s">
        <v>16</v>
      </c>
      <c r="C802" s="8" t="s">
        <v>188</v>
      </c>
      <c r="D802" s="8" t="s">
        <v>215</v>
      </c>
      <c r="E802" s="149">
        <v>200</v>
      </c>
      <c r="F802" s="7"/>
      <c r="G802" s="7"/>
      <c r="H802" s="35"/>
      <c r="I802" s="7"/>
      <c r="J802" s="35"/>
      <c r="K802" s="7"/>
      <c r="L802" s="35"/>
      <c r="M802" s="7"/>
      <c r="N802" s="35"/>
      <c r="O802" s="7"/>
      <c r="P802" s="35"/>
      <c r="Q802" s="7"/>
      <c r="R802" s="35"/>
      <c r="S802" s="7">
        <f t="shared" si="190"/>
        <v>4.2</v>
      </c>
      <c r="T802" s="35">
        <f t="shared" si="179"/>
        <v>4.2</v>
      </c>
    </row>
    <row r="803" spans="1:20" ht="33">
      <c r="A803" s="61" t="str">
        <f t="shared" ca="1" si="191"/>
        <v>Иные закупки товаров, работ и услуг для обеспечения муниципальных нужд</v>
      </c>
      <c r="B803" s="45" t="s">
        <v>16</v>
      </c>
      <c r="C803" s="8" t="s">
        <v>188</v>
      </c>
      <c r="D803" s="8" t="s">
        <v>215</v>
      </c>
      <c r="E803" s="149">
        <v>240</v>
      </c>
      <c r="F803" s="7"/>
      <c r="G803" s="7"/>
      <c r="H803" s="35"/>
      <c r="I803" s="7"/>
      <c r="J803" s="35"/>
      <c r="K803" s="7"/>
      <c r="L803" s="35"/>
      <c r="M803" s="7"/>
      <c r="N803" s="35"/>
      <c r="O803" s="7"/>
      <c r="P803" s="35"/>
      <c r="Q803" s="7"/>
      <c r="R803" s="35"/>
      <c r="S803" s="7">
        <f t="shared" si="190"/>
        <v>4.2</v>
      </c>
      <c r="T803" s="35">
        <f t="shared" si="179"/>
        <v>4.2</v>
      </c>
    </row>
    <row r="804" spans="1:20" ht="33">
      <c r="A804" s="61" t="str">
        <f t="shared" ca="1" si="191"/>
        <v xml:space="preserve">Прочая закупка товаров, работ и услуг для обеспечения муниципальных нужд         </v>
      </c>
      <c r="B804" s="45" t="s">
        <v>16</v>
      </c>
      <c r="C804" s="8" t="s">
        <v>188</v>
      </c>
      <c r="D804" s="8" t="s">
        <v>215</v>
      </c>
      <c r="E804" s="149">
        <v>244</v>
      </c>
      <c r="F804" s="7"/>
      <c r="G804" s="7"/>
      <c r="H804" s="35"/>
      <c r="I804" s="7"/>
      <c r="J804" s="35"/>
      <c r="K804" s="7"/>
      <c r="L804" s="35"/>
      <c r="M804" s="7"/>
      <c r="N804" s="35"/>
      <c r="O804" s="7"/>
      <c r="P804" s="35"/>
      <c r="Q804" s="7"/>
      <c r="R804" s="35"/>
      <c r="S804" s="7">
        <f>прил.6!T1358</f>
        <v>4.2</v>
      </c>
      <c r="T804" s="35">
        <f t="shared" si="179"/>
        <v>4.2</v>
      </c>
    </row>
    <row r="805" spans="1:20">
      <c r="A805" s="61" t="str">
        <f t="shared" ca="1" si="191"/>
        <v>Социальное обеспечение и иные выплаты населению</v>
      </c>
      <c r="B805" s="45" t="s">
        <v>16</v>
      </c>
      <c r="C805" s="8" t="s">
        <v>188</v>
      </c>
      <c r="D805" s="8" t="s">
        <v>215</v>
      </c>
      <c r="E805" s="104">
        <v>300</v>
      </c>
      <c r="F805" s="7">
        <f t="shared" si="190"/>
        <v>421.2</v>
      </c>
      <c r="G805" s="7">
        <f t="shared" si="190"/>
        <v>0</v>
      </c>
      <c r="H805" s="35">
        <f t="shared" si="182"/>
        <v>421.2</v>
      </c>
      <c r="I805" s="7">
        <f t="shared" si="190"/>
        <v>0</v>
      </c>
      <c r="J805" s="35">
        <f t="shared" si="180"/>
        <v>421.2</v>
      </c>
      <c r="K805" s="7">
        <f t="shared" si="190"/>
        <v>0</v>
      </c>
      <c r="L805" s="35">
        <f t="shared" si="177"/>
        <v>421.2</v>
      </c>
      <c r="M805" s="7">
        <f t="shared" si="190"/>
        <v>0</v>
      </c>
      <c r="N805" s="35">
        <f t="shared" si="178"/>
        <v>421.2</v>
      </c>
      <c r="O805" s="7">
        <f t="shared" si="190"/>
        <v>0</v>
      </c>
      <c r="P805" s="35">
        <f t="shared" si="174"/>
        <v>421.2</v>
      </c>
      <c r="Q805" s="7">
        <f t="shared" si="190"/>
        <v>0</v>
      </c>
      <c r="R805" s="35">
        <f t="shared" si="175"/>
        <v>421.2</v>
      </c>
      <c r="S805" s="7">
        <f t="shared" si="190"/>
        <v>-4.2</v>
      </c>
      <c r="T805" s="35">
        <f t="shared" si="179"/>
        <v>417</v>
      </c>
    </row>
    <row r="806" spans="1:20">
      <c r="A806" s="61" t="str">
        <f t="shared" ca="1" si="191"/>
        <v>Публичные нормативные социальные выплаты гражданам</v>
      </c>
      <c r="B806" s="45" t="s">
        <v>16</v>
      </c>
      <c r="C806" s="8" t="s">
        <v>188</v>
      </c>
      <c r="D806" s="8" t="s">
        <v>215</v>
      </c>
      <c r="E806" s="104">
        <v>310</v>
      </c>
      <c r="F806" s="7">
        <f t="shared" si="190"/>
        <v>421.2</v>
      </c>
      <c r="G806" s="7">
        <f t="shared" si="190"/>
        <v>0</v>
      </c>
      <c r="H806" s="35">
        <f t="shared" si="182"/>
        <v>421.2</v>
      </c>
      <c r="I806" s="7">
        <f t="shared" si="190"/>
        <v>0</v>
      </c>
      <c r="J806" s="35">
        <f t="shared" si="180"/>
        <v>421.2</v>
      </c>
      <c r="K806" s="7">
        <f t="shared" si="190"/>
        <v>0</v>
      </c>
      <c r="L806" s="35">
        <f t="shared" si="177"/>
        <v>421.2</v>
      </c>
      <c r="M806" s="7">
        <f t="shared" si="190"/>
        <v>0</v>
      </c>
      <c r="N806" s="35">
        <f t="shared" si="178"/>
        <v>421.2</v>
      </c>
      <c r="O806" s="7">
        <f t="shared" si="190"/>
        <v>0</v>
      </c>
      <c r="P806" s="35">
        <f t="shared" si="174"/>
        <v>421.2</v>
      </c>
      <c r="Q806" s="7">
        <f t="shared" si="190"/>
        <v>0</v>
      </c>
      <c r="R806" s="35">
        <f t="shared" si="175"/>
        <v>421.2</v>
      </c>
      <c r="S806" s="7">
        <f t="shared" si="190"/>
        <v>-4.2</v>
      </c>
      <c r="T806" s="35">
        <f t="shared" si="179"/>
        <v>417</v>
      </c>
    </row>
    <row r="807" spans="1:20" ht="33">
      <c r="A807" s="61" t="str">
        <f t="shared" ca="1" si="191"/>
        <v>Пособия, компенсации, меры социальной поддержки по публичным нормативным обязательствам</v>
      </c>
      <c r="B807" s="45" t="s">
        <v>16</v>
      </c>
      <c r="C807" s="8" t="s">
        <v>188</v>
      </c>
      <c r="D807" s="8" t="s">
        <v>215</v>
      </c>
      <c r="E807" s="104">
        <v>313</v>
      </c>
      <c r="F807" s="7">
        <f>прил.6!G1361</f>
        <v>421.2</v>
      </c>
      <c r="G807" s="7">
        <f>прил.6!H1361</f>
        <v>0</v>
      </c>
      <c r="H807" s="35">
        <f t="shared" si="182"/>
        <v>421.2</v>
      </c>
      <c r="I807" s="7">
        <f>прил.6!J1361</f>
        <v>0</v>
      </c>
      <c r="J807" s="35">
        <f t="shared" si="180"/>
        <v>421.2</v>
      </c>
      <c r="K807" s="7">
        <f>прил.6!L1361</f>
        <v>0</v>
      </c>
      <c r="L807" s="35">
        <f t="shared" si="177"/>
        <v>421.2</v>
      </c>
      <c r="M807" s="7">
        <f>прил.6!N1361</f>
        <v>0</v>
      </c>
      <c r="N807" s="35">
        <f t="shared" si="178"/>
        <v>421.2</v>
      </c>
      <c r="O807" s="7">
        <f>прил.6!P1361</f>
        <v>0</v>
      </c>
      <c r="P807" s="35">
        <f t="shared" ref="P807:P912" si="192">N807+O807</f>
        <v>421.2</v>
      </c>
      <c r="Q807" s="7">
        <f>прил.6!R1361</f>
        <v>0</v>
      </c>
      <c r="R807" s="35">
        <f t="shared" ref="R807:R912" si="193">P807+Q807</f>
        <v>421.2</v>
      </c>
      <c r="S807" s="7">
        <f>прил.6!T1361</f>
        <v>-4.2</v>
      </c>
      <c r="T807" s="35">
        <f t="shared" si="179"/>
        <v>417</v>
      </c>
    </row>
    <row r="808" spans="1:20" hidden="1">
      <c r="A808" s="12" t="s">
        <v>179</v>
      </c>
      <c r="B808" s="45" t="s">
        <v>16</v>
      </c>
      <c r="C808" s="8" t="s">
        <v>188</v>
      </c>
      <c r="D808" s="8" t="s">
        <v>215</v>
      </c>
      <c r="E808" s="139"/>
      <c r="F808" s="7"/>
      <c r="G808" s="7"/>
      <c r="H808" s="35"/>
      <c r="I808" s="7"/>
      <c r="J808" s="35"/>
      <c r="K808" s="7"/>
      <c r="L808" s="35"/>
      <c r="M808" s="7"/>
      <c r="N808" s="35"/>
      <c r="O808" s="7"/>
      <c r="P808" s="35"/>
      <c r="Q808" s="7"/>
      <c r="R808" s="35"/>
      <c r="S808" s="7"/>
      <c r="T808" s="35"/>
    </row>
    <row r="809" spans="1:20" hidden="1">
      <c r="A809" s="61" t="str">
        <f ca="1">IF(ISERROR(MATCH(E809,Код_КВР,0)),"",INDIRECT(ADDRESS(MATCH(E809,Код_КВР,0)+1,2,,,"КВР")))</f>
        <v>Закупка товаров, работ и услуг для муниципальных нужд</v>
      </c>
      <c r="B809" s="45" t="s">
        <v>16</v>
      </c>
      <c r="C809" s="8" t="s">
        <v>188</v>
      </c>
      <c r="D809" s="8" t="s">
        <v>215</v>
      </c>
      <c r="E809" s="139">
        <v>200</v>
      </c>
      <c r="F809" s="7"/>
      <c r="G809" s="7"/>
      <c r="H809" s="35"/>
      <c r="I809" s="7"/>
      <c r="J809" s="35"/>
      <c r="K809" s="7"/>
      <c r="L809" s="35"/>
      <c r="M809" s="7"/>
      <c r="N809" s="35"/>
      <c r="O809" s="7"/>
      <c r="P809" s="35"/>
      <c r="Q809" s="7"/>
      <c r="R809" s="35"/>
      <c r="S809" s="7"/>
      <c r="T809" s="35"/>
    </row>
    <row r="810" spans="1:20" ht="33" hidden="1">
      <c r="A810" s="61" t="str">
        <f ca="1">IF(ISERROR(MATCH(E810,Код_КВР,0)),"",INDIRECT(ADDRESS(MATCH(E810,Код_КВР,0)+1,2,,,"КВР")))</f>
        <v>Иные закупки товаров, работ и услуг для обеспечения муниципальных нужд</v>
      </c>
      <c r="B810" s="45" t="s">
        <v>16</v>
      </c>
      <c r="C810" s="8" t="s">
        <v>188</v>
      </c>
      <c r="D810" s="8" t="s">
        <v>215</v>
      </c>
      <c r="E810" s="139">
        <v>240</v>
      </c>
      <c r="F810" s="7"/>
      <c r="G810" s="7"/>
      <c r="H810" s="35"/>
      <c r="I810" s="7"/>
      <c r="J810" s="35"/>
      <c r="K810" s="7"/>
      <c r="L810" s="35"/>
      <c r="M810" s="7"/>
      <c r="N810" s="35"/>
      <c r="O810" s="7"/>
      <c r="P810" s="35"/>
      <c r="Q810" s="7"/>
      <c r="R810" s="35"/>
      <c r="S810" s="7"/>
      <c r="T810" s="35"/>
    </row>
    <row r="811" spans="1:20" ht="33" hidden="1">
      <c r="A811" s="61" t="str">
        <f ca="1">IF(ISERROR(MATCH(E811,Код_КВР,0)),"",INDIRECT(ADDRESS(MATCH(E811,Код_КВР,0)+1,2,,,"КВР")))</f>
        <v xml:space="preserve">Прочая закупка товаров, работ и услуг для обеспечения муниципальных нужд         </v>
      </c>
      <c r="B811" s="45" t="s">
        <v>16</v>
      </c>
      <c r="C811" s="8" t="s">
        <v>188</v>
      </c>
      <c r="D811" s="8" t="s">
        <v>215</v>
      </c>
      <c r="E811" s="139">
        <v>244</v>
      </c>
      <c r="F811" s="7"/>
      <c r="G811" s="7"/>
      <c r="H811" s="35"/>
      <c r="I811" s="7"/>
      <c r="J811" s="35"/>
      <c r="K811" s="7"/>
      <c r="L811" s="35"/>
      <c r="M811" s="7"/>
      <c r="N811" s="35"/>
      <c r="O811" s="7"/>
      <c r="P811" s="35"/>
      <c r="Q811" s="7"/>
      <c r="R811" s="35"/>
      <c r="S811" s="7"/>
      <c r="T811" s="35"/>
    </row>
    <row r="812" spans="1:20" ht="36" customHeight="1">
      <c r="A812" s="61" t="str">
        <f ca="1">IF(ISERROR(MATCH(B812,Код_КЦСР,0)),"",INDIRECT(ADDRESS(MATCH(B812,Код_КЦСР,0)+1,2,,,"КЦСР")))</f>
        <v>Выплата вознаграждений лицам, имеющим звание «Почетный гражданин города Череповца</v>
      </c>
      <c r="B812" s="45" t="s">
        <v>17</v>
      </c>
      <c r="C812" s="8"/>
      <c r="D812" s="1"/>
      <c r="E812" s="104"/>
      <c r="F812" s="7">
        <f t="shared" ref="F812:S820" si="194">F813</f>
        <v>449.5</v>
      </c>
      <c r="G812" s="7">
        <f t="shared" si="194"/>
        <v>0</v>
      </c>
      <c r="H812" s="35">
        <f t="shared" si="182"/>
        <v>449.5</v>
      </c>
      <c r="I812" s="7">
        <f t="shared" si="194"/>
        <v>0</v>
      </c>
      <c r="J812" s="35">
        <f t="shared" si="180"/>
        <v>449.5</v>
      </c>
      <c r="K812" s="7">
        <f t="shared" si="194"/>
        <v>0</v>
      </c>
      <c r="L812" s="35">
        <f t="shared" si="177"/>
        <v>449.5</v>
      </c>
      <c r="M812" s="7">
        <f t="shared" si="194"/>
        <v>0</v>
      </c>
      <c r="N812" s="35">
        <f t="shared" si="178"/>
        <v>449.5</v>
      </c>
      <c r="O812" s="7">
        <f t="shared" si="194"/>
        <v>0</v>
      </c>
      <c r="P812" s="35">
        <f t="shared" si="192"/>
        <v>449.5</v>
      </c>
      <c r="Q812" s="7">
        <f t="shared" si="194"/>
        <v>0</v>
      </c>
      <c r="R812" s="35">
        <f t="shared" si="193"/>
        <v>449.5</v>
      </c>
      <c r="S812" s="7">
        <f>S813</f>
        <v>0</v>
      </c>
      <c r="T812" s="35">
        <f t="shared" si="179"/>
        <v>449.5</v>
      </c>
    </row>
    <row r="813" spans="1:20" ht="54" customHeight="1">
      <c r="A813" s="61" t="str">
        <f ca="1">IF(ISERROR(MATCH(B813,Код_КЦСР,0)),"",INDIRECT(ADDRESS(MATCH(B813,Код_КЦСР,0)+1,2,,,"КЦСР")))</f>
        <v>Выплата вознаграждений лицам, имеющим звание «Почетный гражданин города Череповца» в соответствии с постановлением Череповецкой городской Думы от 27.09.2005 № 87</v>
      </c>
      <c r="B813" s="45" t="s">
        <v>19</v>
      </c>
      <c r="C813" s="8"/>
      <c r="D813" s="1"/>
      <c r="E813" s="104"/>
      <c r="F813" s="7">
        <f t="shared" si="194"/>
        <v>449.5</v>
      </c>
      <c r="G813" s="7">
        <f t="shared" si="194"/>
        <v>0</v>
      </c>
      <c r="H813" s="35">
        <f t="shared" si="182"/>
        <v>449.5</v>
      </c>
      <c r="I813" s="7">
        <f t="shared" si="194"/>
        <v>0</v>
      </c>
      <c r="J813" s="35">
        <f t="shared" si="180"/>
        <v>449.5</v>
      </c>
      <c r="K813" s="7">
        <f t="shared" si="194"/>
        <v>0</v>
      </c>
      <c r="L813" s="35">
        <f t="shared" si="177"/>
        <v>449.5</v>
      </c>
      <c r="M813" s="7">
        <f t="shared" si="194"/>
        <v>0</v>
      </c>
      <c r="N813" s="35">
        <f t="shared" si="178"/>
        <v>449.5</v>
      </c>
      <c r="O813" s="7">
        <f t="shared" si="194"/>
        <v>0</v>
      </c>
      <c r="P813" s="35">
        <f t="shared" si="192"/>
        <v>449.5</v>
      </c>
      <c r="Q813" s="7">
        <f t="shared" si="194"/>
        <v>0</v>
      </c>
      <c r="R813" s="35">
        <f t="shared" si="193"/>
        <v>449.5</v>
      </c>
      <c r="S813" s="7">
        <f t="shared" si="194"/>
        <v>0</v>
      </c>
      <c r="T813" s="35">
        <f t="shared" si="179"/>
        <v>449.5</v>
      </c>
    </row>
    <row r="814" spans="1:20">
      <c r="A814" s="61" t="str">
        <f ca="1">IF(ISERROR(MATCH(C814,Код_Раздел,0)),"",INDIRECT(ADDRESS(MATCH(C814,Код_Раздел,0)+1,2,,,"Раздел")))</f>
        <v>Социальная политика</v>
      </c>
      <c r="B814" s="45" t="s">
        <v>19</v>
      </c>
      <c r="C814" s="8" t="s">
        <v>188</v>
      </c>
      <c r="D814" s="1"/>
      <c r="E814" s="104"/>
      <c r="F814" s="7">
        <f t="shared" si="194"/>
        <v>449.5</v>
      </c>
      <c r="G814" s="7">
        <f t="shared" si="194"/>
        <v>0</v>
      </c>
      <c r="H814" s="35">
        <f t="shared" si="182"/>
        <v>449.5</v>
      </c>
      <c r="I814" s="7">
        <f t="shared" si="194"/>
        <v>0</v>
      </c>
      <c r="J814" s="35">
        <f t="shared" si="180"/>
        <v>449.5</v>
      </c>
      <c r="K814" s="7">
        <f t="shared" si="194"/>
        <v>0</v>
      </c>
      <c r="L814" s="35">
        <f t="shared" si="177"/>
        <v>449.5</v>
      </c>
      <c r="M814" s="7">
        <f t="shared" si="194"/>
        <v>0</v>
      </c>
      <c r="N814" s="35">
        <f t="shared" si="178"/>
        <v>449.5</v>
      </c>
      <c r="O814" s="7">
        <f t="shared" si="194"/>
        <v>0</v>
      </c>
      <c r="P814" s="35">
        <f t="shared" si="192"/>
        <v>449.5</v>
      </c>
      <c r="Q814" s="7">
        <f t="shared" si="194"/>
        <v>0</v>
      </c>
      <c r="R814" s="35">
        <f t="shared" si="193"/>
        <v>449.5</v>
      </c>
      <c r="S814" s="7">
        <f>S815+S822</f>
        <v>0</v>
      </c>
      <c r="T814" s="35">
        <f t="shared" ref="T814:T887" si="195">R814+S814</f>
        <v>449.5</v>
      </c>
    </row>
    <row r="815" spans="1:20">
      <c r="A815" s="12" t="s">
        <v>179</v>
      </c>
      <c r="B815" s="45" t="s">
        <v>19</v>
      </c>
      <c r="C815" s="8" t="s">
        <v>188</v>
      </c>
      <c r="D815" s="8" t="s">
        <v>215</v>
      </c>
      <c r="E815" s="104"/>
      <c r="F815" s="7">
        <f>F819</f>
        <v>449.5</v>
      </c>
      <c r="G815" s="7">
        <f>G819</f>
        <v>0</v>
      </c>
      <c r="H815" s="35">
        <f t="shared" si="182"/>
        <v>449.5</v>
      </c>
      <c r="I815" s="7">
        <f>I819</f>
        <v>0</v>
      </c>
      <c r="J815" s="35">
        <f t="shared" si="180"/>
        <v>449.5</v>
      </c>
      <c r="K815" s="7">
        <f>K819</f>
        <v>0</v>
      </c>
      <c r="L815" s="35">
        <f t="shared" si="177"/>
        <v>449.5</v>
      </c>
      <c r="M815" s="7">
        <f>M819</f>
        <v>0</v>
      </c>
      <c r="N815" s="35">
        <f t="shared" si="178"/>
        <v>449.5</v>
      </c>
      <c r="O815" s="7">
        <f>O819</f>
        <v>0</v>
      </c>
      <c r="P815" s="35">
        <f t="shared" si="192"/>
        <v>449.5</v>
      </c>
      <c r="Q815" s="7">
        <f>Q819</f>
        <v>0</v>
      </c>
      <c r="R815" s="35">
        <f t="shared" si="193"/>
        <v>449.5</v>
      </c>
      <c r="S815" s="7">
        <f>S816+S819</f>
        <v>0</v>
      </c>
      <c r="T815" s="35">
        <f t="shared" si="195"/>
        <v>449.5</v>
      </c>
    </row>
    <row r="816" spans="1:20">
      <c r="A816" s="61" t="str">
        <f t="shared" ref="A816:A821" ca="1" si="196">IF(ISERROR(MATCH(E816,Код_КВР,0)),"",INDIRECT(ADDRESS(MATCH(E816,Код_КВР,0)+1,2,,,"КВР")))</f>
        <v>Закупка товаров, работ и услуг для муниципальных нужд</v>
      </c>
      <c r="B816" s="45" t="s">
        <v>19</v>
      </c>
      <c r="C816" s="8" t="s">
        <v>188</v>
      </c>
      <c r="D816" s="8" t="s">
        <v>215</v>
      </c>
      <c r="E816" s="149">
        <v>200</v>
      </c>
      <c r="F816" s="7"/>
      <c r="G816" s="7"/>
      <c r="H816" s="35"/>
      <c r="I816" s="7"/>
      <c r="J816" s="35"/>
      <c r="K816" s="7"/>
      <c r="L816" s="35"/>
      <c r="M816" s="7"/>
      <c r="N816" s="35"/>
      <c r="O816" s="7"/>
      <c r="P816" s="35"/>
      <c r="Q816" s="7"/>
      <c r="R816" s="35"/>
      <c r="S816" s="7">
        <f t="shared" si="194"/>
        <v>4.5</v>
      </c>
      <c r="T816" s="35">
        <f t="shared" si="195"/>
        <v>4.5</v>
      </c>
    </row>
    <row r="817" spans="1:20" ht="33">
      <c r="A817" s="61" t="str">
        <f t="shared" ca="1" si="196"/>
        <v>Иные закупки товаров, работ и услуг для обеспечения муниципальных нужд</v>
      </c>
      <c r="B817" s="45" t="s">
        <v>16</v>
      </c>
      <c r="C817" s="8" t="s">
        <v>188</v>
      </c>
      <c r="D817" s="8" t="s">
        <v>215</v>
      </c>
      <c r="E817" s="149">
        <v>240</v>
      </c>
      <c r="F817" s="7"/>
      <c r="G817" s="7"/>
      <c r="H817" s="35"/>
      <c r="I817" s="7"/>
      <c r="J817" s="35"/>
      <c r="K817" s="7"/>
      <c r="L817" s="35"/>
      <c r="M817" s="7"/>
      <c r="N817" s="35"/>
      <c r="O817" s="7"/>
      <c r="P817" s="35"/>
      <c r="Q817" s="7"/>
      <c r="R817" s="35"/>
      <c r="S817" s="7">
        <f t="shared" si="194"/>
        <v>4.5</v>
      </c>
      <c r="T817" s="35">
        <f t="shared" si="195"/>
        <v>4.5</v>
      </c>
    </row>
    <row r="818" spans="1:20" ht="33">
      <c r="A818" s="61" t="str">
        <f t="shared" ca="1" si="196"/>
        <v xml:space="preserve">Прочая закупка товаров, работ и услуг для обеспечения муниципальных нужд         </v>
      </c>
      <c r="B818" s="45" t="s">
        <v>16</v>
      </c>
      <c r="C818" s="8" t="s">
        <v>188</v>
      </c>
      <c r="D818" s="8" t="s">
        <v>215</v>
      </c>
      <c r="E818" s="149">
        <v>244</v>
      </c>
      <c r="F818" s="7"/>
      <c r="G818" s="7"/>
      <c r="H818" s="35"/>
      <c r="I818" s="7"/>
      <c r="J818" s="35"/>
      <c r="K818" s="7"/>
      <c r="L818" s="35"/>
      <c r="M818" s="7"/>
      <c r="N818" s="35"/>
      <c r="O818" s="7"/>
      <c r="P818" s="35"/>
      <c r="Q818" s="7"/>
      <c r="R818" s="35"/>
      <c r="S818" s="7">
        <f>прил.6!T1366</f>
        <v>4.5</v>
      </c>
      <c r="T818" s="35">
        <f t="shared" si="195"/>
        <v>4.5</v>
      </c>
    </row>
    <row r="819" spans="1:20">
      <c r="A819" s="61" t="str">
        <f t="shared" ca="1" si="196"/>
        <v>Социальное обеспечение и иные выплаты населению</v>
      </c>
      <c r="B819" s="45" t="s">
        <v>19</v>
      </c>
      <c r="C819" s="8" t="s">
        <v>188</v>
      </c>
      <c r="D819" s="8" t="s">
        <v>215</v>
      </c>
      <c r="E819" s="104">
        <v>300</v>
      </c>
      <c r="F819" s="7">
        <f t="shared" si="194"/>
        <v>449.5</v>
      </c>
      <c r="G819" s="7">
        <f t="shared" si="194"/>
        <v>0</v>
      </c>
      <c r="H819" s="35">
        <f t="shared" si="182"/>
        <v>449.5</v>
      </c>
      <c r="I819" s="7">
        <f t="shared" si="194"/>
        <v>0</v>
      </c>
      <c r="J819" s="35">
        <f t="shared" si="180"/>
        <v>449.5</v>
      </c>
      <c r="K819" s="7">
        <f t="shared" si="194"/>
        <v>0</v>
      </c>
      <c r="L819" s="35">
        <f t="shared" si="177"/>
        <v>449.5</v>
      </c>
      <c r="M819" s="7">
        <f t="shared" si="194"/>
        <v>0</v>
      </c>
      <c r="N819" s="35">
        <f t="shared" si="178"/>
        <v>449.5</v>
      </c>
      <c r="O819" s="7">
        <f t="shared" si="194"/>
        <v>0</v>
      </c>
      <c r="P819" s="35">
        <f t="shared" si="192"/>
        <v>449.5</v>
      </c>
      <c r="Q819" s="7">
        <f t="shared" si="194"/>
        <v>0</v>
      </c>
      <c r="R819" s="35">
        <f t="shared" si="193"/>
        <v>449.5</v>
      </c>
      <c r="S819" s="7">
        <f t="shared" si="194"/>
        <v>-4.5</v>
      </c>
      <c r="T819" s="35">
        <f t="shared" si="195"/>
        <v>445</v>
      </c>
    </row>
    <row r="820" spans="1:20">
      <c r="A820" s="61" t="str">
        <f t="shared" ca="1" si="196"/>
        <v>Публичные нормативные социальные выплаты гражданам</v>
      </c>
      <c r="B820" s="45" t="s">
        <v>19</v>
      </c>
      <c r="C820" s="8" t="s">
        <v>188</v>
      </c>
      <c r="D820" s="8" t="s">
        <v>215</v>
      </c>
      <c r="E820" s="104">
        <v>310</v>
      </c>
      <c r="F820" s="7">
        <f t="shared" si="194"/>
        <v>449.5</v>
      </c>
      <c r="G820" s="7">
        <f t="shared" si="194"/>
        <v>0</v>
      </c>
      <c r="H820" s="35">
        <f t="shared" si="182"/>
        <v>449.5</v>
      </c>
      <c r="I820" s="7">
        <f t="shared" si="194"/>
        <v>0</v>
      </c>
      <c r="J820" s="35">
        <f t="shared" si="180"/>
        <v>449.5</v>
      </c>
      <c r="K820" s="7">
        <f t="shared" si="194"/>
        <v>0</v>
      </c>
      <c r="L820" s="35">
        <f t="shared" si="177"/>
        <v>449.5</v>
      </c>
      <c r="M820" s="7">
        <f t="shared" si="194"/>
        <v>0</v>
      </c>
      <c r="N820" s="35">
        <f t="shared" si="178"/>
        <v>449.5</v>
      </c>
      <c r="O820" s="7">
        <f t="shared" si="194"/>
        <v>0</v>
      </c>
      <c r="P820" s="35">
        <f t="shared" si="192"/>
        <v>449.5</v>
      </c>
      <c r="Q820" s="7">
        <f t="shared" si="194"/>
        <v>0</v>
      </c>
      <c r="R820" s="35">
        <f t="shared" si="193"/>
        <v>449.5</v>
      </c>
      <c r="S820" s="7">
        <f t="shared" si="194"/>
        <v>-4.5</v>
      </c>
      <c r="T820" s="35">
        <f t="shared" si="195"/>
        <v>445</v>
      </c>
    </row>
    <row r="821" spans="1:20" ht="36" customHeight="1">
      <c r="A821" s="61" t="str">
        <f t="shared" ca="1" si="196"/>
        <v>Пособия, компенсации, меры социальной поддержки по публичным нормативным обязательствам</v>
      </c>
      <c r="B821" s="45" t="s">
        <v>19</v>
      </c>
      <c r="C821" s="8" t="s">
        <v>188</v>
      </c>
      <c r="D821" s="8" t="s">
        <v>215</v>
      </c>
      <c r="E821" s="104">
        <v>313</v>
      </c>
      <c r="F821" s="7">
        <f>прил.6!G1369</f>
        <v>449.5</v>
      </c>
      <c r="G821" s="7">
        <f>прил.6!H1369</f>
        <v>0</v>
      </c>
      <c r="H821" s="35">
        <f t="shared" si="182"/>
        <v>449.5</v>
      </c>
      <c r="I821" s="7">
        <f>прил.6!J1369</f>
        <v>0</v>
      </c>
      <c r="J821" s="35">
        <f t="shared" si="180"/>
        <v>449.5</v>
      </c>
      <c r="K821" s="7">
        <f>прил.6!L1369</f>
        <v>0</v>
      </c>
      <c r="L821" s="35">
        <f t="shared" si="177"/>
        <v>449.5</v>
      </c>
      <c r="M821" s="7">
        <f>прил.6!N1369</f>
        <v>0</v>
      </c>
      <c r="N821" s="35">
        <f t="shared" si="178"/>
        <v>449.5</v>
      </c>
      <c r="O821" s="7">
        <f>прил.6!P1369</f>
        <v>0</v>
      </c>
      <c r="P821" s="35">
        <f t="shared" si="192"/>
        <v>449.5</v>
      </c>
      <c r="Q821" s="7">
        <f>прил.6!R1369</f>
        <v>0</v>
      </c>
      <c r="R821" s="35">
        <f t="shared" si="193"/>
        <v>449.5</v>
      </c>
      <c r="S821" s="7">
        <f>прил.6!T1369</f>
        <v>-4.5</v>
      </c>
      <c r="T821" s="35">
        <f t="shared" si="195"/>
        <v>445</v>
      </c>
    </row>
    <row r="822" spans="1:20" hidden="1">
      <c r="A822" s="12" t="s">
        <v>179</v>
      </c>
      <c r="B822" s="45" t="s">
        <v>19</v>
      </c>
      <c r="C822" s="8" t="s">
        <v>188</v>
      </c>
      <c r="D822" s="8" t="s">
        <v>217</v>
      </c>
      <c r="E822" s="139"/>
      <c r="F822" s="7"/>
      <c r="G822" s="7"/>
      <c r="H822" s="35"/>
      <c r="I822" s="7"/>
      <c r="J822" s="35"/>
      <c r="K822" s="7"/>
      <c r="L822" s="35"/>
      <c r="M822" s="7"/>
      <c r="N822" s="35"/>
      <c r="O822" s="7"/>
      <c r="P822" s="35"/>
      <c r="Q822" s="7"/>
      <c r="R822" s="35"/>
      <c r="S822" s="7"/>
      <c r="T822" s="35"/>
    </row>
    <row r="823" spans="1:20" hidden="1">
      <c r="A823" s="61" t="str">
        <f ca="1">IF(ISERROR(MATCH(E823,Код_КВР,0)),"",INDIRECT(ADDRESS(MATCH(E823,Код_КВР,0)+1,2,,,"КВР")))</f>
        <v>Закупка товаров, работ и услуг для муниципальных нужд</v>
      </c>
      <c r="B823" s="45" t="s">
        <v>19</v>
      </c>
      <c r="C823" s="8" t="s">
        <v>188</v>
      </c>
      <c r="D823" s="8" t="s">
        <v>217</v>
      </c>
      <c r="E823" s="139">
        <v>200</v>
      </c>
      <c r="F823" s="7"/>
      <c r="G823" s="7"/>
      <c r="H823" s="35"/>
      <c r="I823" s="7"/>
      <c r="J823" s="35"/>
      <c r="K823" s="7"/>
      <c r="L823" s="35"/>
      <c r="M823" s="7"/>
      <c r="N823" s="35"/>
      <c r="O823" s="7"/>
      <c r="P823" s="35"/>
      <c r="Q823" s="7"/>
      <c r="R823" s="35"/>
      <c r="S823" s="7"/>
      <c r="T823" s="35"/>
    </row>
    <row r="824" spans="1:20" ht="33" hidden="1">
      <c r="A824" s="61" t="str">
        <f ca="1">IF(ISERROR(MATCH(E824,Код_КВР,0)),"",INDIRECT(ADDRESS(MATCH(E824,Код_КВР,0)+1,2,,,"КВР")))</f>
        <v>Иные закупки товаров, работ и услуг для обеспечения муниципальных нужд</v>
      </c>
      <c r="B824" s="45" t="s">
        <v>19</v>
      </c>
      <c r="C824" s="8" t="s">
        <v>188</v>
      </c>
      <c r="D824" s="8" t="s">
        <v>217</v>
      </c>
      <c r="E824" s="139">
        <v>240</v>
      </c>
      <c r="F824" s="7"/>
      <c r="G824" s="7"/>
      <c r="H824" s="35"/>
      <c r="I824" s="7"/>
      <c r="J824" s="35"/>
      <c r="K824" s="7"/>
      <c r="L824" s="35"/>
      <c r="M824" s="7"/>
      <c r="N824" s="35"/>
      <c r="O824" s="7"/>
      <c r="P824" s="35"/>
      <c r="Q824" s="7"/>
      <c r="R824" s="35"/>
      <c r="S824" s="7"/>
      <c r="T824" s="35"/>
    </row>
    <row r="825" spans="1:20" ht="33" hidden="1">
      <c r="A825" s="61" t="str">
        <f ca="1">IF(ISERROR(MATCH(E825,Код_КВР,0)),"",INDIRECT(ADDRESS(MATCH(E825,Код_КВР,0)+1,2,,,"КВР")))</f>
        <v xml:space="preserve">Прочая закупка товаров, работ и услуг для обеспечения муниципальных нужд         </v>
      </c>
      <c r="B825" s="45" t="s">
        <v>19</v>
      </c>
      <c r="C825" s="8" t="s">
        <v>188</v>
      </c>
      <c r="D825" s="8" t="s">
        <v>217</v>
      </c>
      <c r="E825" s="139">
        <v>244</v>
      </c>
      <c r="F825" s="7"/>
      <c r="G825" s="7"/>
      <c r="H825" s="35"/>
      <c r="I825" s="7"/>
      <c r="J825" s="35"/>
      <c r="K825" s="7"/>
      <c r="L825" s="35"/>
      <c r="M825" s="7"/>
      <c r="N825" s="35"/>
      <c r="O825" s="7"/>
      <c r="P825" s="35"/>
      <c r="Q825" s="7"/>
      <c r="R825" s="35"/>
      <c r="S825" s="7"/>
      <c r="T825" s="35"/>
    </row>
    <row r="826" spans="1:20" ht="157.5" customHeight="1">
      <c r="A826" s="61" t="str">
        <f ca="1">IF(ISERROR(MATCH(B826,Код_КЦСР,0)),"",INDIRECT(ADDRESS(MATCH(B826,Код_КЦСР,0)+1,2,,,"КЦСР")))</f>
        <v>Предоставление мер социальной поддержки инвалидам Великой Отечественной войны, проживающим в городе Череповце, в виде единовременной денежной выплаты на возмещение затрат по замене газового оборудования, подлежащего замене  в соответствии с актом специализированной организации, выполняющей техническое обслуживание внутридомового газового оборудования, в жилых помещениях, принадлежащих им на праве собственности или занимаемых ими по договору социального найма</v>
      </c>
      <c r="B826" s="45" t="s">
        <v>630</v>
      </c>
      <c r="C826" s="8"/>
      <c r="D826" s="1"/>
      <c r="E826" s="104"/>
      <c r="F826" s="7"/>
      <c r="G826" s="7"/>
      <c r="H826" s="35"/>
      <c r="I826" s="7"/>
      <c r="J826" s="35"/>
      <c r="K826" s="7"/>
      <c r="L826" s="35"/>
      <c r="M826" s="7">
        <f t="shared" ref="M826:S838" si="197">M827</f>
        <v>432</v>
      </c>
      <c r="N826" s="35">
        <f t="shared" si="178"/>
        <v>432</v>
      </c>
      <c r="O826" s="7">
        <f t="shared" si="197"/>
        <v>0</v>
      </c>
      <c r="P826" s="35">
        <f t="shared" si="192"/>
        <v>432</v>
      </c>
      <c r="Q826" s="7">
        <f t="shared" si="197"/>
        <v>0</v>
      </c>
      <c r="R826" s="35">
        <f t="shared" si="193"/>
        <v>432</v>
      </c>
      <c r="S826" s="7">
        <f t="shared" si="197"/>
        <v>0</v>
      </c>
      <c r="T826" s="35">
        <f t="shared" si="195"/>
        <v>432</v>
      </c>
    </row>
    <row r="827" spans="1:20" ht="163.5" customHeight="1">
      <c r="A827" s="61" t="str">
        <f ca="1">IF(ISERROR(MATCH(B827,Код_КЦСР,0)),"",INDIRECT(ADDRESS(MATCH(B827,Код_КЦСР,0)+1,2,,,"КЦСР")))</f>
        <v>Единовременная денежная выплата инвалидам Великой Отечественной войны, проживающим в городе Череповце, на возмещение затрат по замене газового оборудования (подлежащего замене в соответствии с актом специализированной организации, выполняющей техническое обслуживание внутридомового газового оборудования) в жилых помещениях, принадлежащих им на праве собственности или занимаемых ими по договору социального найма, в соответствии с решением Череповецкой городской Думы от 27.09.2011 № 170</v>
      </c>
      <c r="B827" s="47" t="s">
        <v>632</v>
      </c>
      <c r="C827" s="8"/>
      <c r="D827" s="1"/>
      <c r="E827" s="104"/>
      <c r="F827" s="7"/>
      <c r="G827" s="7"/>
      <c r="H827" s="35"/>
      <c r="I827" s="7"/>
      <c r="J827" s="35"/>
      <c r="K827" s="7"/>
      <c r="L827" s="35"/>
      <c r="M827" s="7">
        <f t="shared" si="197"/>
        <v>432</v>
      </c>
      <c r="N827" s="35">
        <f t="shared" ref="N827:N833" si="198">L827+M827</f>
        <v>432</v>
      </c>
      <c r="O827" s="7">
        <f t="shared" si="197"/>
        <v>0</v>
      </c>
      <c r="P827" s="35">
        <f t="shared" si="192"/>
        <v>432</v>
      </c>
      <c r="Q827" s="7">
        <f t="shared" si="197"/>
        <v>0</v>
      </c>
      <c r="R827" s="35">
        <f t="shared" si="193"/>
        <v>432</v>
      </c>
      <c r="S827" s="7">
        <f t="shared" si="197"/>
        <v>0</v>
      </c>
      <c r="T827" s="35">
        <f t="shared" si="195"/>
        <v>432</v>
      </c>
    </row>
    <row r="828" spans="1:20" ht="24" customHeight="1">
      <c r="A828" s="61" t="str">
        <f ca="1">IF(ISERROR(MATCH(C828,Код_Раздел,0)),"",INDIRECT(ADDRESS(MATCH(C828,Код_Раздел,0)+1,2,,,"Раздел")))</f>
        <v>Социальная политика</v>
      </c>
      <c r="B828" s="47" t="s">
        <v>632</v>
      </c>
      <c r="C828" s="8" t="s">
        <v>188</v>
      </c>
      <c r="D828" s="1"/>
      <c r="E828" s="104"/>
      <c r="F828" s="7"/>
      <c r="G828" s="7"/>
      <c r="H828" s="35"/>
      <c r="I828" s="7"/>
      <c r="J828" s="35"/>
      <c r="K828" s="7"/>
      <c r="L828" s="35"/>
      <c r="M828" s="7">
        <f t="shared" si="197"/>
        <v>432</v>
      </c>
      <c r="N828" s="35">
        <f t="shared" si="198"/>
        <v>432</v>
      </c>
      <c r="O828" s="7">
        <f t="shared" si="197"/>
        <v>0</v>
      </c>
      <c r="P828" s="35">
        <f t="shared" si="192"/>
        <v>432</v>
      </c>
      <c r="Q828" s="7">
        <f t="shared" si="197"/>
        <v>0</v>
      </c>
      <c r="R828" s="35">
        <f t="shared" si="193"/>
        <v>432</v>
      </c>
      <c r="S828" s="7">
        <f t="shared" si="197"/>
        <v>0</v>
      </c>
      <c r="T828" s="35">
        <f t="shared" si="195"/>
        <v>432</v>
      </c>
    </row>
    <row r="829" spans="1:20" ht="21.95" customHeight="1">
      <c r="A829" s="12" t="s">
        <v>179</v>
      </c>
      <c r="B829" s="47" t="s">
        <v>632</v>
      </c>
      <c r="C829" s="8" t="s">
        <v>188</v>
      </c>
      <c r="D829" s="8" t="s">
        <v>215</v>
      </c>
      <c r="E829" s="104"/>
      <c r="F829" s="7"/>
      <c r="G829" s="7"/>
      <c r="H829" s="35"/>
      <c r="I829" s="7"/>
      <c r="J829" s="35"/>
      <c r="K829" s="7"/>
      <c r="L829" s="35"/>
      <c r="M829" s="7">
        <f t="shared" si="197"/>
        <v>432</v>
      </c>
      <c r="N829" s="35">
        <f t="shared" si="198"/>
        <v>432</v>
      </c>
      <c r="O829" s="7">
        <f t="shared" si="197"/>
        <v>0</v>
      </c>
      <c r="P829" s="35">
        <f t="shared" si="192"/>
        <v>432</v>
      </c>
      <c r="Q829" s="7">
        <f t="shared" si="197"/>
        <v>0</v>
      </c>
      <c r="R829" s="35">
        <f t="shared" si="193"/>
        <v>432</v>
      </c>
      <c r="S829" s="7">
        <f t="shared" si="197"/>
        <v>0</v>
      </c>
      <c r="T829" s="35">
        <f t="shared" si="195"/>
        <v>432</v>
      </c>
    </row>
    <row r="830" spans="1:20" ht="21.95" customHeight="1">
      <c r="A830" s="61" t="str">
        <f ca="1">IF(ISERROR(MATCH(E830,Код_КВР,0)),"",INDIRECT(ADDRESS(MATCH(E830,Код_КВР,0)+1,2,,,"КВР")))</f>
        <v>Социальное обеспечение и иные выплаты населению</v>
      </c>
      <c r="B830" s="47" t="s">
        <v>632</v>
      </c>
      <c r="C830" s="8" t="s">
        <v>188</v>
      </c>
      <c r="D830" s="8" t="s">
        <v>215</v>
      </c>
      <c r="E830" s="104">
        <v>300</v>
      </c>
      <c r="F830" s="7"/>
      <c r="G830" s="7"/>
      <c r="H830" s="35"/>
      <c r="I830" s="7"/>
      <c r="J830" s="35"/>
      <c r="K830" s="7"/>
      <c r="L830" s="35"/>
      <c r="M830" s="7">
        <f t="shared" si="197"/>
        <v>432</v>
      </c>
      <c r="N830" s="35">
        <f t="shared" si="198"/>
        <v>432</v>
      </c>
      <c r="O830" s="7">
        <f t="shared" si="197"/>
        <v>0</v>
      </c>
      <c r="P830" s="35">
        <f t="shared" si="192"/>
        <v>432</v>
      </c>
      <c r="Q830" s="7">
        <f t="shared" si="197"/>
        <v>0</v>
      </c>
      <c r="R830" s="35">
        <f t="shared" si="193"/>
        <v>432</v>
      </c>
      <c r="S830" s="7">
        <f t="shared" si="197"/>
        <v>0</v>
      </c>
      <c r="T830" s="35">
        <f t="shared" si="195"/>
        <v>432</v>
      </c>
    </row>
    <row r="831" spans="1:20" ht="24" customHeight="1">
      <c r="A831" s="61" t="str">
        <f ca="1">IF(ISERROR(MATCH(E831,Код_КВР,0)),"",INDIRECT(ADDRESS(MATCH(E831,Код_КВР,0)+1,2,,,"КВР")))</f>
        <v>Публичные нормативные социальные выплаты гражданам</v>
      </c>
      <c r="B831" s="47" t="s">
        <v>632</v>
      </c>
      <c r="C831" s="8" t="s">
        <v>188</v>
      </c>
      <c r="D831" s="8" t="s">
        <v>215</v>
      </c>
      <c r="E831" s="104">
        <v>310</v>
      </c>
      <c r="F831" s="7"/>
      <c r="G831" s="7"/>
      <c r="H831" s="35"/>
      <c r="I831" s="7"/>
      <c r="J831" s="35"/>
      <c r="K831" s="7"/>
      <c r="L831" s="35"/>
      <c r="M831" s="7">
        <f t="shared" si="197"/>
        <v>432</v>
      </c>
      <c r="N831" s="35">
        <f t="shared" si="198"/>
        <v>432</v>
      </c>
      <c r="O831" s="7">
        <f t="shared" si="197"/>
        <v>0</v>
      </c>
      <c r="P831" s="35">
        <f t="shared" si="192"/>
        <v>432</v>
      </c>
      <c r="Q831" s="7">
        <f t="shared" si="197"/>
        <v>0</v>
      </c>
      <c r="R831" s="35">
        <f t="shared" si="193"/>
        <v>432</v>
      </c>
      <c r="S831" s="7">
        <f t="shared" si="197"/>
        <v>0</v>
      </c>
      <c r="T831" s="35">
        <f t="shared" si="195"/>
        <v>432</v>
      </c>
    </row>
    <row r="832" spans="1:20" ht="36" customHeight="1">
      <c r="A832" s="61" t="str">
        <f ca="1">IF(ISERROR(MATCH(E832,Код_КВР,0)),"",INDIRECT(ADDRESS(MATCH(E832,Код_КВР,0)+1,2,,,"КВР")))</f>
        <v>Пособия, компенсации, меры социальной поддержки по публичным нормативным обязательствам</v>
      </c>
      <c r="B832" s="47" t="s">
        <v>632</v>
      </c>
      <c r="C832" s="8" t="s">
        <v>188</v>
      </c>
      <c r="D832" s="8" t="s">
        <v>215</v>
      </c>
      <c r="E832" s="104">
        <v>313</v>
      </c>
      <c r="F832" s="7"/>
      <c r="G832" s="7"/>
      <c r="H832" s="35"/>
      <c r="I832" s="7"/>
      <c r="J832" s="35"/>
      <c r="K832" s="7"/>
      <c r="L832" s="35"/>
      <c r="M832" s="7">
        <f>прил.6!N1374</f>
        <v>432</v>
      </c>
      <c r="N832" s="35">
        <f t="shared" si="198"/>
        <v>432</v>
      </c>
      <c r="O832" s="7">
        <f>прил.6!P1374</f>
        <v>0</v>
      </c>
      <c r="P832" s="35">
        <f t="shared" si="192"/>
        <v>432</v>
      </c>
      <c r="Q832" s="7">
        <f>прил.6!R1374</f>
        <v>0</v>
      </c>
      <c r="R832" s="35">
        <f t="shared" si="193"/>
        <v>432</v>
      </c>
      <c r="S832" s="7">
        <f>прил.6!T1374</f>
        <v>0</v>
      </c>
      <c r="T832" s="35">
        <f t="shared" si="195"/>
        <v>432</v>
      </c>
    </row>
    <row r="833" spans="1:20" ht="36" customHeight="1">
      <c r="A833" s="61" t="str">
        <f ca="1">IF(ISERROR(MATCH(B833,Код_КЦСР,0)),"",INDIRECT(ADDRESS(MATCH(B833,Код_КЦСР,0)+1,2,,,"КЦСР")))</f>
        <v>Выплата единовременной социальной помощи в связи с рождением троих детей многодетным семьям</v>
      </c>
      <c r="B833" s="45" t="s">
        <v>661</v>
      </c>
      <c r="C833" s="8"/>
      <c r="D833" s="1"/>
      <c r="E833" s="123"/>
      <c r="F833" s="7"/>
      <c r="G833" s="7"/>
      <c r="H833" s="35"/>
      <c r="I833" s="7"/>
      <c r="J833" s="35"/>
      <c r="K833" s="7"/>
      <c r="L833" s="35"/>
      <c r="M833" s="7">
        <f t="shared" si="197"/>
        <v>0</v>
      </c>
      <c r="N833" s="35">
        <f t="shared" si="198"/>
        <v>0</v>
      </c>
      <c r="O833" s="7">
        <f t="shared" si="197"/>
        <v>0</v>
      </c>
      <c r="P833" s="35">
        <f t="shared" ref="P833:P839" si="199">N833+O833</f>
        <v>0</v>
      </c>
      <c r="Q833" s="7">
        <f>Q834+Q840</f>
        <v>1000</v>
      </c>
      <c r="R833" s="35">
        <f t="shared" ref="R833:R845" si="200">P833+Q833</f>
        <v>1000</v>
      </c>
      <c r="S833" s="7">
        <f>S834+S840</f>
        <v>0</v>
      </c>
      <c r="T833" s="35">
        <f t="shared" si="195"/>
        <v>1000</v>
      </c>
    </row>
    <row r="834" spans="1:20" ht="54" customHeight="1">
      <c r="A834" s="61" t="str">
        <f ca="1">IF(ISERROR(MATCH(B834,Код_КЦСР,0)),"",INDIRECT(ADDRESS(MATCH(B834,Код_КЦСР,0)+1,2,,,"КЦСР")))</f>
        <v>Выплата единовременной социальной помощи Степановой К.Н. в связи с рождением троих детей в соответствии с решением Череповецкой городской Думы от 06.10.2014 № 154</v>
      </c>
      <c r="B834" s="47" t="s">
        <v>660</v>
      </c>
      <c r="C834" s="8"/>
      <c r="D834" s="1"/>
      <c r="E834" s="123"/>
      <c r="F834" s="7"/>
      <c r="G834" s="7"/>
      <c r="H834" s="35"/>
      <c r="I834" s="7"/>
      <c r="J834" s="35"/>
      <c r="K834" s="7"/>
      <c r="L834" s="35"/>
      <c r="M834" s="7">
        <f t="shared" si="197"/>
        <v>0</v>
      </c>
      <c r="N834" s="35">
        <f t="shared" ref="N834:N839" si="201">L834+M834</f>
        <v>0</v>
      </c>
      <c r="O834" s="7">
        <f t="shared" si="197"/>
        <v>0</v>
      </c>
      <c r="P834" s="35">
        <f t="shared" si="199"/>
        <v>0</v>
      </c>
      <c r="Q834" s="7">
        <f t="shared" si="197"/>
        <v>500</v>
      </c>
      <c r="R834" s="35">
        <f t="shared" si="200"/>
        <v>500</v>
      </c>
      <c r="S834" s="7">
        <f t="shared" si="197"/>
        <v>0</v>
      </c>
      <c r="T834" s="35">
        <f t="shared" si="195"/>
        <v>500</v>
      </c>
    </row>
    <row r="835" spans="1:20" ht="21" customHeight="1">
      <c r="A835" s="61" t="str">
        <f ca="1">IF(ISERROR(MATCH(C835,Код_Раздел,0)),"",INDIRECT(ADDRESS(MATCH(C835,Код_Раздел,0)+1,2,,,"Раздел")))</f>
        <v>Социальная политика</v>
      </c>
      <c r="B835" s="47" t="s">
        <v>660</v>
      </c>
      <c r="C835" s="8" t="s">
        <v>188</v>
      </c>
      <c r="D835" s="1"/>
      <c r="E835" s="123"/>
      <c r="F835" s="7"/>
      <c r="G835" s="7"/>
      <c r="H835" s="35"/>
      <c r="I835" s="7"/>
      <c r="J835" s="35"/>
      <c r="K835" s="7"/>
      <c r="L835" s="35"/>
      <c r="M835" s="7">
        <f t="shared" si="197"/>
        <v>0</v>
      </c>
      <c r="N835" s="35">
        <f t="shared" si="201"/>
        <v>0</v>
      </c>
      <c r="O835" s="7">
        <f t="shared" si="197"/>
        <v>0</v>
      </c>
      <c r="P835" s="35">
        <f t="shared" si="199"/>
        <v>0</v>
      </c>
      <c r="Q835" s="7">
        <f t="shared" si="197"/>
        <v>500</v>
      </c>
      <c r="R835" s="35">
        <f t="shared" si="200"/>
        <v>500</v>
      </c>
      <c r="S835" s="7">
        <f t="shared" si="197"/>
        <v>0</v>
      </c>
      <c r="T835" s="35">
        <f t="shared" si="195"/>
        <v>500</v>
      </c>
    </row>
    <row r="836" spans="1:20" ht="22.5" customHeight="1">
      <c r="A836" s="12" t="s">
        <v>179</v>
      </c>
      <c r="B836" s="47" t="s">
        <v>660</v>
      </c>
      <c r="C836" s="8" t="s">
        <v>188</v>
      </c>
      <c r="D836" s="8" t="s">
        <v>215</v>
      </c>
      <c r="E836" s="123"/>
      <c r="F836" s="7"/>
      <c r="G836" s="7"/>
      <c r="H836" s="35"/>
      <c r="I836" s="7"/>
      <c r="J836" s="35"/>
      <c r="K836" s="7"/>
      <c r="L836" s="35"/>
      <c r="M836" s="7">
        <f t="shared" si="197"/>
        <v>0</v>
      </c>
      <c r="N836" s="35">
        <f t="shared" si="201"/>
        <v>0</v>
      </c>
      <c r="O836" s="7">
        <f t="shared" si="197"/>
        <v>0</v>
      </c>
      <c r="P836" s="35">
        <f t="shared" si="199"/>
        <v>0</v>
      </c>
      <c r="Q836" s="7">
        <f t="shared" si="197"/>
        <v>500</v>
      </c>
      <c r="R836" s="35">
        <f t="shared" si="200"/>
        <v>500</v>
      </c>
      <c r="S836" s="7">
        <f t="shared" si="197"/>
        <v>0</v>
      </c>
      <c r="T836" s="35">
        <f t="shared" si="195"/>
        <v>500</v>
      </c>
    </row>
    <row r="837" spans="1:20" ht="17.25" customHeight="1">
      <c r="A837" s="61" t="str">
        <f ca="1">IF(ISERROR(MATCH(E837,Код_КВР,0)),"",INDIRECT(ADDRESS(MATCH(E837,Код_КВР,0)+1,2,,,"КВР")))</f>
        <v>Социальное обеспечение и иные выплаты населению</v>
      </c>
      <c r="B837" s="47" t="s">
        <v>660</v>
      </c>
      <c r="C837" s="8" t="s">
        <v>188</v>
      </c>
      <c r="D837" s="8" t="s">
        <v>215</v>
      </c>
      <c r="E837" s="123">
        <v>300</v>
      </c>
      <c r="F837" s="7"/>
      <c r="G837" s="7"/>
      <c r="H837" s="35"/>
      <c r="I837" s="7"/>
      <c r="J837" s="35"/>
      <c r="K837" s="7"/>
      <c r="L837" s="35"/>
      <c r="M837" s="7">
        <f t="shared" si="197"/>
        <v>0</v>
      </c>
      <c r="N837" s="35">
        <f t="shared" si="201"/>
        <v>0</v>
      </c>
      <c r="O837" s="7">
        <f t="shared" si="197"/>
        <v>0</v>
      </c>
      <c r="P837" s="35">
        <f t="shared" si="199"/>
        <v>0</v>
      </c>
      <c r="Q837" s="7">
        <f t="shared" si="197"/>
        <v>500</v>
      </c>
      <c r="R837" s="35">
        <f t="shared" si="200"/>
        <v>500</v>
      </c>
      <c r="S837" s="7">
        <f t="shared" si="197"/>
        <v>0</v>
      </c>
      <c r="T837" s="35">
        <f t="shared" si="195"/>
        <v>500</v>
      </c>
    </row>
    <row r="838" spans="1:20" ht="24" customHeight="1">
      <c r="A838" s="61" t="str">
        <f ca="1">IF(ISERROR(MATCH(E838,Код_КВР,0)),"",INDIRECT(ADDRESS(MATCH(E838,Код_КВР,0)+1,2,,,"КВР")))</f>
        <v>Публичные нормативные социальные выплаты гражданам</v>
      </c>
      <c r="B838" s="47" t="s">
        <v>660</v>
      </c>
      <c r="C838" s="8" t="s">
        <v>188</v>
      </c>
      <c r="D838" s="8" t="s">
        <v>215</v>
      </c>
      <c r="E838" s="123">
        <v>310</v>
      </c>
      <c r="F838" s="7"/>
      <c r="G838" s="7"/>
      <c r="H838" s="35"/>
      <c r="I838" s="7"/>
      <c r="J838" s="35"/>
      <c r="K838" s="7"/>
      <c r="L838" s="35"/>
      <c r="M838" s="7">
        <f t="shared" si="197"/>
        <v>0</v>
      </c>
      <c r="N838" s="35">
        <f t="shared" si="201"/>
        <v>0</v>
      </c>
      <c r="O838" s="7">
        <f t="shared" si="197"/>
        <v>0</v>
      </c>
      <c r="P838" s="35">
        <f t="shared" si="199"/>
        <v>0</v>
      </c>
      <c r="Q838" s="7">
        <f t="shared" si="197"/>
        <v>500</v>
      </c>
      <c r="R838" s="35">
        <f t="shared" si="200"/>
        <v>500</v>
      </c>
      <c r="S838" s="7">
        <f t="shared" si="197"/>
        <v>0</v>
      </c>
      <c r="T838" s="35">
        <f t="shared" si="195"/>
        <v>500</v>
      </c>
    </row>
    <row r="839" spans="1:20" ht="36" customHeight="1">
      <c r="A839" s="61" t="str">
        <f ca="1">IF(ISERROR(MATCH(E839,Код_КВР,0)),"",INDIRECT(ADDRESS(MATCH(E839,Код_КВР,0)+1,2,,,"КВР")))</f>
        <v>Пособия, компенсации, меры социальной поддержки по публичным нормативным обязательствам</v>
      </c>
      <c r="B839" s="47" t="s">
        <v>660</v>
      </c>
      <c r="C839" s="8" t="s">
        <v>188</v>
      </c>
      <c r="D839" s="8" t="s">
        <v>215</v>
      </c>
      <c r="E839" s="123">
        <v>313</v>
      </c>
      <c r="F839" s="7"/>
      <c r="G839" s="7"/>
      <c r="H839" s="35"/>
      <c r="I839" s="7"/>
      <c r="J839" s="35"/>
      <c r="K839" s="7"/>
      <c r="L839" s="35"/>
      <c r="M839" s="7">
        <f>прил.6!N1381</f>
        <v>0</v>
      </c>
      <c r="N839" s="35">
        <f t="shared" si="201"/>
        <v>0</v>
      </c>
      <c r="O839" s="7">
        <f>прил.6!P1381</f>
        <v>0</v>
      </c>
      <c r="P839" s="35">
        <f t="shared" si="199"/>
        <v>0</v>
      </c>
      <c r="Q839" s="7">
        <f>прил.6!R1381</f>
        <v>500</v>
      </c>
      <c r="R839" s="35">
        <f t="shared" si="200"/>
        <v>500</v>
      </c>
      <c r="S839" s="7">
        <f>прил.6!T1381</f>
        <v>0</v>
      </c>
      <c r="T839" s="35">
        <f t="shared" si="195"/>
        <v>500</v>
      </c>
    </row>
    <row r="840" spans="1:20" ht="56.25" customHeight="1">
      <c r="A840" s="61" t="str">
        <f ca="1">IF(ISERROR(MATCH(B840,Код_КЦСР,0)),"",INDIRECT(ADDRESS(MATCH(B840,Код_КЦСР,0)+1,2,,,"КЦСР")))</f>
        <v>Выплата единовременной социальной помощи Бовыкиной Я.А. в связи с рождением троих детей в соответствии с решением Череповецкой городской Думы от 06.10.2014 № 154</v>
      </c>
      <c r="B840" s="47" t="s">
        <v>662</v>
      </c>
      <c r="C840" s="8"/>
      <c r="D840" s="1"/>
      <c r="E840" s="123"/>
      <c r="F840" s="7"/>
      <c r="G840" s="7"/>
      <c r="H840" s="35"/>
      <c r="I840" s="7"/>
      <c r="J840" s="35"/>
      <c r="K840" s="7"/>
      <c r="L840" s="35"/>
      <c r="M840" s="7"/>
      <c r="N840" s="35"/>
      <c r="O840" s="7"/>
      <c r="P840" s="35"/>
      <c r="Q840" s="7">
        <f>Q841</f>
        <v>500</v>
      </c>
      <c r="R840" s="35">
        <f t="shared" si="200"/>
        <v>500</v>
      </c>
      <c r="S840" s="7">
        <f>S841</f>
        <v>0</v>
      </c>
      <c r="T840" s="35">
        <f t="shared" si="195"/>
        <v>500</v>
      </c>
    </row>
    <row r="841" spans="1:20" ht="22.5" customHeight="1">
      <c r="A841" s="61" t="str">
        <f ca="1">IF(ISERROR(MATCH(C841,Код_Раздел,0)),"",INDIRECT(ADDRESS(MATCH(C841,Код_Раздел,0)+1,2,,,"Раздел")))</f>
        <v>Социальная политика</v>
      </c>
      <c r="B841" s="47" t="s">
        <v>662</v>
      </c>
      <c r="C841" s="8" t="s">
        <v>188</v>
      </c>
      <c r="D841" s="1"/>
      <c r="E841" s="123"/>
      <c r="F841" s="7"/>
      <c r="G841" s="7"/>
      <c r="H841" s="35"/>
      <c r="I841" s="7"/>
      <c r="J841" s="35"/>
      <c r="K841" s="7"/>
      <c r="L841" s="35"/>
      <c r="M841" s="7"/>
      <c r="N841" s="35"/>
      <c r="O841" s="7"/>
      <c r="P841" s="35"/>
      <c r="Q841" s="7">
        <f>Q842</f>
        <v>500</v>
      </c>
      <c r="R841" s="35">
        <f t="shared" si="200"/>
        <v>500</v>
      </c>
      <c r="S841" s="7">
        <f>S842</f>
        <v>0</v>
      </c>
      <c r="T841" s="35">
        <f t="shared" si="195"/>
        <v>500</v>
      </c>
    </row>
    <row r="842" spans="1:20" ht="20.25" customHeight="1">
      <c r="A842" s="12" t="s">
        <v>179</v>
      </c>
      <c r="B842" s="47" t="s">
        <v>662</v>
      </c>
      <c r="C842" s="8" t="s">
        <v>188</v>
      </c>
      <c r="D842" s="8" t="s">
        <v>215</v>
      </c>
      <c r="E842" s="123"/>
      <c r="F842" s="7"/>
      <c r="G842" s="7"/>
      <c r="H842" s="35"/>
      <c r="I842" s="7"/>
      <c r="J842" s="35"/>
      <c r="K842" s="7"/>
      <c r="L842" s="35"/>
      <c r="M842" s="7"/>
      <c r="N842" s="35"/>
      <c r="O842" s="7"/>
      <c r="P842" s="35"/>
      <c r="Q842" s="7">
        <f>Q843</f>
        <v>500</v>
      </c>
      <c r="R842" s="35">
        <f t="shared" si="200"/>
        <v>500</v>
      </c>
      <c r="S842" s="7">
        <f>S843</f>
        <v>0</v>
      </c>
      <c r="T842" s="35">
        <f t="shared" si="195"/>
        <v>500</v>
      </c>
    </row>
    <row r="843" spans="1:20" ht="24.75" customHeight="1">
      <c r="A843" s="61" t="str">
        <f ca="1">IF(ISERROR(MATCH(E843,Код_КВР,0)),"",INDIRECT(ADDRESS(MATCH(E843,Код_КВР,0)+1,2,,,"КВР")))</f>
        <v>Социальное обеспечение и иные выплаты населению</v>
      </c>
      <c r="B843" s="47" t="s">
        <v>662</v>
      </c>
      <c r="C843" s="8" t="s">
        <v>188</v>
      </c>
      <c r="D843" s="8" t="s">
        <v>215</v>
      </c>
      <c r="E843" s="123">
        <v>300</v>
      </c>
      <c r="F843" s="7"/>
      <c r="G843" s="7"/>
      <c r="H843" s="35"/>
      <c r="I843" s="7"/>
      <c r="J843" s="35"/>
      <c r="K843" s="7"/>
      <c r="L843" s="35"/>
      <c r="M843" s="7"/>
      <c r="N843" s="35"/>
      <c r="O843" s="7"/>
      <c r="P843" s="35"/>
      <c r="Q843" s="7">
        <f>Q844</f>
        <v>500</v>
      </c>
      <c r="R843" s="35">
        <f t="shared" si="200"/>
        <v>500</v>
      </c>
      <c r="S843" s="7">
        <f>S844</f>
        <v>0</v>
      </c>
      <c r="T843" s="35">
        <f t="shared" si="195"/>
        <v>500</v>
      </c>
    </row>
    <row r="844" spans="1:20" ht="27.75" customHeight="1">
      <c r="A844" s="61" t="str">
        <f ca="1">IF(ISERROR(MATCH(E844,Код_КВР,0)),"",INDIRECT(ADDRESS(MATCH(E844,Код_КВР,0)+1,2,,,"КВР")))</f>
        <v>Публичные нормативные социальные выплаты гражданам</v>
      </c>
      <c r="B844" s="47" t="s">
        <v>662</v>
      </c>
      <c r="C844" s="8" t="s">
        <v>188</v>
      </c>
      <c r="D844" s="8" t="s">
        <v>215</v>
      </c>
      <c r="E844" s="123">
        <v>310</v>
      </c>
      <c r="F844" s="7"/>
      <c r="G844" s="7"/>
      <c r="H844" s="35"/>
      <c r="I844" s="7"/>
      <c r="J844" s="35"/>
      <c r="K844" s="7"/>
      <c r="L844" s="35"/>
      <c r="M844" s="7"/>
      <c r="N844" s="35"/>
      <c r="O844" s="7"/>
      <c r="P844" s="35"/>
      <c r="Q844" s="7">
        <f>Q845</f>
        <v>500</v>
      </c>
      <c r="R844" s="35">
        <f t="shared" si="200"/>
        <v>500</v>
      </c>
      <c r="S844" s="7">
        <f>S845</f>
        <v>0</v>
      </c>
      <c r="T844" s="35">
        <f t="shared" si="195"/>
        <v>500</v>
      </c>
    </row>
    <row r="845" spans="1:20" ht="36" customHeight="1">
      <c r="A845" s="61" t="str">
        <f ca="1">IF(ISERROR(MATCH(E845,Код_КВР,0)),"",INDIRECT(ADDRESS(MATCH(E845,Код_КВР,0)+1,2,,,"КВР")))</f>
        <v>Пособия, компенсации, меры социальной поддержки по публичным нормативным обязательствам</v>
      </c>
      <c r="B845" s="47" t="s">
        <v>662</v>
      </c>
      <c r="C845" s="8" t="s">
        <v>188</v>
      </c>
      <c r="D845" s="8" t="s">
        <v>215</v>
      </c>
      <c r="E845" s="123">
        <v>313</v>
      </c>
      <c r="F845" s="7"/>
      <c r="G845" s="7"/>
      <c r="H845" s="35"/>
      <c r="I845" s="7"/>
      <c r="J845" s="35"/>
      <c r="K845" s="7"/>
      <c r="L845" s="35"/>
      <c r="M845" s="7"/>
      <c r="N845" s="35"/>
      <c r="O845" s="7"/>
      <c r="P845" s="35"/>
      <c r="Q845" s="7">
        <f>прил.6!R1383</f>
        <v>500</v>
      </c>
      <c r="R845" s="35">
        <f t="shared" si="200"/>
        <v>500</v>
      </c>
      <c r="S845" s="7">
        <f>прил.6!T1383</f>
        <v>0</v>
      </c>
      <c r="T845" s="35">
        <f t="shared" si="195"/>
        <v>500</v>
      </c>
    </row>
    <row r="846" spans="1:20" ht="33">
      <c r="A846" s="61" t="str">
        <f ca="1">IF(ISERROR(MATCH(B846,Код_КЦСР,0)),"",INDIRECT(ADDRESS(MATCH(B846,Код_КЦСР,0)+1,2,,,"КЦСР")))</f>
        <v>Социальная поддержка пенсионеров на условиях договора пожизненного содержания с иждивением</v>
      </c>
      <c r="B846" s="45" t="s">
        <v>20</v>
      </c>
      <c r="C846" s="8"/>
      <c r="D846" s="1"/>
      <c r="E846" s="104"/>
      <c r="F846" s="7">
        <f t="shared" ref="F846:S852" si="202">F847</f>
        <v>14888.699999999999</v>
      </c>
      <c r="G846" s="7">
        <f t="shared" si="202"/>
        <v>0</v>
      </c>
      <c r="H846" s="35">
        <f t="shared" si="182"/>
        <v>14888.699999999999</v>
      </c>
      <c r="I846" s="7">
        <f t="shared" si="202"/>
        <v>0</v>
      </c>
      <c r="J846" s="35">
        <f t="shared" si="180"/>
        <v>14888.699999999999</v>
      </c>
      <c r="K846" s="7">
        <f t="shared" si="202"/>
        <v>0</v>
      </c>
      <c r="L846" s="35">
        <f t="shared" ref="L846:L927" si="203">J846+K846</f>
        <v>14888.699999999999</v>
      </c>
      <c r="M846" s="7">
        <f t="shared" si="202"/>
        <v>0</v>
      </c>
      <c r="N846" s="35">
        <f t="shared" ref="N846:N927" si="204">L846+M846</f>
        <v>14888.699999999999</v>
      </c>
      <c r="O846" s="7">
        <f t="shared" si="202"/>
        <v>0</v>
      </c>
      <c r="P846" s="35">
        <f t="shared" si="192"/>
        <v>14888.699999999999</v>
      </c>
      <c r="Q846" s="7">
        <f t="shared" si="202"/>
        <v>0</v>
      </c>
      <c r="R846" s="35">
        <f t="shared" si="193"/>
        <v>14888.699999999999</v>
      </c>
      <c r="S846" s="7">
        <f t="shared" si="202"/>
        <v>0</v>
      </c>
      <c r="T846" s="35">
        <f t="shared" si="195"/>
        <v>14888.699999999999</v>
      </c>
    </row>
    <row r="847" spans="1:20">
      <c r="A847" s="61" t="str">
        <f ca="1">IF(ISERROR(MATCH(C847,Код_Раздел,0)),"",INDIRECT(ADDRESS(MATCH(C847,Код_Раздел,0)+1,2,,,"Раздел")))</f>
        <v>Социальная политика</v>
      </c>
      <c r="B847" s="45" t="s">
        <v>20</v>
      </c>
      <c r="C847" s="8" t="s">
        <v>188</v>
      </c>
      <c r="D847" s="1"/>
      <c r="E847" s="104"/>
      <c r="F847" s="7">
        <f t="shared" si="202"/>
        <v>14888.699999999999</v>
      </c>
      <c r="G847" s="7">
        <f t="shared" si="202"/>
        <v>0</v>
      </c>
      <c r="H847" s="35">
        <f t="shared" si="182"/>
        <v>14888.699999999999</v>
      </c>
      <c r="I847" s="7">
        <f t="shared" si="202"/>
        <v>0</v>
      </c>
      <c r="J847" s="35">
        <f t="shared" si="180"/>
        <v>14888.699999999999</v>
      </c>
      <c r="K847" s="7">
        <f t="shared" si="202"/>
        <v>0</v>
      </c>
      <c r="L847" s="35">
        <f t="shared" si="203"/>
        <v>14888.699999999999</v>
      </c>
      <c r="M847" s="7">
        <f t="shared" si="202"/>
        <v>0</v>
      </c>
      <c r="N847" s="35">
        <f t="shared" si="204"/>
        <v>14888.699999999999</v>
      </c>
      <c r="O847" s="7">
        <f t="shared" si="202"/>
        <v>0</v>
      </c>
      <c r="P847" s="35">
        <f t="shared" si="192"/>
        <v>14888.699999999999</v>
      </c>
      <c r="Q847" s="7">
        <f t="shared" si="202"/>
        <v>0</v>
      </c>
      <c r="R847" s="35">
        <f t="shared" si="193"/>
        <v>14888.699999999999</v>
      </c>
      <c r="S847" s="7">
        <f t="shared" si="202"/>
        <v>0</v>
      </c>
      <c r="T847" s="35">
        <f t="shared" si="195"/>
        <v>14888.699999999999</v>
      </c>
    </row>
    <row r="848" spans="1:20">
      <c r="A848" s="12" t="s">
        <v>179</v>
      </c>
      <c r="B848" s="45" t="s">
        <v>20</v>
      </c>
      <c r="C848" s="8" t="s">
        <v>188</v>
      </c>
      <c r="D848" s="8" t="s">
        <v>215</v>
      </c>
      <c r="E848" s="104"/>
      <c r="F848" s="7">
        <f>F852</f>
        <v>14888.699999999999</v>
      </c>
      <c r="G848" s="7">
        <f>G852</f>
        <v>0</v>
      </c>
      <c r="H848" s="35">
        <f t="shared" si="182"/>
        <v>14888.699999999999</v>
      </c>
      <c r="I848" s="7">
        <f>I852</f>
        <v>0</v>
      </c>
      <c r="J848" s="35">
        <f t="shared" si="180"/>
        <v>14888.699999999999</v>
      </c>
      <c r="K848" s="7">
        <f>K852</f>
        <v>0</v>
      </c>
      <c r="L848" s="35">
        <f t="shared" si="203"/>
        <v>14888.699999999999</v>
      </c>
      <c r="M848" s="7">
        <f>M852</f>
        <v>0</v>
      </c>
      <c r="N848" s="35">
        <f t="shared" si="204"/>
        <v>14888.699999999999</v>
      </c>
      <c r="O848" s="7">
        <f>O852</f>
        <v>0</v>
      </c>
      <c r="P848" s="35">
        <f t="shared" si="192"/>
        <v>14888.699999999999</v>
      </c>
      <c r="Q848" s="7">
        <f>Q852</f>
        <v>0</v>
      </c>
      <c r="R848" s="35">
        <f t="shared" si="193"/>
        <v>14888.699999999999</v>
      </c>
      <c r="S848" s="7">
        <f>S849+S852</f>
        <v>0</v>
      </c>
      <c r="T848" s="35">
        <f t="shared" si="195"/>
        <v>14888.699999999999</v>
      </c>
    </row>
    <row r="849" spans="1:20">
      <c r="A849" s="61" t="str">
        <f t="shared" ref="A849:A855" ca="1" si="205">IF(ISERROR(MATCH(E849,Код_КВР,0)),"",INDIRECT(ADDRESS(MATCH(E849,Код_КВР,0)+1,2,,,"КВР")))</f>
        <v>Закупка товаров, работ и услуг для муниципальных нужд</v>
      </c>
      <c r="B849" s="45" t="s">
        <v>20</v>
      </c>
      <c r="C849" s="8" t="s">
        <v>188</v>
      </c>
      <c r="D849" s="8" t="s">
        <v>215</v>
      </c>
      <c r="E849" s="139">
        <v>200</v>
      </c>
      <c r="F849" s="7"/>
      <c r="G849" s="7"/>
      <c r="H849" s="35"/>
      <c r="I849" s="7"/>
      <c r="J849" s="35"/>
      <c r="K849" s="7"/>
      <c r="L849" s="35"/>
      <c r="M849" s="7"/>
      <c r="N849" s="35"/>
      <c r="O849" s="7"/>
      <c r="P849" s="35"/>
      <c r="Q849" s="7"/>
      <c r="R849" s="35"/>
      <c r="S849" s="7">
        <f t="shared" si="202"/>
        <v>38.1</v>
      </c>
      <c r="T849" s="35">
        <f t="shared" si="195"/>
        <v>38.1</v>
      </c>
    </row>
    <row r="850" spans="1:20" ht="33">
      <c r="A850" s="61" t="str">
        <f t="shared" ca="1" si="205"/>
        <v>Иные закупки товаров, работ и услуг для обеспечения муниципальных нужд</v>
      </c>
      <c r="B850" s="45" t="s">
        <v>20</v>
      </c>
      <c r="C850" s="8" t="s">
        <v>188</v>
      </c>
      <c r="D850" s="8" t="s">
        <v>215</v>
      </c>
      <c r="E850" s="139">
        <v>240</v>
      </c>
      <c r="F850" s="7"/>
      <c r="G850" s="7"/>
      <c r="H850" s="35"/>
      <c r="I850" s="7"/>
      <c r="J850" s="35"/>
      <c r="K850" s="7"/>
      <c r="L850" s="35"/>
      <c r="M850" s="7"/>
      <c r="N850" s="35"/>
      <c r="O850" s="7"/>
      <c r="P850" s="35"/>
      <c r="Q850" s="7"/>
      <c r="R850" s="35"/>
      <c r="S850" s="7">
        <f>SUM(S851)</f>
        <v>38.1</v>
      </c>
      <c r="T850" s="35">
        <f t="shared" si="195"/>
        <v>38.1</v>
      </c>
    </row>
    <row r="851" spans="1:20" ht="33">
      <c r="A851" s="61" t="str">
        <f t="shared" ca="1" si="205"/>
        <v xml:space="preserve">Прочая закупка товаров, работ и услуг для обеспечения муниципальных нужд         </v>
      </c>
      <c r="B851" s="45" t="s">
        <v>20</v>
      </c>
      <c r="C851" s="8" t="s">
        <v>188</v>
      </c>
      <c r="D851" s="8" t="s">
        <v>215</v>
      </c>
      <c r="E851" s="139">
        <v>244</v>
      </c>
      <c r="F851" s="7"/>
      <c r="G851" s="7"/>
      <c r="H851" s="35"/>
      <c r="I851" s="7"/>
      <c r="J851" s="35"/>
      <c r="K851" s="7"/>
      <c r="L851" s="35"/>
      <c r="M851" s="7"/>
      <c r="N851" s="35"/>
      <c r="O851" s="7"/>
      <c r="P851" s="35"/>
      <c r="Q851" s="7"/>
      <c r="R851" s="35"/>
      <c r="S851" s="7">
        <f>прил.6!T1387</f>
        <v>38.1</v>
      </c>
      <c r="T851" s="35">
        <f t="shared" si="195"/>
        <v>38.1</v>
      </c>
    </row>
    <row r="852" spans="1:20">
      <c r="A852" s="61" t="str">
        <f t="shared" ca="1" si="205"/>
        <v>Социальное обеспечение и иные выплаты населению</v>
      </c>
      <c r="B852" s="45" t="s">
        <v>20</v>
      </c>
      <c r="C852" s="8" t="s">
        <v>188</v>
      </c>
      <c r="D852" s="8" t="s">
        <v>215</v>
      </c>
      <c r="E852" s="104">
        <v>300</v>
      </c>
      <c r="F852" s="7">
        <f t="shared" si="202"/>
        <v>14888.699999999999</v>
      </c>
      <c r="G852" s="7">
        <f t="shared" si="202"/>
        <v>0</v>
      </c>
      <c r="H852" s="35">
        <f t="shared" si="182"/>
        <v>14888.699999999999</v>
      </c>
      <c r="I852" s="7">
        <f t="shared" si="202"/>
        <v>0</v>
      </c>
      <c r="J852" s="35">
        <f t="shared" si="180"/>
        <v>14888.699999999999</v>
      </c>
      <c r="K852" s="7">
        <f t="shared" si="202"/>
        <v>0</v>
      </c>
      <c r="L852" s="35">
        <f t="shared" si="203"/>
        <v>14888.699999999999</v>
      </c>
      <c r="M852" s="7">
        <f t="shared" si="202"/>
        <v>0</v>
      </c>
      <c r="N852" s="35">
        <f t="shared" si="204"/>
        <v>14888.699999999999</v>
      </c>
      <c r="O852" s="7">
        <f t="shared" si="202"/>
        <v>0</v>
      </c>
      <c r="P852" s="35">
        <f t="shared" si="192"/>
        <v>14888.699999999999</v>
      </c>
      <c r="Q852" s="7">
        <f t="shared" si="202"/>
        <v>0</v>
      </c>
      <c r="R852" s="35">
        <f t="shared" si="193"/>
        <v>14888.699999999999</v>
      </c>
      <c r="S852" s="7">
        <f t="shared" si="202"/>
        <v>-38.100000000000023</v>
      </c>
      <c r="T852" s="35">
        <f t="shared" si="195"/>
        <v>14850.599999999999</v>
      </c>
    </row>
    <row r="853" spans="1:20" ht="35.25" customHeight="1">
      <c r="A853" s="61" t="str">
        <f t="shared" ca="1" si="205"/>
        <v>Социальные выплаты гражданам, кроме публичных нормативных социальных выплат</v>
      </c>
      <c r="B853" s="45" t="s">
        <v>20</v>
      </c>
      <c r="C853" s="8" t="s">
        <v>188</v>
      </c>
      <c r="D853" s="8" t="s">
        <v>215</v>
      </c>
      <c r="E853" s="104">
        <v>320</v>
      </c>
      <c r="F853" s="7">
        <f>SUM(F854:F855)</f>
        <v>14888.699999999999</v>
      </c>
      <c r="G853" s="7">
        <f>SUM(G854:G855)</f>
        <v>0</v>
      </c>
      <c r="H853" s="35">
        <f t="shared" si="182"/>
        <v>14888.699999999999</v>
      </c>
      <c r="I853" s="7">
        <f>SUM(I854:I855)</f>
        <v>0</v>
      </c>
      <c r="J853" s="35">
        <f t="shared" si="180"/>
        <v>14888.699999999999</v>
      </c>
      <c r="K853" s="7">
        <f>SUM(K854:K855)</f>
        <v>0</v>
      </c>
      <c r="L853" s="35">
        <f t="shared" si="203"/>
        <v>14888.699999999999</v>
      </c>
      <c r="M853" s="7">
        <f>SUM(M854:M855)</f>
        <v>0</v>
      </c>
      <c r="N853" s="35">
        <f t="shared" si="204"/>
        <v>14888.699999999999</v>
      </c>
      <c r="O853" s="7">
        <f>SUM(O854:O855)</f>
        <v>0</v>
      </c>
      <c r="P853" s="35">
        <f t="shared" si="192"/>
        <v>14888.699999999999</v>
      </c>
      <c r="Q853" s="7">
        <f>SUM(Q854:Q855)</f>
        <v>0</v>
      </c>
      <c r="R853" s="35">
        <f t="shared" si="193"/>
        <v>14888.699999999999</v>
      </c>
      <c r="S853" s="7">
        <f>SUM(S854:S855)</f>
        <v>-38.100000000000023</v>
      </c>
      <c r="T853" s="35">
        <f t="shared" si="195"/>
        <v>14850.599999999999</v>
      </c>
    </row>
    <row r="854" spans="1:20" ht="36.75" customHeight="1">
      <c r="A854" s="61" t="str">
        <f t="shared" ca="1" si="205"/>
        <v>Пособия, компенсации и иные социальные выплаты гражданам, кроме публичных нормативных обязательств</v>
      </c>
      <c r="B854" s="45" t="s">
        <v>20</v>
      </c>
      <c r="C854" s="8" t="s">
        <v>188</v>
      </c>
      <c r="D854" s="8" t="s">
        <v>215</v>
      </c>
      <c r="E854" s="104">
        <v>321</v>
      </c>
      <c r="F854" s="7">
        <f>прил.6!G1390</f>
        <v>12936.9</v>
      </c>
      <c r="G854" s="7">
        <f>прил.6!H1390</f>
        <v>0</v>
      </c>
      <c r="H854" s="35">
        <f t="shared" si="182"/>
        <v>12936.9</v>
      </c>
      <c r="I854" s="7">
        <f>прил.6!J1390</f>
        <v>0</v>
      </c>
      <c r="J854" s="35">
        <f t="shared" si="180"/>
        <v>12936.9</v>
      </c>
      <c r="K854" s="7">
        <f>прил.6!L1390</f>
        <v>0</v>
      </c>
      <c r="L854" s="35">
        <f t="shared" si="203"/>
        <v>12936.9</v>
      </c>
      <c r="M854" s="7">
        <f>прил.6!N1390</f>
        <v>0</v>
      </c>
      <c r="N854" s="35">
        <f t="shared" si="204"/>
        <v>12936.9</v>
      </c>
      <c r="O854" s="7">
        <f>прил.6!P1390</f>
        <v>0</v>
      </c>
      <c r="P854" s="35">
        <f t="shared" si="192"/>
        <v>12936.9</v>
      </c>
      <c r="Q854" s="7">
        <f>прил.6!R1390</f>
        <v>-327</v>
      </c>
      <c r="R854" s="35">
        <f t="shared" si="193"/>
        <v>12609.9</v>
      </c>
      <c r="S854" s="7">
        <f>прил.6!T1390</f>
        <v>393.2</v>
      </c>
      <c r="T854" s="35">
        <f t="shared" si="195"/>
        <v>13003.1</v>
      </c>
    </row>
    <row r="855" spans="1:20" ht="33">
      <c r="A855" s="61" t="str">
        <f t="shared" ca="1" si="205"/>
        <v>Приобретение товаров, работ, услуг в пользу граждан в целях их социального обеспечения</v>
      </c>
      <c r="B855" s="45" t="s">
        <v>20</v>
      </c>
      <c r="C855" s="8" t="s">
        <v>188</v>
      </c>
      <c r="D855" s="8" t="s">
        <v>215</v>
      </c>
      <c r="E855" s="104">
        <v>323</v>
      </c>
      <c r="F855" s="7">
        <f>прил.6!G1391</f>
        <v>1951.8</v>
      </c>
      <c r="G855" s="7">
        <f>прил.6!H1391</f>
        <v>0</v>
      </c>
      <c r="H855" s="35">
        <f t="shared" si="182"/>
        <v>1951.8</v>
      </c>
      <c r="I855" s="7">
        <f>прил.6!J1391</f>
        <v>0</v>
      </c>
      <c r="J855" s="35">
        <f t="shared" ref="J855:J947" si="206">H855+I855</f>
        <v>1951.8</v>
      </c>
      <c r="K855" s="7">
        <f>прил.6!L1391</f>
        <v>0</v>
      </c>
      <c r="L855" s="35">
        <f t="shared" si="203"/>
        <v>1951.8</v>
      </c>
      <c r="M855" s="7">
        <f>прил.6!N1391</f>
        <v>0</v>
      </c>
      <c r="N855" s="35">
        <f t="shared" si="204"/>
        <v>1951.8</v>
      </c>
      <c r="O855" s="7">
        <f>прил.6!P1391</f>
        <v>0</v>
      </c>
      <c r="P855" s="35">
        <f t="shared" si="192"/>
        <v>1951.8</v>
      </c>
      <c r="Q855" s="7">
        <f>прил.6!R1391</f>
        <v>327</v>
      </c>
      <c r="R855" s="35">
        <f t="shared" si="193"/>
        <v>2278.8000000000002</v>
      </c>
      <c r="S855" s="7">
        <f>прил.6!T1391</f>
        <v>-431.3</v>
      </c>
      <c r="T855" s="35">
        <f t="shared" si="195"/>
        <v>1847.5000000000002</v>
      </c>
    </row>
    <row r="856" spans="1:20">
      <c r="A856" s="61" t="str">
        <f ca="1">IF(ISERROR(MATCH(B856,Код_КЦСР,0)),"",INDIRECT(ADDRESS(MATCH(B856,Код_КЦСР,0)+1,2,,,"КЦСР")))</f>
        <v>Оплата услуг бани по льготным помывкам</v>
      </c>
      <c r="B856" s="45" t="s">
        <v>21</v>
      </c>
      <c r="C856" s="8"/>
      <c r="D856" s="1"/>
      <c r="E856" s="104"/>
      <c r="F856" s="7">
        <f t="shared" ref="F856:S860" si="207">F857</f>
        <v>71</v>
      </c>
      <c r="G856" s="7">
        <f t="shared" si="207"/>
        <v>0</v>
      </c>
      <c r="H856" s="35">
        <f t="shared" si="182"/>
        <v>71</v>
      </c>
      <c r="I856" s="7">
        <f t="shared" si="207"/>
        <v>0</v>
      </c>
      <c r="J856" s="35">
        <f t="shared" si="206"/>
        <v>71</v>
      </c>
      <c r="K856" s="7">
        <f t="shared" si="207"/>
        <v>0</v>
      </c>
      <c r="L856" s="35">
        <f t="shared" si="203"/>
        <v>71</v>
      </c>
      <c r="M856" s="7">
        <f t="shared" si="207"/>
        <v>0</v>
      </c>
      <c r="N856" s="35">
        <f t="shared" si="204"/>
        <v>71</v>
      </c>
      <c r="O856" s="7">
        <f t="shared" si="207"/>
        <v>0</v>
      </c>
      <c r="P856" s="35">
        <f t="shared" si="192"/>
        <v>71</v>
      </c>
      <c r="Q856" s="7">
        <f t="shared" si="207"/>
        <v>0</v>
      </c>
      <c r="R856" s="35">
        <f t="shared" si="193"/>
        <v>71</v>
      </c>
      <c r="S856" s="7">
        <f t="shared" si="207"/>
        <v>0</v>
      </c>
      <c r="T856" s="35">
        <f t="shared" si="195"/>
        <v>71</v>
      </c>
    </row>
    <row r="857" spans="1:20">
      <c r="A857" s="61" t="str">
        <f ca="1">IF(ISERROR(MATCH(C857,Код_Раздел,0)),"",INDIRECT(ADDRESS(MATCH(C857,Код_Раздел,0)+1,2,,,"Раздел")))</f>
        <v>Социальная политика</v>
      </c>
      <c r="B857" s="45" t="s">
        <v>21</v>
      </c>
      <c r="C857" s="8" t="s">
        <v>188</v>
      </c>
      <c r="D857" s="1"/>
      <c r="E857" s="104"/>
      <c r="F857" s="7">
        <f t="shared" si="207"/>
        <v>71</v>
      </c>
      <c r="G857" s="7">
        <f t="shared" si="207"/>
        <v>0</v>
      </c>
      <c r="H857" s="35">
        <f t="shared" si="182"/>
        <v>71</v>
      </c>
      <c r="I857" s="7">
        <f t="shared" si="207"/>
        <v>0</v>
      </c>
      <c r="J857" s="35">
        <f t="shared" si="206"/>
        <v>71</v>
      </c>
      <c r="K857" s="7">
        <f t="shared" si="207"/>
        <v>0</v>
      </c>
      <c r="L857" s="35">
        <f t="shared" si="203"/>
        <v>71</v>
      </c>
      <c r="M857" s="7">
        <f t="shared" si="207"/>
        <v>0</v>
      </c>
      <c r="N857" s="35">
        <f t="shared" si="204"/>
        <v>71</v>
      </c>
      <c r="O857" s="7">
        <f t="shared" si="207"/>
        <v>0</v>
      </c>
      <c r="P857" s="35">
        <f t="shared" si="192"/>
        <v>71</v>
      </c>
      <c r="Q857" s="7">
        <f t="shared" si="207"/>
        <v>0</v>
      </c>
      <c r="R857" s="35">
        <f t="shared" si="193"/>
        <v>71</v>
      </c>
      <c r="S857" s="7">
        <f t="shared" si="207"/>
        <v>0</v>
      </c>
      <c r="T857" s="35">
        <f t="shared" si="195"/>
        <v>71</v>
      </c>
    </row>
    <row r="858" spans="1:20">
      <c r="A858" s="12" t="s">
        <v>179</v>
      </c>
      <c r="B858" s="45" t="s">
        <v>21</v>
      </c>
      <c r="C858" s="8" t="s">
        <v>188</v>
      </c>
      <c r="D858" s="8" t="s">
        <v>215</v>
      </c>
      <c r="E858" s="104"/>
      <c r="F858" s="7">
        <f t="shared" si="207"/>
        <v>71</v>
      </c>
      <c r="G858" s="7">
        <f t="shared" si="207"/>
        <v>0</v>
      </c>
      <c r="H858" s="35">
        <f t="shared" si="182"/>
        <v>71</v>
      </c>
      <c r="I858" s="7">
        <f t="shared" si="207"/>
        <v>0</v>
      </c>
      <c r="J858" s="35">
        <f t="shared" si="206"/>
        <v>71</v>
      </c>
      <c r="K858" s="7">
        <f t="shared" si="207"/>
        <v>0</v>
      </c>
      <c r="L858" s="35">
        <f t="shared" si="203"/>
        <v>71</v>
      </c>
      <c r="M858" s="7">
        <f t="shared" si="207"/>
        <v>0</v>
      </c>
      <c r="N858" s="35">
        <f t="shared" si="204"/>
        <v>71</v>
      </c>
      <c r="O858" s="7">
        <f t="shared" si="207"/>
        <v>0</v>
      </c>
      <c r="P858" s="35">
        <f t="shared" si="192"/>
        <v>71</v>
      </c>
      <c r="Q858" s="7">
        <f t="shared" si="207"/>
        <v>0</v>
      </c>
      <c r="R858" s="35">
        <f t="shared" si="193"/>
        <v>71</v>
      </c>
      <c r="S858" s="7">
        <f t="shared" si="207"/>
        <v>0</v>
      </c>
      <c r="T858" s="35">
        <f t="shared" si="195"/>
        <v>71</v>
      </c>
    </row>
    <row r="859" spans="1:20">
      <c r="A859" s="61" t="str">
        <f ca="1">IF(ISERROR(MATCH(E859,Код_КВР,0)),"",INDIRECT(ADDRESS(MATCH(E859,Код_КВР,0)+1,2,,,"КВР")))</f>
        <v>Социальное обеспечение и иные выплаты населению</v>
      </c>
      <c r="B859" s="45" t="s">
        <v>21</v>
      </c>
      <c r="C859" s="8" t="s">
        <v>188</v>
      </c>
      <c r="D859" s="8" t="s">
        <v>215</v>
      </c>
      <c r="E859" s="104">
        <v>300</v>
      </c>
      <c r="F859" s="7">
        <f t="shared" si="207"/>
        <v>71</v>
      </c>
      <c r="G859" s="7">
        <f t="shared" si="207"/>
        <v>0</v>
      </c>
      <c r="H859" s="35">
        <f t="shared" si="182"/>
        <v>71</v>
      </c>
      <c r="I859" s="7">
        <f t="shared" si="207"/>
        <v>0</v>
      </c>
      <c r="J859" s="35">
        <f t="shared" si="206"/>
        <v>71</v>
      </c>
      <c r="K859" s="7">
        <f t="shared" si="207"/>
        <v>0</v>
      </c>
      <c r="L859" s="35">
        <f t="shared" si="203"/>
        <v>71</v>
      </c>
      <c r="M859" s="7">
        <f t="shared" si="207"/>
        <v>0</v>
      </c>
      <c r="N859" s="35">
        <f t="shared" si="204"/>
        <v>71</v>
      </c>
      <c r="O859" s="7">
        <f t="shared" si="207"/>
        <v>0</v>
      </c>
      <c r="P859" s="35">
        <f t="shared" si="192"/>
        <v>71</v>
      </c>
      <c r="Q859" s="7">
        <f t="shared" si="207"/>
        <v>0</v>
      </c>
      <c r="R859" s="35">
        <f t="shared" si="193"/>
        <v>71</v>
      </c>
      <c r="S859" s="7">
        <f t="shared" si="207"/>
        <v>0</v>
      </c>
      <c r="T859" s="35">
        <f t="shared" si="195"/>
        <v>71</v>
      </c>
    </row>
    <row r="860" spans="1:20" ht="33">
      <c r="A860" s="61" t="str">
        <f ca="1">IF(ISERROR(MATCH(E860,Код_КВР,0)),"",INDIRECT(ADDRESS(MATCH(E860,Код_КВР,0)+1,2,,,"КВР")))</f>
        <v>Социальные выплаты гражданам, кроме публичных нормативных социальных выплат</v>
      </c>
      <c r="B860" s="45" t="s">
        <v>21</v>
      </c>
      <c r="C860" s="8" t="s">
        <v>188</v>
      </c>
      <c r="D860" s="8" t="s">
        <v>215</v>
      </c>
      <c r="E860" s="104">
        <v>320</v>
      </c>
      <c r="F860" s="7">
        <f t="shared" si="207"/>
        <v>71</v>
      </c>
      <c r="G860" s="7">
        <f t="shared" si="207"/>
        <v>0</v>
      </c>
      <c r="H860" s="35">
        <f t="shared" si="182"/>
        <v>71</v>
      </c>
      <c r="I860" s="7">
        <f t="shared" si="207"/>
        <v>0</v>
      </c>
      <c r="J860" s="35">
        <f t="shared" si="206"/>
        <v>71</v>
      </c>
      <c r="K860" s="7">
        <f t="shared" si="207"/>
        <v>0</v>
      </c>
      <c r="L860" s="35">
        <f t="shared" si="203"/>
        <v>71</v>
      </c>
      <c r="M860" s="7">
        <f t="shared" si="207"/>
        <v>0</v>
      </c>
      <c r="N860" s="35">
        <f t="shared" si="204"/>
        <v>71</v>
      </c>
      <c r="O860" s="7">
        <f t="shared" si="207"/>
        <v>0</v>
      </c>
      <c r="P860" s="35">
        <f t="shared" si="192"/>
        <v>71</v>
      </c>
      <c r="Q860" s="7">
        <f t="shared" si="207"/>
        <v>0</v>
      </c>
      <c r="R860" s="35">
        <f t="shared" si="193"/>
        <v>71</v>
      </c>
      <c r="S860" s="7">
        <f t="shared" si="207"/>
        <v>0</v>
      </c>
      <c r="T860" s="35">
        <f t="shared" si="195"/>
        <v>71</v>
      </c>
    </row>
    <row r="861" spans="1:20" ht="33">
      <c r="A861" s="61" t="str">
        <f ca="1">IF(ISERROR(MATCH(E861,Код_КВР,0)),"",INDIRECT(ADDRESS(MATCH(E861,Код_КВР,0)+1,2,,,"КВР")))</f>
        <v>Приобретение товаров, работ, услуг в пользу граждан в целях их социального обеспечения</v>
      </c>
      <c r="B861" s="45" t="s">
        <v>21</v>
      </c>
      <c r="C861" s="8" t="s">
        <v>188</v>
      </c>
      <c r="D861" s="8" t="s">
        <v>215</v>
      </c>
      <c r="E861" s="104">
        <v>323</v>
      </c>
      <c r="F861" s="7">
        <f>прил.6!G546</f>
        <v>71</v>
      </c>
      <c r="G861" s="7">
        <f>прил.6!H546</f>
        <v>0</v>
      </c>
      <c r="H861" s="35">
        <f t="shared" si="182"/>
        <v>71</v>
      </c>
      <c r="I861" s="7">
        <f>прил.6!J546</f>
        <v>0</v>
      </c>
      <c r="J861" s="35">
        <f t="shared" si="206"/>
        <v>71</v>
      </c>
      <c r="K861" s="7">
        <f>прил.6!L546</f>
        <v>0</v>
      </c>
      <c r="L861" s="35">
        <f t="shared" si="203"/>
        <v>71</v>
      </c>
      <c r="M861" s="7">
        <f>прил.6!N546</f>
        <v>0</v>
      </c>
      <c r="N861" s="35">
        <f t="shared" si="204"/>
        <v>71</v>
      </c>
      <c r="O861" s="7">
        <f>прил.6!P546</f>
        <v>0</v>
      </c>
      <c r="P861" s="35">
        <f t="shared" si="192"/>
        <v>71</v>
      </c>
      <c r="Q861" s="7">
        <f>прил.6!R546</f>
        <v>0</v>
      </c>
      <c r="R861" s="35">
        <f t="shared" si="193"/>
        <v>71</v>
      </c>
      <c r="S861" s="7">
        <f>прил.6!T546</f>
        <v>0</v>
      </c>
      <c r="T861" s="35">
        <f t="shared" si="195"/>
        <v>71</v>
      </c>
    </row>
    <row r="862" spans="1:20" ht="69" customHeight="1">
      <c r="A862" s="61" t="str">
        <f ca="1">IF(ISERROR(MATCH(B862,Код_КЦСР,0)),"",INDIRECT(ADDRESS(MATCH(B862,Код_КЦСР,0)+1,2,,,"КЦСР")))</f>
        <v>Субсидии на возмещение затрат, связанных с потреблением: энергетических ресурсов, водоснабжения и водоотведения юридическим лицам, осуществляющим свою деятельность в сфере организации отдыха детей</v>
      </c>
      <c r="B862" s="47" t="s">
        <v>365</v>
      </c>
      <c r="C862" s="8"/>
      <c r="D862" s="1"/>
      <c r="E862" s="104"/>
      <c r="F862" s="7">
        <f t="shared" ref="F862:S866" si="208">F863</f>
        <v>26528.400000000001</v>
      </c>
      <c r="G862" s="7">
        <f t="shared" si="208"/>
        <v>0</v>
      </c>
      <c r="H862" s="35">
        <f t="shared" si="182"/>
        <v>26528.400000000001</v>
      </c>
      <c r="I862" s="7">
        <f t="shared" si="208"/>
        <v>0</v>
      </c>
      <c r="J862" s="35">
        <f t="shared" si="206"/>
        <v>26528.400000000001</v>
      </c>
      <c r="K862" s="7">
        <f t="shared" si="208"/>
        <v>-2965.2</v>
      </c>
      <c r="L862" s="35">
        <f t="shared" si="203"/>
        <v>23563.200000000001</v>
      </c>
      <c r="M862" s="7">
        <f t="shared" si="208"/>
        <v>0</v>
      </c>
      <c r="N862" s="35">
        <f t="shared" si="204"/>
        <v>23563.200000000001</v>
      </c>
      <c r="O862" s="7">
        <f t="shared" si="208"/>
        <v>0</v>
      </c>
      <c r="P862" s="35">
        <f t="shared" si="192"/>
        <v>23563.200000000001</v>
      </c>
      <c r="Q862" s="7">
        <f t="shared" si="208"/>
        <v>0</v>
      </c>
      <c r="R862" s="35">
        <f t="shared" si="193"/>
        <v>23563.200000000001</v>
      </c>
      <c r="S862" s="7">
        <f t="shared" si="208"/>
        <v>0</v>
      </c>
      <c r="T862" s="35">
        <f t="shared" si="195"/>
        <v>23563.200000000001</v>
      </c>
    </row>
    <row r="863" spans="1:20">
      <c r="A863" s="61" t="str">
        <f ca="1">IF(ISERROR(MATCH(C863,Код_Раздел,0)),"",INDIRECT(ADDRESS(MATCH(C863,Код_Раздел,0)+1,2,,,"Раздел")))</f>
        <v>Образование</v>
      </c>
      <c r="B863" s="47" t="s">
        <v>365</v>
      </c>
      <c r="C863" s="8" t="s">
        <v>195</v>
      </c>
      <c r="D863" s="1"/>
      <c r="E863" s="104"/>
      <c r="F863" s="7">
        <f t="shared" si="208"/>
        <v>26528.400000000001</v>
      </c>
      <c r="G863" s="7">
        <f t="shared" si="208"/>
        <v>0</v>
      </c>
      <c r="H863" s="35">
        <f t="shared" ref="H863:H955" si="209">F863+G863</f>
        <v>26528.400000000001</v>
      </c>
      <c r="I863" s="7">
        <f t="shared" si="208"/>
        <v>0</v>
      </c>
      <c r="J863" s="35">
        <f t="shared" si="206"/>
        <v>26528.400000000001</v>
      </c>
      <c r="K863" s="7">
        <f t="shared" si="208"/>
        <v>-2965.2</v>
      </c>
      <c r="L863" s="35">
        <f t="shared" si="203"/>
        <v>23563.200000000001</v>
      </c>
      <c r="M863" s="7">
        <f t="shared" si="208"/>
        <v>0</v>
      </c>
      <c r="N863" s="35">
        <f t="shared" si="204"/>
        <v>23563.200000000001</v>
      </c>
      <c r="O863" s="7">
        <f t="shared" si="208"/>
        <v>0</v>
      </c>
      <c r="P863" s="35">
        <f t="shared" si="192"/>
        <v>23563.200000000001</v>
      </c>
      <c r="Q863" s="7">
        <f t="shared" si="208"/>
        <v>0</v>
      </c>
      <c r="R863" s="35">
        <f t="shared" si="193"/>
        <v>23563.200000000001</v>
      </c>
      <c r="S863" s="7">
        <f t="shared" si="208"/>
        <v>0</v>
      </c>
      <c r="T863" s="35">
        <f t="shared" si="195"/>
        <v>23563.200000000001</v>
      </c>
    </row>
    <row r="864" spans="1:20">
      <c r="A864" s="12" t="s">
        <v>199</v>
      </c>
      <c r="B864" s="47" t="s">
        <v>365</v>
      </c>
      <c r="C864" s="8" t="s">
        <v>195</v>
      </c>
      <c r="D864" s="8" t="s">
        <v>195</v>
      </c>
      <c r="E864" s="104"/>
      <c r="F864" s="7">
        <f t="shared" si="208"/>
        <v>26528.400000000001</v>
      </c>
      <c r="G864" s="7">
        <f t="shared" si="208"/>
        <v>0</v>
      </c>
      <c r="H864" s="35">
        <f t="shared" si="209"/>
        <v>26528.400000000001</v>
      </c>
      <c r="I864" s="7">
        <f>I865+I868</f>
        <v>0</v>
      </c>
      <c r="J864" s="35">
        <f t="shared" si="206"/>
        <v>26528.400000000001</v>
      </c>
      <c r="K864" s="7">
        <f>K865+K868</f>
        <v>-2965.2</v>
      </c>
      <c r="L864" s="35">
        <f t="shared" si="203"/>
        <v>23563.200000000001</v>
      </c>
      <c r="M864" s="7">
        <f>M865+M868</f>
        <v>0</v>
      </c>
      <c r="N864" s="35">
        <f t="shared" si="204"/>
        <v>23563.200000000001</v>
      </c>
      <c r="O864" s="7">
        <f>O865+O868</f>
        <v>0</v>
      </c>
      <c r="P864" s="35">
        <f t="shared" si="192"/>
        <v>23563.200000000001</v>
      </c>
      <c r="Q864" s="7">
        <f>Q865+Q868</f>
        <v>0</v>
      </c>
      <c r="R864" s="35">
        <f t="shared" si="193"/>
        <v>23563.200000000001</v>
      </c>
      <c r="S864" s="7">
        <f>S865+S868</f>
        <v>0</v>
      </c>
      <c r="T864" s="35">
        <f t="shared" si="195"/>
        <v>23563.200000000001</v>
      </c>
    </row>
    <row r="865" spans="1:20" hidden="1">
      <c r="A865" s="61" t="str">
        <f ca="1">IF(ISERROR(MATCH(E865,Код_КВР,0)),"",INDIRECT(ADDRESS(MATCH(E865,Код_КВР,0)+1,2,,,"КВР")))</f>
        <v>Социальное обеспечение и иные выплаты населению</v>
      </c>
      <c r="B865" s="47" t="s">
        <v>365</v>
      </c>
      <c r="C865" s="8" t="s">
        <v>195</v>
      </c>
      <c r="D865" s="8" t="s">
        <v>195</v>
      </c>
      <c r="E865" s="104">
        <v>300</v>
      </c>
      <c r="F865" s="7">
        <f t="shared" si="208"/>
        <v>26528.400000000001</v>
      </c>
      <c r="G865" s="7">
        <f t="shared" si="208"/>
        <v>0</v>
      </c>
      <c r="H865" s="35">
        <f t="shared" si="209"/>
        <v>26528.400000000001</v>
      </c>
      <c r="I865" s="7">
        <f t="shared" si="208"/>
        <v>-26528.400000000001</v>
      </c>
      <c r="J865" s="35">
        <f t="shared" si="206"/>
        <v>0</v>
      </c>
      <c r="K865" s="7">
        <f t="shared" si="208"/>
        <v>0</v>
      </c>
      <c r="L865" s="35">
        <f t="shared" si="203"/>
        <v>0</v>
      </c>
      <c r="M865" s="7">
        <f t="shared" si="208"/>
        <v>0</v>
      </c>
      <c r="N865" s="35">
        <f t="shared" si="204"/>
        <v>0</v>
      </c>
      <c r="O865" s="7">
        <f t="shared" si="208"/>
        <v>0</v>
      </c>
      <c r="P865" s="35">
        <f t="shared" si="192"/>
        <v>0</v>
      </c>
      <c r="Q865" s="7">
        <f t="shared" si="208"/>
        <v>0</v>
      </c>
      <c r="R865" s="35">
        <f t="shared" si="193"/>
        <v>0</v>
      </c>
      <c r="S865" s="7">
        <f t="shared" si="208"/>
        <v>0</v>
      </c>
      <c r="T865" s="35">
        <f t="shared" si="195"/>
        <v>0</v>
      </c>
    </row>
    <row r="866" spans="1:20" ht="33" hidden="1">
      <c r="A866" s="61" t="str">
        <f ca="1">IF(ISERROR(MATCH(E866,Код_КВР,0)),"",INDIRECT(ADDRESS(MATCH(E866,Код_КВР,0)+1,2,,,"КВР")))</f>
        <v>Социальные выплаты гражданам, кроме публичных нормативных социальных выплат</v>
      </c>
      <c r="B866" s="47" t="s">
        <v>365</v>
      </c>
      <c r="C866" s="8" t="s">
        <v>195</v>
      </c>
      <c r="D866" s="8" t="s">
        <v>195</v>
      </c>
      <c r="E866" s="104">
        <v>320</v>
      </c>
      <c r="F866" s="7">
        <f t="shared" si="208"/>
        <v>26528.400000000001</v>
      </c>
      <c r="G866" s="7">
        <f t="shared" si="208"/>
        <v>0</v>
      </c>
      <c r="H866" s="35">
        <f t="shared" si="209"/>
        <v>26528.400000000001</v>
      </c>
      <c r="I866" s="7">
        <f t="shared" si="208"/>
        <v>-26528.400000000001</v>
      </c>
      <c r="J866" s="35">
        <f t="shared" si="206"/>
        <v>0</v>
      </c>
      <c r="K866" s="7">
        <f t="shared" si="208"/>
        <v>0</v>
      </c>
      <c r="L866" s="35">
        <f t="shared" si="203"/>
        <v>0</v>
      </c>
      <c r="M866" s="7">
        <f t="shared" si="208"/>
        <v>0</v>
      </c>
      <c r="N866" s="35">
        <f t="shared" si="204"/>
        <v>0</v>
      </c>
      <c r="O866" s="7">
        <f t="shared" si="208"/>
        <v>0</v>
      </c>
      <c r="P866" s="35">
        <f t="shared" si="192"/>
        <v>0</v>
      </c>
      <c r="Q866" s="7">
        <f t="shared" si="208"/>
        <v>0</v>
      </c>
      <c r="R866" s="35">
        <f t="shared" si="193"/>
        <v>0</v>
      </c>
      <c r="S866" s="7">
        <f t="shared" si="208"/>
        <v>0</v>
      </c>
      <c r="T866" s="35">
        <f t="shared" si="195"/>
        <v>0</v>
      </c>
    </row>
    <row r="867" spans="1:20" ht="33" hidden="1">
      <c r="A867" s="61" t="str">
        <f ca="1">IF(ISERROR(MATCH(E867,Код_КВР,0)),"",INDIRECT(ADDRESS(MATCH(E867,Код_КВР,0)+1,2,,,"КВР")))</f>
        <v>Приобретение товаров, работ, услуг в пользу граждан в целях их социального обеспечения</v>
      </c>
      <c r="B867" s="47" t="s">
        <v>365</v>
      </c>
      <c r="C867" s="8" t="s">
        <v>195</v>
      </c>
      <c r="D867" s="8" t="s">
        <v>195</v>
      </c>
      <c r="E867" s="104">
        <v>323</v>
      </c>
      <c r="F867" s="7">
        <f>прил.6!G1306</f>
        <v>26528.400000000001</v>
      </c>
      <c r="G867" s="7">
        <f>прил.6!H1306</f>
        <v>0</v>
      </c>
      <c r="H867" s="35">
        <f t="shared" si="209"/>
        <v>26528.400000000001</v>
      </c>
      <c r="I867" s="7">
        <f>прил.6!J1306</f>
        <v>-26528.400000000001</v>
      </c>
      <c r="J867" s="35">
        <f t="shared" si="206"/>
        <v>0</v>
      </c>
      <c r="K867" s="7">
        <f>прил.6!L1306</f>
        <v>0</v>
      </c>
      <c r="L867" s="35">
        <f t="shared" si="203"/>
        <v>0</v>
      </c>
      <c r="M867" s="7">
        <f>прил.6!N1306</f>
        <v>0</v>
      </c>
      <c r="N867" s="35">
        <f t="shared" si="204"/>
        <v>0</v>
      </c>
      <c r="O867" s="7">
        <f>прил.6!P1306</f>
        <v>0</v>
      </c>
      <c r="P867" s="35">
        <f t="shared" si="192"/>
        <v>0</v>
      </c>
      <c r="Q867" s="7">
        <f>прил.6!R1306</f>
        <v>0</v>
      </c>
      <c r="R867" s="35">
        <f t="shared" si="193"/>
        <v>0</v>
      </c>
      <c r="S867" s="7">
        <f>прил.6!T1306</f>
        <v>0</v>
      </c>
      <c r="T867" s="35">
        <f t="shared" si="195"/>
        <v>0</v>
      </c>
    </row>
    <row r="868" spans="1:20" ht="23.25" customHeight="1">
      <c r="A868" s="61" t="str">
        <f ca="1">IF(ISERROR(MATCH(E868,Код_КВР,0)),"",INDIRECT(ADDRESS(MATCH(E868,Код_КВР,0)+1,2,,,"КВР")))</f>
        <v>Иные бюджетные ассигнования</v>
      </c>
      <c r="B868" s="47" t="s">
        <v>365</v>
      </c>
      <c r="C868" s="8" t="s">
        <v>195</v>
      </c>
      <c r="D868" s="8" t="s">
        <v>195</v>
      </c>
      <c r="E868" s="104">
        <v>800</v>
      </c>
      <c r="F868" s="7"/>
      <c r="G868" s="7"/>
      <c r="H868" s="35"/>
      <c r="I868" s="7">
        <f>I869</f>
        <v>26528.400000000001</v>
      </c>
      <c r="J868" s="35">
        <f t="shared" si="206"/>
        <v>26528.400000000001</v>
      </c>
      <c r="K868" s="7">
        <f>K869</f>
        <v>-2965.2</v>
      </c>
      <c r="L868" s="35">
        <f t="shared" si="203"/>
        <v>23563.200000000001</v>
      </c>
      <c r="M868" s="7">
        <f>M869</f>
        <v>0</v>
      </c>
      <c r="N868" s="35">
        <f t="shared" si="204"/>
        <v>23563.200000000001</v>
      </c>
      <c r="O868" s="7">
        <f>O869</f>
        <v>0</v>
      </c>
      <c r="P868" s="35">
        <f t="shared" si="192"/>
        <v>23563.200000000001</v>
      </c>
      <c r="Q868" s="7">
        <f>Q869</f>
        <v>0</v>
      </c>
      <c r="R868" s="35">
        <f t="shared" si="193"/>
        <v>23563.200000000001</v>
      </c>
      <c r="S868" s="7">
        <f>S869</f>
        <v>0</v>
      </c>
      <c r="T868" s="35">
        <f t="shared" si="195"/>
        <v>23563.200000000001</v>
      </c>
    </row>
    <row r="869" spans="1:20" ht="49.5">
      <c r="A869" s="61" t="str">
        <f ca="1">IF(ISERROR(MATCH(E869,Код_КВР,0)),"",INDIRECT(ADDRESS(MATCH(E869,Код_КВР,0)+1,2,,,"КВР")))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869" s="47" t="s">
        <v>365</v>
      </c>
      <c r="C869" s="8" t="s">
        <v>195</v>
      </c>
      <c r="D869" s="8" t="s">
        <v>195</v>
      </c>
      <c r="E869" s="104">
        <v>810</v>
      </c>
      <c r="F869" s="7"/>
      <c r="G869" s="7"/>
      <c r="H869" s="35"/>
      <c r="I869" s="7">
        <f>прил.6!J1308</f>
        <v>26528.400000000001</v>
      </c>
      <c r="J869" s="35">
        <f t="shared" si="206"/>
        <v>26528.400000000001</v>
      </c>
      <c r="K869" s="7">
        <f>прил.6!L1308</f>
        <v>-2965.2</v>
      </c>
      <c r="L869" s="35">
        <f t="shared" si="203"/>
        <v>23563.200000000001</v>
      </c>
      <c r="M869" s="7">
        <f>прил.6!N1308</f>
        <v>0</v>
      </c>
      <c r="N869" s="35">
        <f t="shared" si="204"/>
        <v>23563.200000000001</v>
      </c>
      <c r="O869" s="7">
        <f>прил.6!P1308</f>
        <v>0</v>
      </c>
      <c r="P869" s="35">
        <f t="shared" si="192"/>
        <v>23563.200000000001</v>
      </c>
      <c r="Q869" s="7">
        <f>прил.6!R1308</f>
        <v>0</v>
      </c>
      <c r="R869" s="35">
        <f t="shared" si="193"/>
        <v>23563.200000000001</v>
      </c>
      <c r="S869" s="7">
        <f>прил.6!T1308</f>
        <v>0</v>
      </c>
      <c r="T869" s="35">
        <f t="shared" si="195"/>
        <v>23563.200000000001</v>
      </c>
    </row>
    <row r="870" spans="1:20" ht="59.25" customHeight="1">
      <c r="A870" s="61" t="str">
        <f ca="1">IF(ISERROR(MATCH(B870,Код_КЦСР,0)),"",INDIRECT(ADDRESS(MATCH(B870,Код_КЦСР,0)+1,2,,,"КЦСР")))</f>
        <v>Мероприятия государственной программы Российской Федерации «Доступная среда» на 2011-2015 годы за счет средств федерального бюджета</v>
      </c>
      <c r="B870" s="45" t="s">
        <v>642</v>
      </c>
      <c r="C870" s="8"/>
      <c r="D870" s="1"/>
      <c r="E870" s="111"/>
      <c r="F870" s="7"/>
      <c r="G870" s="7"/>
      <c r="H870" s="35"/>
      <c r="I870" s="7"/>
      <c r="J870" s="35"/>
      <c r="K870" s="7"/>
      <c r="L870" s="35"/>
      <c r="M870" s="7"/>
      <c r="N870" s="35"/>
      <c r="O870" s="7"/>
      <c r="P870" s="35"/>
      <c r="Q870" s="7">
        <f>Q876+Q871</f>
        <v>365</v>
      </c>
      <c r="R870" s="35">
        <f t="shared" si="193"/>
        <v>365</v>
      </c>
      <c r="S870" s="7">
        <f>S876+S871</f>
        <v>0</v>
      </c>
      <c r="T870" s="35">
        <f t="shared" si="195"/>
        <v>365</v>
      </c>
    </row>
    <row r="871" spans="1:20" ht="19.5" customHeight="1">
      <c r="A871" s="61" t="str">
        <f ca="1">IF(ISERROR(MATCH(C871,Код_Раздел,0)),"",INDIRECT(ADDRESS(MATCH(C871,Код_Раздел,0)+1,2,,,"Раздел")))</f>
        <v>Национальная экономика</v>
      </c>
      <c r="B871" s="45" t="s">
        <v>642</v>
      </c>
      <c r="C871" s="8" t="s">
        <v>216</v>
      </c>
      <c r="D871" s="1"/>
      <c r="E871" s="117"/>
      <c r="F871" s="7"/>
      <c r="G871" s="7"/>
      <c r="H871" s="35"/>
      <c r="I871" s="7"/>
      <c r="J871" s="35"/>
      <c r="K871" s="7"/>
      <c r="L871" s="35"/>
      <c r="M871" s="7"/>
      <c r="N871" s="35"/>
      <c r="O871" s="7"/>
      <c r="P871" s="35"/>
      <c r="Q871" s="7">
        <f>Q872</f>
        <v>75</v>
      </c>
      <c r="R871" s="35">
        <f t="shared" si="193"/>
        <v>75</v>
      </c>
      <c r="S871" s="7">
        <f>S872</f>
        <v>0</v>
      </c>
      <c r="T871" s="35">
        <f t="shared" si="195"/>
        <v>75</v>
      </c>
    </row>
    <row r="872" spans="1:20" ht="21" customHeight="1">
      <c r="A872" s="77" t="s">
        <v>180</v>
      </c>
      <c r="B872" s="45" t="s">
        <v>642</v>
      </c>
      <c r="C872" s="8" t="s">
        <v>216</v>
      </c>
      <c r="D872" s="8" t="s">
        <v>219</v>
      </c>
      <c r="E872" s="117"/>
      <c r="F872" s="7"/>
      <c r="G872" s="7"/>
      <c r="H872" s="35"/>
      <c r="I872" s="7"/>
      <c r="J872" s="35"/>
      <c r="K872" s="7"/>
      <c r="L872" s="35"/>
      <c r="M872" s="7"/>
      <c r="N872" s="35"/>
      <c r="O872" s="7"/>
      <c r="P872" s="35"/>
      <c r="Q872" s="7">
        <f>Q873</f>
        <v>75</v>
      </c>
      <c r="R872" s="35">
        <f t="shared" si="193"/>
        <v>75</v>
      </c>
      <c r="S872" s="7">
        <f>S873</f>
        <v>0</v>
      </c>
      <c r="T872" s="35">
        <f t="shared" si="195"/>
        <v>75</v>
      </c>
    </row>
    <row r="873" spans="1:20" ht="21.95" customHeight="1">
      <c r="A873" s="61" t="str">
        <f ca="1">IF(ISERROR(MATCH(E873,Код_КВР,0)),"",INDIRECT(ADDRESS(MATCH(E873,Код_КВР,0)+1,2,,,"КВР")))</f>
        <v>Закупка товаров, работ и услуг для муниципальных нужд</v>
      </c>
      <c r="B873" s="45" t="s">
        <v>642</v>
      </c>
      <c r="C873" s="8" t="s">
        <v>216</v>
      </c>
      <c r="D873" s="8" t="s">
        <v>219</v>
      </c>
      <c r="E873" s="117">
        <v>200</v>
      </c>
      <c r="F873" s="7"/>
      <c r="G873" s="7"/>
      <c r="H873" s="35"/>
      <c r="I873" s="7"/>
      <c r="J873" s="35"/>
      <c r="K873" s="7"/>
      <c r="L873" s="35"/>
      <c r="M873" s="7"/>
      <c r="N873" s="35"/>
      <c r="O873" s="7"/>
      <c r="P873" s="35"/>
      <c r="Q873" s="7">
        <f>Q874</f>
        <v>75</v>
      </c>
      <c r="R873" s="35">
        <f t="shared" si="193"/>
        <v>75</v>
      </c>
      <c r="S873" s="7">
        <f>S874</f>
        <v>0</v>
      </c>
      <c r="T873" s="35">
        <f t="shared" si="195"/>
        <v>75</v>
      </c>
    </row>
    <row r="874" spans="1:20" ht="40.5" customHeight="1">
      <c r="A874" s="61" t="str">
        <f ca="1">IF(ISERROR(MATCH(E874,Код_КВР,0)),"",INDIRECT(ADDRESS(MATCH(E874,Код_КВР,0)+1,2,,,"КВР")))</f>
        <v>Иные закупки товаров, работ и услуг для обеспечения муниципальных нужд</v>
      </c>
      <c r="B874" s="45" t="s">
        <v>642</v>
      </c>
      <c r="C874" s="8" t="s">
        <v>216</v>
      </c>
      <c r="D874" s="8" t="s">
        <v>219</v>
      </c>
      <c r="E874" s="117">
        <v>240</v>
      </c>
      <c r="F874" s="7"/>
      <c r="G874" s="7"/>
      <c r="H874" s="35"/>
      <c r="I874" s="7"/>
      <c r="J874" s="35"/>
      <c r="K874" s="7"/>
      <c r="L874" s="35"/>
      <c r="M874" s="7"/>
      <c r="N874" s="35"/>
      <c r="O874" s="7"/>
      <c r="P874" s="35"/>
      <c r="Q874" s="7">
        <f>Q875</f>
        <v>75</v>
      </c>
      <c r="R874" s="35">
        <f t="shared" si="193"/>
        <v>75</v>
      </c>
      <c r="S874" s="7">
        <f>S875</f>
        <v>0</v>
      </c>
      <c r="T874" s="35">
        <f t="shared" si="195"/>
        <v>75</v>
      </c>
    </row>
    <row r="875" spans="1:20" ht="39.950000000000003" customHeight="1">
      <c r="A875" s="61" t="str">
        <f ca="1">IF(ISERROR(MATCH(E875,Код_КВР,0)),"",INDIRECT(ADDRESS(MATCH(E875,Код_КВР,0)+1,2,,,"КВР")))</f>
        <v xml:space="preserve">Прочая закупка товаров, работ и услуг для обеспечения муниципальных нужд         </v>
      </c>
      <c r="B875" s="45" t="s">
        <v>642</v>
      </c>
      <c r="C875" s="8" t="s">
        <v>216</v>
      </c>
      <c r="D875" s="8" t="s">
        <v>219</v>
      </c>
      <c r="E875" s="117">
        <v>244</v>
      </c>
      <c r="F875" s="7"/>
      <c r="G875" s="7"/>
      <c r="H875" s="35"/>
      <c r="I875" s="7"/>
      <c r="J875" s="35"/>
      <c r="K875" s="7"/>
      <c r="L875" s="35"/>
      <c r="M875" s="7"/>
      <c r="N875" s="35"/>
      <c r="O875" s="7"/>
      <c r="P875" s="35"/>
      <c r="Q875" s="7">
        <f>прил.6!R439</f>
        <v>75</v>
      </c>
      <c r="R875" s="35">
        <f t="shared" si="193"/>
        <v>75</v>
      </c>
      <c r="S875" s="7">
        <f>прил.6!T439</f>
        <v>0</v>
      </c>
      <c r="T875" s="35">
        <f t="shared" si="195"/>
        <v>75</v>
      </c>
    </row>
    <row r="876" spans="1:20">
      <c r="A876" s="61" t="str">
        <f ca="1">IF(ISERROR(MATCH(C876,Код_Раздел,0)),"",INDIRECT(ADDRESS(MATCH(C876,Код_Раздел,0)+1,2,,,"Раздел")))</f>
        <v>Социальная политика</v>
      </c>
      <c r="B876" s="45" t="s">
        <v>642</v>
      </c>
      <c r="C876" s="8" t="s">
        <v>188</v>
      </c>
      <c r="D876" s="1"/>
      <c r="E876" s="111"/>
      <c r="F876" s="7"/>
      <c r="G876" s="7"/>
      <c r="H876" s="35"/>
      <c r="I876" s="7"/>
      <c r="J876" s="35"/>
      <c r="K876" s="7"/>
      <c r="L876" s="35"/>
      <c r="M876" s="7"/>
      <c r="N876" s="35"/>
      <c r="O876" s="7"/>
      <c r="P876" s="35"/>
      <c r="Q876" s="7">
        <f>Q877</f>
        <v>290</v>
      </c>
      <c r="R876" s="35">
        <f t="shared" si="193"/>
        <v>290</v>
      </c>
      <c r="S876" s="7">
        <f>S877</f>
        <v>0</v>
      </c>
      <c r="T876" s="35">
        <f t="shared" si="195"/>
        <v>290</v>
      </c>
    </row>
    <row r="877" spans="1:20">
      <c r="A877" s="12" t="s">
        <v>259</v>
      </c>
      <c r="B877" s="45" t="s">
        <v>642</v>
      </c>
      <c r="C877" s="8" t="s">
        <v>188</v>
      </c>
      <c r="D877" s="8" t="s">
        <v>214</v>
      </c>
      <c r="E877" s="111"/>
      <c r="F877" s="7"/>
      <c r="G877" s="7"/>
      <c r="H877" s="35"/>
      <c r="I877" s="7"/>
      <c r="J877" s="35"/>
      <c r="K877" s="7"/>
      <c r="L877" s="35"/>
      <c r="M877" s="7"/>
      <c r="N877" s="35"/>
      <c r="O877" s="7"/>
      <c r="P877" s="35"/>
      <c r="Q877" s="7">
        <f>Q878</f>
        <v>290</v>
      </c>
      <c r="R877" s="35">
        <f t="shared" si="193"/>
        <v>290</v>
      </c>
      <c r="S877" s="7">
        <f>S878</f>
        <v>0</v>
      </c>
      <c r="T877" s="35">
        <f t="shared" si="195"/>
        <v>290</v>
      </c>
    </row>
    <row r="878" spans="1:20" ht="39" customHeight="1">
      <c r="A878" s="61" t="str">
        <f ca="1">IF(ISERROR(MATCH(E878,Код_КВР,0)),"",INDIRECT(ADDRESS(MATCH(E878,Код_КВР,0)+1,2,,,"КВР")))</f>
        <v>Предоставление субсидий бюджетным, автономным учреждениям и иным некоммерческим организациям</v>
      </c>
      <c r="B878" s="45" t="s">
        <v>642</v>
      </c>
      <c r="C878" s="8" t="s">
        <v>188</v>
      </c>
      <c r="D878" s="8" t="s">
        <v>214</v>
      </c>
      <c r="E878" s="111">
        <v>600</v>
      </c>
      <c r="F878" s="7"/>
      <c r="G878" s="7"/>
      <c r="H878" s="35"/>
      <c r="I878" s="7"/>
      <c r="J878" s="35"/>
      <c r="K878" s="7"/>
      <c r="L878" s="35"/>
      <c r="M878" s="7"/>
      <c r="N878" s="35"/>
      <c r="O878" s="7"/>
      <c r="P878" s="35"/>
      <c r="Q878" s="7">
        <f>Q879</f>
        <v>290</v>
      </c>
      <c r="R878" s="35">
        <f t="shared" si="193"/>
        <v>290</v>
      </c>
      <c r="S878" s="7">
        <f>S879</f>
        <v>0</v>
      </c>
      <c r="T878" s="35">
        <f t="shared" si="195"/>
        <v>290</v>
      </c>
    </row>
    <row r="879" spans="1:20" ht="21" customHeight="1">
      <c r="A879" s="61" t="str">
        <f ca="1">IF(ISERROR(MATCH(E879,Код_КВР,0)),"",INDIRECT(ADDRESS(MATCH(E879,Код_КВР,0)+1,2,,,"КВР")))</f>
        <v>Субсидии бюджетным учреждениям</v>
      </c>
      <c r="B879" s="45" t="s">
        <v>642</v>
      </c>
      <c r="C879" s="8" t="s">
        <v>188</v>
      </c>
      <c r="D879" s="8" t="s">
        <v>214</v>
      </c>
      <c r="E879" s="111">
        <v>610</v>
      </c>
      <c r="F879" s="7"/>
      <c r="G879" s="7"/>
      <c r="H879" s="35"/>
      <c r="I879" s="7"/>
      <c r="J879" s="35"/>
      <c r="K879" s="7"/>
      <c r="L879" s="35"/>
      <c r="M879" s="7"/>
      <c r="N879" s="35"/>
      <c r="O879" s="7"/>
      <c r="P879" s="35"/>
      <c r="Q879" s="7">
        <f>Q880</f>
        <v>290</v>
      </c>
      <c r="R879" s="35">
        <f t="shared" si="193"/>
        <v>290</v>
      </c>
      <c r="S879" s="7">
        <f>S880</f>
        <v>0</v>
      </c>
      <c r="T879" s="35">
        <f t="shared" si="195"/>
        <v>290</v>
      </c>
    </row>
    <row r="880" spans="1:20" ht="24.75" customHeight="1">
      <c r="A880" s="61" t="str">
        <f ca="1">IF(ISERROR(MATCH(E880,Код_КВР,0)),"",INDIRECT(ADDRESS(MATCH(E880,Код_КВР,0)+1,2,,,"КВР")))</f>
        <v>Субсидии бюджетным учреждениям на иные цели</v>
      </c>
      <c r="B880" s="45" t="s">
        <v>642</v>
      </c>
      <c r="C880" s="8" t="s">
        <v>188</v>
      </c>
      <c r="D880" s="8" t="s">
        <v>214</v>
      </c>
      <c r="E880" s="111">
        <v>612</v>
      </c>
      <c r="F880" s="7"/>
      <c r="G880" s="7"/>
      <c r="H880" s="35"/>
      <c r="I880" s="7"/>
      <c r="J880" s="35"/>
      <c r="K880" s="7"/>
      <c r="L880" s="35"/>
      <c r="M880" s="7"/>
      <c r="N880" s="35"/>
      <c r="O880" s="7"/>
      <c r="P880" s="35"/>
      <c r="Q880" s="7">
        <f>прил.6!R1323</f>
        <v>290</v>
      </c>
      <c r="R880" s="35">
        <f t="shared" si="193"/>
        <v>290</v>
      </c>
      <c r="S880" s="7">
        <f>прил.6!T1323</f>
        <v>0</v>
      </c>
      <c r="T880" s="35">
        <f t="shared" si="195"/>
        <v>290</v>
      </c>
    </row>
    <row r="881" spans="1:20" ht="33">
      <c r="A881" s="61" t="str">
        <f ca="1">IF(ISERROR(MATCH(B881,Код_КЦСР,0)),"",INDIRECT(ADDRESS(MATCH(B881,Код_КЦСР,0)+1,2,,,"КЦСР")))</f>
        <v>Мероприятия по проведению оздоровительной кампании детей за счет субвенций из федерального бюджета</v>
      </c>
      <c r="B881" s="45" t="s">
        <v>423</v>
      </c>
      <c r="C881" s="8"/>
      <c r="D881" s="1"/>
      <c r="E881" s="104"/>
      <c r="F881" s="7">
        <f t="shared" ref="F881:S885" si="210">F882</f>
        <v>4806</v>
      </c>
      <c r="G881" s="7">
        <f t="shared" si="210"/>
        <v>0</v>
      </c>
      <c r="H881" s="35">
        <f t="shared" si="209"/>
        <v>4806</v>
      </c>
      <c r="I881" s="7">
        <f t="shared" si="210"/>
        <v>0</v>
      </c>
      <c r="J881" s="35">
        <f t="shared" si="206"/>
        <v>4806</v>
      </c>
      <c r="K881" s="7">
        <f t="shared" si="210"/>
        <v>0</v>
      </c>
      <c r="L881" s="35">
        <f t="shared" si="203"/>
        <v>4806</v>
      </c>
      <c r="M881" s="7">
        <f t="shared" si="210"/>
        <v>0</v>
      </c>
      <c r="N881" s="35">
        <f t="shared" si="204"/>
        <v>4806</v>
      </c>
      <c r="O881" s="7">
        <f t="shared" si="210"/>
        <v>0</v>
      </c>
      <c r="P881" s="35">
        <f t="shared" si="192"/>
        <v>4806</v>
      </c>
      <c r="Q881" s="7">
        <f t="shared" si="210"/>
        <v>0</v>
      </c>
      <c r="R881" s="35">
        <f t="shared" si="193"/>
        <v>4806</v>
      </c>
      <c r="S881" s="7">
        <f t="shared" si="210"/>
        <v>0</v>
      </c>
      <c r="T881" s="35">
        <f t="shared" si="195"/>
        <v>4806</v>
      </c>
    </row>
    <row r="882" spans="1:20">
      <c r="A882" s="61" t="str">
        <f ca="1">IF(ISERROR(MATCH(C882,Код_Раздел,0)),"",INDIRECT(ADDRESS(MATCH(C882,Код_Раздел,0)+1,2,,,"Раздел")))</f>
        <v>Образование</v>
      </c>
      <c r="B882" s="45" t="s">
        <v>423</v>
      </c>
      <c r="C882" s="8" t="s">
        <v>195</v>
      </c>
      <c r="D882" s="1"/>
      <c r="E882" s="104"/>
      <c r="F882" s="7">
        <f t="shared" si="210"/>
        <v>4806</v>
      </c>
      <c r="G882" s="7">
        <f t="shared" si="210"/>
        <v>0</v>
      </c>
      <c r="H882" s="35">
        <f t="shared" si="209"/>
        <v>4806</v>
      </c>
      <c r="I882" s="7">
        <f t="shared" si="210"/>
        <v>0</v>
      </c>
      <c r="J882" s="35">
        <f t="shared" si="206"/>
        <v>4806</v>
      </c>
      <c r="K882" s="7">
        <f t="shared" si="210"/>
        <v>0</v>
      </c>
      <c r="L882" s="35">
        <f t="shared" si="203"/>
        <v>4806</v>
      </c>
      <c r="M882" s="7">
        <f t="shared" si="210"/>
        <v>0</v>
      </c>
      <c r="N882" s="35">
        <f t="shared" si="204"/>
        <v>4806</v>
      </c>
      <c r="O882" s="7">
        <f t="shared" si="210"/>
        <v>0</v>
      </c>
      <c r="P882" s="35">
        <f t="shared" si="192"/>
        <v>4806</v>
      </c>
      <c r="Q882" s="7">
        <f t="shared" si="210"/>
        <v>0</v>
      </c>
      <c r="R882" s="35">
        <f t="shared" si="193"/>
        <v>4806</v>
      </c>
      <c r="S882" s="7">
        <f t="shared" si="210"/>
        <v>0</v>
      </c>
      <c r="T882" s="35">
        <f t="shared" si="195"/>
        <v>4806</v>
      </c>
    </row>
    <row r="883" spans="1:20">
      <c r="A883" s="12" t="s">
        <v>199</v>
      </c>
      <c r="B883" s="45" t="s">
        <v>423</v>
      </c>
      <c r="C883" s="8" t="s">
        <v>195</v>
      </c>
      <c r="D883" s="8" t="s">
        <v>195</v>
      </c>
      <c r="E883" s="104"/>
      <c r="F883" s="7">
        <f t="shared" si="210"/>
        <v>4806</v>
      </c>
      <c r="G883" s="7">
        <f t="shared" si="210"/>
        <v>0</v>
      </c>
      <c r="H883" s="35">
        <f t="shared" si="209"/>
        <v>4806</v>
      </c>
      <c r="I883" s="7">
        <f t="shared" si="210"/>
        <v>0</v>
      </c>
      <c r="J883" s="35">
        <f t="shared" si="206"/>
        <v>4806</v>
      </c>
      <c r="K883" s="7">
        <f t="shared" si="210"/>
        <v>0</v>
      </c>
      <c r="L883" s="35">
        <f t="shared" si="203"/>
        <v>4806</v>
      </c>
      <c r="M883" s="7">
        <f t="shared" si="210"/>
        <v>0</v>
      </c>
      <c r="N883" s="35">
        <f t="shared" si="204"/>
        <v>4806</v>
      </c>
      <c r="O883" s="7">
        <f t="shared" si="210"/>
        <v>0</v>
      </c>
      <c r="P883" s="35">
        <f t="shared" si="192"/>
        <v>4806</v>
      </c>
      <c r="Q883" s="7">
        <f t="shared" si="210"/>
        <v>0</v>
      </c>
      <c r="R883" s="35">
        <f t="shared" si="193"/>
        <v>4806</v>
      </c>
      <c r="S883" s="7">
        <f t="shared" si="210"/>
        <v>0</v>
      </c>
      <c r="T883" s="35">
        <f t="shared" si="195"/>
        <v>4806</v>
      </c>
    </row>
    <row r="884" spans="1:20">
      <c r="A884" s="61" t="str">
        <f ca="1">IF(ISERROR(MATCH(E884,Код_КВР,0)),"",INDIRECT(ADDRESS(MATCH(E884,Код_КВР,0)+1,2,,,"КВР")))</f>
        <v>Социальное обеспечение и иные выплаты населению</v>
      </c>
      <c r="B884" s="45" t="s">
        <v>423</v>
      </c>
      <c r="C884" s="8" t="s">
        <v>195</v>
      </c>
      <c r="D884" s="8" t="s">
        <v>195</v>
      </c>
      <c r="E884" s="104">
        <v>300</v>
      </c>
      <c r="F884" s="7">
        <f t="shared" si="210"/>
        <v>4806</v>
      </c>
      <c r="G884" s="7">
        <f t="shared" si="210"/>
        <v>0</v>
      </c>
      <c r="H884" s="35">
        <f t="shared" si="209"/>
        <v>4806</v>
      </c>
      <c r="I884" s="7">
        <f t="shared" si="210"/>
        <v>0</v>
      </c>
      <c r="J884" s="35">
        <f t="shared" si="206"/>
        <v>4806</v>
      </c>
      <c r="K884" s="7">
        <f t="shared" si="210"/>
        <v>0</v>
      </c>
      <c r="L884" s="35">
        <f t="shared" si="203"/>
        <v>4806</v>
      </c>
      <c r="M884" s="7">
        <f t="shared" si="210"/>
        <v>0</v>
      </c>
      <c r="N884" s="35">
        <f t="shared" si="204"/>
        <v>4806</v>
      </c>
      <c r="O884" s="7">
        <f t="shared" si="210"/>
        <v>0</v>
      </c>
      <c r="P884" s="35">
        <f t="shared" si="192"/>
        <v>4806</v>
      </c>
      <c r="Q884" s="7">
        <f t="shared" si="210"/>
        <v>0</v>
      </c>
      <c r="R884" s="35">
        <f t="shared" si="193"/>
        <v>4806</v>
      </c>
      <c r="S884" s="7">
        <f t="shared" si="210"/>
        <v>0</v>
      </c>
      <c r="T884" s="35">
        <f t="shared" si="195"/>
        <v>4806</v>
      </c>
    </row>
    <row r="885" spans="1:20" ht="33">
      <c r="A885" s="61" t="str">
        <f ca="1">IF(ISERROR(MATCH(E885,Код_КВР,0)),"",INDIRECT(ADDRESS(MATCH(E885,Код_КВР,0)+1,2,,,"КВР")))</f>
        <v>Социальные выплаты гражданам, кроме публичных нормативных социальных выплат</v>
      </c>
      <c r="B885" s="45" t="s">
        <v>423</v>
      </c>
      <c r="C885" s="8" t="s">
        <v>195</v>
      </c>
      <c r="D885" s="8" t="s">
        <v>195</v>
      </c>
      <c r="E885" s="104">
        <v>320</v>
      </c>
      <c r="F885" s="7">
        <f t="shared" si="210"/>
        <v>4806</v>
      </c>
      <c r="G885" s="7">
        <f t="shared" si="210"/>
        <v>0</v>
      </c>
      <c r="H885" s="35">
        <f t="shared" si="209"/>
        <v>4806</v>
      </c>
      <c r="I885" s="7">
        <f t="shared" si="210"/>
        <v>0</v>
      </c>
      <c r="J885" s="35">
        <f t="shared" si="206"/>
        <v>4806</v>
      </c>
      <c r="K885" s="7">
        <f t="shared" si="210"/>
        <v>0</v>
      </c>
      <c r="L885" s="35">
        <f t="shared" si="203"/>
        <v>4806</v>
      </c>
      <c r="M885" s="7">
        <f t="shared" si="210"/>
        <v>0</v>
      </c>
      <c r="N885" s="35">
        <f t="shared" si="204"/>
        <v>4806</v>
      </c>
      <c r="O885" s="7">
        <f t="shared" si="210"/>
        <v>0</v>
      </c>
      <c r="P885" s="35">
        <f t="shared" si="192"/>
        <v>4806</v>
      </c>
      <c r="Q885" s="7">
        <f t="shared" si="210"/>
        <v>0</v>
      </c>
      <c r="R885" s="35">
        <f t="shared" si="193"/>
        <v>4806</v>
      </c>
      <c r="S885" s="7">
        <f t="shared" si="210"/>
        <v>0</v>
      </c>
      <c r="T885" s="35">
        <f t="shared" si="195"/>
        <v>4806</v>
      </c>
    </row>
    <row r="886" spans="1:20" ht="33">
      <c r="A886" s="61" t="str">
        <f ca="1">IF(ISERROR(MATCH(E886,Код_КВР,0)),"",INDIRECT(ADDRESS(MATCH(E886,Код_КВР,0)+1,2,,,"КВР")))</f>
        <v>Приобретение товаров, работ, услуг в пользу граждан в целях их социального обеспечения</v>
      </c>
      <c r="B886" s="45" t="s">
        <v>423</v>
      </c>
      <c r="C886" s="8" t="s">
        <v>195</v>
      </c>
      <c r="D886" s="8" t="s">
        <v>195</v>
      </c>
      <c r="E886" s="104">
        <v>323</v>
      </c>
      <c r="F886" s="7">
        <f>прил.6!G1312</f>
        <v>4806</v>
      </c>
      <c r="G886" s="7">
        <f>прил.6!H1312</f>
        <v>0</v>
      </c>
      <c r="H886" s="35">
        <f t="shared" si="209"/>
        <v>4806</v>
      </c>
      <c r="I886" s="7">
        <f>прил.6!J1312</f>
        <v>0</v>
      </c>
      <c r="J886" s="35">
        <f t="shared" si="206"/>
        <v>4806</v>
      </c>
      <c r="K886" s="7">
        <f>прил.6!L1312</f>
        <v>0</v>
      </c>
      <c r="L886" s="35">
        <f t="shared" si="203"/>
        <v>4806</v>
      </c>
      <c r="M886" s="7">
        <f>прил.6!N1312</f>
        <v>0</v>
      </c>
      <c r="N886" s="35">
        <f t="shared" si="204"/>
        <v>4806</v>
      </c>
      <c r="O886" s="7">
        <f>прил.6!P1312</f>
        <v>0</v>
      </c>
      <c r="P886" s="35">
        <f t="shared" si="192"/>
        <v>4806</v>
      </c>
      <c r="Q886" s="7">
        <f>прил.6!R1312</f>
        <v>0</v>
      </c>
      <c r="R886" s="35">
        <f t="shared" si="193"/>
        <v>4806</v>
      </c>
      <c r="S886" s="7">
        <f>прил.6!T1312</f>
        <v>0</v>
      </c>
      <c r="T886" s="35">
        <f t="shared" si="195"/>
        <v>4806</v>
      </c>
    </row>
    <row r="887" spans="1:20" ht="33">
      <c r="A887" s="61" t="str">
        <f ca="1">IF(ISERROR(MATCH(B887,Код_КЦСР,0)),"",INDIRECT(ADDRESS(MATCH(B887,Код_КЦСР,0)+1,2,,,"КЦСР")))</f>
        <v>Оплата жилищно-коммунальных услуг отдельным категориям граждан за счет субвенций из федерального бюджета</v>
      </c>
      <c r="B887" s="45" t="s">
        <v>411</v>
      </c>
      <c r="C887" s="8"/>
      <c r="D887" s="1"/>
      <c r="E887" s="104"/>
      <c r="F887" s="7">
        <f t="shared" ref="F887:S894" si="211">F888</f>
        <v>277578.3</v>
      </c>
      <c r="G887" s="7">
        <f t="shared" si="211"/>
        <v>0</v>
      </c>
      <c r="H887" s="35">
        <f t="shared" si="209"/>
        <v>277578.3</v>
      </c>
      <c r="I887" s="7">
        <f t="shared" si="211"/>
        <v>0</v>
      </c>
      <c r="J887" s="35">
        <f t="shared" si="206"/>
        <v>277578.3</v>
      </c>
      <c r="K887" s="7">
        <f t="shared" si="211"/>
        <v>0</v>
      </c>
      <c r="L887" s="35">
        <f t="shared" si="203"/>
        <v>277578.3</v>
      </c>
      <c r="M887" s="7">
        <f t="shared" si="211"/>
        <v>0</v>
      </c>
      <c r="N887" s="35">
        <f t="shared" si="204"/>
        <v>277578.3</v>
      </c>
      <c r="O887" s="7">
        <f t="shared" si="211"/>
        <v>0</v>
      </c>
      <c r="P887" s="35">
        <f t="shared" si="192"/>
        <v>277578.3</v>
      </c>
      <c r="Q887" s="7">
        <f t="shared" si="211"/>
        <v>-13422.3</v>
      </c>
      <c r="R887" s="35">
        <f t="shared" si="193"/>
        <v>264156</v>
      </c>
      <c r="S887" s="7">
        <f t="shared" si="211"/>
        <v>0</v>
      </c>
      <c r="T887" s="35">
        <f t="shared" si="195"/>
        <v>264156</v>
      </c>
    </row>
    <row r="888" spans="1:20">
      <c r="A888" s="61" t="str">
        <f ca="1">IF(ISERROR(MATCH(C888,Код_Раздел,0)),"",INDIRECT(ADDRESS(MATCH(C888,Код_Раздел,0)+1,2,,,"Раздел")))</f>
        <v>Социальная политика</v>
      </c>
      <c r="B888" s="45" t="s">
        <v>411</v>
      </c>
      <c r="C888" s="8" t="s">
        <v>188</v>
      </c>
      <c r="D888" s="1"/>
      <c r="E888" s="104"/>
      <c r="F888" s="7">
        <f t="shared" si="211"/>
        <v>277578.3</v>
      </c>
      <c r="G888" s="7">
        <f t="shared" si="211"/>
        <v>0</v>
      </c>
      <c r="H888" s="35">
        <f t="shared" si="209"/>
        <v>277578.3</v>
      </c>
      <c r="I888" s="7">
        <f t="shared" si="211"/>
        <v>0</v>
      </c>
      <c r="J888" s="35">
        <f t="shared" si="206"/>
        <v>277578.3</v>
      </c>
      <c r="K888" s="7">
        <f t="shared" si="211"/>
        <v>0</v>
      </c>
      <c r="L888" s="35">
        <f t="shared" si="203"/>
        <v>277578.3</v>
      </c>
      <c r="M888" s="7">
        <f t="shared" si="211"/>
        <v>0</v>
      </c>
      <c r="N888" s="35">
        <f t="shared" si="204"/>
        <v>277578.3</v>
      </c>
      <c r="O888" s="7">
        <f t="shared" si="211"/>
        <v>0</v>
      </c>
      <c r="P888" s="35">
        <f t="shared" si="192"/>
        <v>277578.3</v>
      </c>
      <c r="Q888" s="7">
        <f t="shared" si="211"/>
        <v>-13422.3</v>
      </c>
      <c r="R888" s="35">
        <f t="shared" si="193"/>
        <v>264156</v>
      </c>
      <c r="S888" s="7">
        <f t="shared" si="211"/>
        <v>0</v>
      </c>
      <c r="T888" s="35">
        <f t="shared" ref="T888:T959" si="212">R888+S888</f>
        <v>264156</v>
      </c>
    </row>
    <row r="889" spans="1:20">
      <c r="A889" s="12" t="s">
        <v>179</v>
      </c>
      <c r="B889" s="45" t="s">
        <v>411</v>
      </c>
      <c r="C889" s="8" t="s">
        <v>188</v>
      </c>
      <c r="D889" s="8" t="s">
        <v>215</v>
      </c>
      <c r="E889" s="104"/>
      <c r="F889" s="7">
        <f>F893</f>
        <v>277578.3</v>
      </c>
      <c r="G889" s="7">
        <f>G893</f>
        <v>0</v>
      </c>
      <c r="H889" s="35">
        <f t="shared" si="209"/>
        <v>277578.3</v>
      </c>
      <c r="I889" s="7">
        <f>I893</f>
        <v>0</v>
      </c>
      <c r="J889" s="35">
        <f t="shared" si="206"/>
        <v>277578.3</v>
      </c>
      <c r="K889" s="7">
        <f>K893</f>
        <v>0</v>
      </c>
      <c r="L889" s="35">
        <f t="shared" si="203"/>
        <v>277578.3</v>
      </c>
      <c r="M889" s="7">
        <f>M893</f>
        <v>0</v>
      </c>
      <c r="N889" s="35">
        <f t="shared" si="204"/>
        <v>277578.3</v>
      </c>
      <c r="O889" s="7">
        <f>O893</f>
        <v>0</v>
      </c>
      <c r="P889" s="35">
        <f t="shared" si="192"/>
        <v>277578.3</v>
      </c>
      <c r="Q889" s="7">
        <f>Q893</f>
        <v>-13422.3</v>
      </c>
      <c r="R889" s="35">
        <f t="shared" si="193"/>
        <v>264156</v>
      </c>
      <c r="S889" s="7">
        <f>S890+S893</f>
        <v>0</v>
      </c>
      <c r="T889" s="35">
        <f t="shared" si="212"/>
        <v>264156</v>
      </c>
    </row>
    <row r="890" spans="1:20">
      <c r="A890" s="61" t="str">
        <f t="shared" ref="A890:A895" ca="1" si="213">IF(ISERROR(MATCH(E890,Код_КВР,0)),"",INDIRECT(ADDRESS(MATCH(E890,Код_КВР,0)+1,2,,,"КВР")))</f>
        <v>Закупка товаров, работ и услуг для муниципальных нужд</v>
      </c>
      <c r="B890" s="45" t="s">
        <v>411</v>
      </c>
      <c r="C890" s="8" t="s">
        <v>188</v>
      </c>
      <c r="D890" s="8" t="s">
        <v>215</v>
      </c>
      <c r="E890" s="139">
        <v>200</v>
      </c>
      <c r="F890" s="7"/>
      <c r="G890" s="7"/>
      <c r="H890" s="35"/>
      <c r="I890" s="7"/>
      <c r="J890" s="35"/>
      <c r="K890" s="7"/>
      <c r="L890" s="35"/>
      <c r="M890" s="7"/>
      <c r="N890" s="35"/>
      <c r="O890" s="7"/>
      <c r="P890" s="35"/>
      <c r="Q890" s="7"/>
      <c r="R890" s="35"/>
      <c r="S890" s="7">
        <f>S891</f>
        <v>2732.7</v>
      </c>
      <c r="T890" s="35">
        <f t="shared" si="212"/>
        <v>2732.7</v>
      </c>
    </row>
    <row r="891" spans="1:20" ht="42.75" customHeight="1">
      <c r="A891" s="61" t="str">
        <f t="shared" ca="1" si="213"/>
        <v>Иные закупки товаров, работ и услуг для обеспечения муниципальных нужд</v>
      </c>
      <c r="B891" s="45" t="s">
        <v>411</v>
      </c>
      <c r="C891" s="8" t="s">
        <v>188</v>
      </c>
      <c r="D891" s="8" t="s">
        <v>215</v>
      </c>
      <c r="E891" s="140">
        <v>240</v>
      </c>
      <c r="F891" s="7"/>
      <c r="G891" s="7"/>
      <c r="H891" s="35"/>
      <c r="I891" s="7"/>
      <c r="J891" s="35"/>
      <c r="K891" s="7"/>
      <c r="L891" s="35"/>
      <c r="M891" s="7"/>
      <c r="N891" s="35"/>
      <c r="O891" s="7"/>
      <c r="P891" s="35"/>
      <c r="Q891" s="7"/>
      <c r="R891" s="35"/>
      <c r="S891" s="7">
        <f t="shared" si="211"/>
        <v>2732.7</v>
      </c>
      <c r="T891" s="35">
        <f t="shared" si="212"/>
        <v>2732.7</v>
      </c>
    </row>
    <row r="892" spans="1:20" ht="35.25" customHeight="1">
      <c r="A892" s="61" t="str">
        <f t="shared" ca="1" si="213"/>
        <v xml:space="preserve">Прочая закупка товаров, работ и услуг для обеспечения муниципальных нужд         </v>
      </c>
      <c r="B892" s="45" t="s">
        <v>411</v>
      </c>
      <c r="C892" s="8" t="s">
        <v>188</v>
      </c>
      <c r="D892" s="8" t="s">
        <v>215</v>
      </c>
      <c r="E892" s="139">
        <v>244</v>
      </c>
      <c r="F892" s="7"/>
      <c r="G892" s="7"/>
      <c r="H892" s="35"/>
      <c r="I892" s="7"/>
      <c r="J892" s="35"/>
      <c r="K892" s="7"/>
      <c r="L892" s="35"/>
      <c r="M892" s="7"/>
      <c r="N892" s="35"/>
      <c r="O892" s="7"/>
      <c r="P892" s="35"/>
      <c r="Q892" s="7"/>
      <c r="R892" s="35"/>
      <c r="S892" s="7">
        <f>прил.6!T1395</f>
        <v>2732.7</v>
      </c>
      <c r="T892" s="35">
        <f t="shared" si="212"/>
        <v>2732.7</v>
      </c>
    </row>
    <row r="893" spans="1:20">
      <c r="A893" s="61" t="str">
        <f t="shared" ca="1" si="213"/>
        <v>Социальное обеспечение и иные выплаты населению</v>
      </c>
      <c r="B893" s="45" t="s">
        <v>411</v>
      </c>
      <c r="C893" s="8" t="s">
        <v>188</v>
      </c>
      <c r="D893" s="8" t="s">
        <v>215</v>
      </c>
      <c r="E893" s="104">
        <v>300</v>
      </c>
      <c r="F893" s="7">
        <f t="shared" si="211"/>
        <v>277578.3</v>
      </c>
      <c r="G893" s="7">
        <f t="shared" si="211"/>
        <v>0</v>
      </c>
      <c r="H893" s="35">
        <f t="shared" si="209"/>
        <v>277578.3</v>
      </c>
      <c r="I893" s="7">
        <f t="shared" si="211"/>
        <v>0</v>
      </c>
      <c r="J893" s="35">
        <f t="shared" si="206"/>
        <v>277578.3</v>
      </c>
      <c r="K893" s="7">
        <f t="shared" si="211"/>
        <v>0</v>
      </c>
      <c r="L893" s="35">
        <f t="shared" si="203"/>
        <v>277578.3</v>
      </c>
      <c r="M893" s="7">
        <f t="shared" si="211"/>
        <v>0</v>
      </c>
      <c r="N893" s="35">
        <f t="shared" si="204"/>
        <v>277578.3</v>
      </c>
      <c r="O893" s="7">
        <f t="shared" si="211"/>
        <v>0</v>
      </c>
      <c r="P893" s="35">
        <f t="shared" si="192"/>
        <v>277578.3</v>
      </c>
      <c r="Q893" s="7">
        <f t="shared" si="211"/>
        <v>-13422.3</v>
      </c>
      <c r="R893" s="35">
        <f t="shared" si="193"/>
        <v>264156</v>
      </c>
      <c r="S893" s="7">
        <f t="shared" si="211"/>
        <v>-2732.7</v>
      </c>
      <c r="T893" s="35">
        <f t="shared" si="212"/>
        <v>261423.3</v>
      </c>
    </row>
    <row r="894" spans="1:20" ht="33">
      <c r="A894" s="61" t="str">
        <f t="shared" ca="1" si="213"/>
        <v>Социальные выплаты гражданам, кроме публичных нормативных социальных выплат</v>
      </c>
      <c r="B894" s="45" t="s">
        <v>411</v>
      </c>
      <c r="C894" s="8" t="s">
        <v>188</v>
      </c>
      <c r="D894" s="8" t="s">
        <v>215</v>
      </c>
      <c r="E894" s="104">
        <v>320</v>
      </c>
      <c r="F894" s="7">
        <f t="shared" si="211"/>
        <v>277578.3</v>
      </c>
      <c r="G894" s="7">
        <f t="shared" si="211"/>
        <v>0</v>
      </c>
      <c r="H894" s="35">
        <f t="shared" si="209"/>
        <v>277578.3</v>
      </c>
      <c r="I894" s="7">
        <f t="shared" si="211"/>
        <v>0</v>
      </c>
      <c r="J894" s="35">
        <f t="shared" si="206"/>
        <v>277578.3</v>
      </c>
      <c r="K894" s="7">
        <f t="shared" si="211"/>
        <v>0</v>
      </c>
      <c r="L894" s="35">
        <f t="shared" si="203"/>
        <v>277578.3</v>
      </c>
      <c r="M894" s="7">
        <f t="shared" si="211"/>
        <v>0</v>
      </c>
      <c r="N894" s="35">
        <f t="shared" si="204"/>
        <v>277578.3</v>
      </c>
      <c r="O894" s="7">
        <f t="shared" si="211"/>
        <v>0</v>
      </c>
      <c r="P894" s="35">
        <f t="shared" si="192"/>
        <v>277578.3</v>
      </c>
      <c r="Q894" s="7">
        <f t="shared" si="211"/>
        <v>-13422.3</v>
      </c>
      <c r="R894" s="35">
        <f t="shared" si="193"/>
        <v>264156</v>
      </c>
      <c r="S894" s="7">
        <f t="shared" si="211"/>
        <v>-2732.7</v>
      </c>
      <c r="T894" s="35">
        <f t="shared" si="212"/>
        <v>261423.3</v>
      </c>
    </row>
    <row r="895" spans="1:20" ht="33">
      <c r="A895" s="61" t="str">
        <f t="shared" ca="1" si="213"/>
        <v>Пособия, компенсации и иные социальные выплаты гражданам, кроме публичных нормативных обязательств</v>
      </c>
      <c r="B895" s="45" t="s">
        <v>411</v>
      </c>
      <c r="C895" s="8" t="s">
        <v>188</v>
      </c>
      <c r="D895" s="8" t="s">
        <v>215</v>
      </c>
      <c r="E895" s="104">
        <v>321</v>
      </c>
      <c r="F895" s="7">
        <f>прил.6!G1398</f>
        <v>277578.3</v>
      </c>
      <c r="G895" s="7">
        <f>прил.6!H1398</f>
        <v>0</v>
      </c>
      <c r="H895" s="35">
        <f t="shared" si="209"/>
        <v>277578.3</v>
      </c>
      <c r="I895" s="7">
        <f>прил.6!J1398</f>
        <v>0</v>
      </c>
      <c r="J895" s="35">
        <f t="shared" si="206"/>
        <v>277578.3</v>
      </c>
      <c r="K895" s="7">
        <f>прил.6!L1398</f>
        <v>0</v>
      </c>
      <c r="L895" s="35">
        <f t="shared" si="203"/>
        <v>277578.3</v>
      </c>
      <c r="M895" s="7">
        <f>прил.6!N1398</f>
        <v>0</v>
      </c>
      <c r="N895" s="35">
        <f t="shared" si="204"/>
        <v>277578.3</v>
      </c>
      <c r="O895" s="7">
        <f>прил.6!P1398</f>
        <v>0</v>
      </c>
      <c r="P895" s="35">
        <f t="shared" si="192"/>
        <v>277578.3</v>
      </c>
      <c r="Q895" s="7">
        <f>прил.6!R1398</f>
        <v>-13422.3</v>
      </c>
      <c r="R895" s="35">
        <f t="shared" si="193"/>
        <v>264156</v>
      </c>
      <c r="S895" s="7">
        <f>прил.6!T1398</f>
        <v>-2732.7</v>
      </c>
      <c r="T895" s="35">
        <f t="shared" si="212"/>
        <v>261423.3</v>
      </c>
    </row>
    <row r="896" spans="1:20" ht="87" customHeight="1">
      <c r="A896" s="61" t="str">
        <f ca="1">IF(ISERROR(MATCH(B896,Код_КЦСР,0)),"",INDIRECT(ADDRESS(MATCH(B896,Код_КЦСР,0)+1,2,,,"КЦСР")))</f>
        <v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за счет субсидий из областного бюджета</v>
      </c>
      <c r="B896" s="104" t="s">
        <v>409</v>
      </c>
      <c r="C896" s="8"/>
      <c r="D896" s="1"/>
      <c r="E896" s="104"/>
      <c r="F896" s="7">
        <f>F897</f>
        <v>5542.6</v>
      </c>
      <c r="G896" s="7">
        <f>G897</f>
        <v>0</v>
      </c>
      <c r="H896" s="35">
        <f t="shared" si="209"/>
        <v>5542.6</v>
      </c>
      <c r="I896" s="7">
        <f>I897</f>
        <v>0</v>
      </c>
      <c r="J896" s="35">
        <f t="shared" si="206"/>
        <v>5542.6</v>
      </c>
      <c r="K896" s="7">
        <f>K897</f>
        <v>0</v>
      </c>
      <c r="L896" s="35">
        <f t="shared" si="203"/>
        <v>5542.6</v>
      </c>
      <c r="M896" s="7">
        <f>M897</f>
        <v>0</v>
      </c>
      <c r="N896" s="35">
        <f t="shared" si="204"/>
        <v>5542.6</v>
      </c>
      <c r="O896" s="7">
        <f>O897</f>
        <v>0</v>
      </c>
      <c r="P896" s="35">
        <f t="shared" si="192"/>
        <v>5542.6</v>
      </c>
      <c r="Q896" s="7">
        <f>Q897</f>
        <v>0</v>
      </c>
      <c r="R896" s="35">
        <f t="shared" si="193"/>
        <v>5542.6</v>
      </c>
      <c r="S896" s="7">
        <f>S897</f>
        <v>2585.3000000000002</v>
      </c>
      <c r="T896" s="35">
        <f t="shared" si="212"/>
        <v>8127.9000000000005</v>
      </c>
    </row>
    <row r="897" spans="1:20">
      <c r="A897" s="61" t="str">
        <f ca="1">IF(ISERROR(MATCH(C897,Код_Раздел,0)),"",INDIRECT(ADDRESS(MATCH(C897,Код_Раздел,0)+1,2,,,"Раздел")))</f>
        <v>Образование</v>
      </c>
      <c r="B897" s="104" t="s">
        <v>409</v>
      </c>
      <c r="C897" s="8" t="s">
        <v>195</v>
      </c>
      <c r="D897" s="1"/>
      <c r="E897" s="104"/>
      <c r="F897" s="7">
        <f>F898</f>
        <v>5542.6</v>
      </c>
      <c r="G897" s="7">
        <f>G898</f>
        <v>0</v>
      </c>
      <c r="H897" s="35">
        <f t="shared" si="209"/>
        <v>5542.6</v>
      </c>
      <c r="I897" s="7">
        <f>I898</f>
        <v>0</v>
      </c>
      <c r="J897" s="35">
        <f t="shared" si="206"/>
        <v>5542.6</v>
      </c>
      <c r="K897" s="7">
        <f>K898</f>
        <v>0</v>
      </c>
      <c r="L897" s="35">
        <f t="shared" si="203"/>
        <v>5542.6</v>
      </c>
      <c r="M897" s="7">
        <f>M898</f>
        <v>0</v>
      </c>
      <c r="N897" s="35">
        <f t="shared" si="204"/>
        <v>5542.6</v>
      </c>
      <c r="O897" s="7">
        <f>O898</f>
        <v>0</v>
      </c>
      <c r="P897" s="35">
        <f t="shared" si="192"/>
        <v>5542.6</v>
      </c>
      <c r="Q897" s="7">
        <f>Q898</f>
        <v>0</v>
      </c>
      <c r="R897" s="35">
        <f t="shared" si="193"/>
        <v>5542.6</v>
      </c>
      <c r="S897" s="7">
        <f>S898</f>
        <v>2585.3000000000002</v>
      </c>
      <c r="T897" s="35">
        <f t="shared" si="212"/>
        <v>8127.9000000000005</v>
      </c>
    </row>
    <row r="898" spans="1:20">
      <c r="A898" s="12" t="s">
        <v>199</v>
      </c>
      <c r="B898" s="104" t="s">
        <v>409</v>
      </c>
      <c r="C898" s="8" t="s">
        <v>195</v>
      </c>
      <c r="D898" s="8" t="s">
        <v>195</v>
      </c>
      <c r="E898" s="104"/>
      <c r="F898" s="7">
        <f>F899+F903</f>
        <v>5542.6</v>
      </c>
      <c r="G898" s="7">
        <f>G899+G903</f>
        <v>0</v>
      </c>
      <c r="H898" s="35">
        <f t="shared" si="209"/>
        <v>5542.6</v>
      </c>
      <c r="I898" s="7">
        <f>I899+I903</f>
        <v>0</v>
      </c>
      <c r="J898" s="35">
        <f t="shared" si="206"/>
        <v>5542.6</v>
      </c>
      <c r="K898" s="7">
        <f>K899+K903</f>
        <v>0</v>
      </c>
      <c r="L898" s="35">
        <f t="shared" si="203"/>
        <v>5542.6</v>
      </c>
      <c r="M898" s="7">
        <f>M899+M903</f>
        <v>0</v>
      </c>
      <c r="N898" s="35">
        <f t="shared" si="204"/>
        <v>5542.6</v>
      </c>
      <c r="O898" s="7">
        <f>O899+O903</f>
        <v>0</v>
      </c>
      <c r="P898" s="35">
        <f t="shared" si="192"/>
        <v>5542.6</v>
      </c>
      <c r="Q898" s="7">
        <f>Q899+Q903</f>
        <v>0</v>
      </c>
      <c r="R898" s="35">
        <f t="shared" si="193"/>
        <v>5542.6</v>
      </c>
      <c r="S898" s="7">
        <f>S899+S903</f>
        <v>2585.3000000000002</v>
      </c>
      <c r="T898" s="35">
        <f t="shared" si="212"/>
        <v>8127.9000000000005</v>
      </c>
    </row>
    <row r="899" spans="1:20">
      <c r="A899" s="61" t="str">
        <f t="shared" ref="A899:A905" ca="1" si="214">IF(ISERROR(MATCH(E899,Код_КВР,0)),"",INDIRECT(ADDRESS(MATCH(E899,Код_КВР,0)+1,2,,,"КВР")))</f>
        <v>Закупка товаров, работ и услуг для муниципальных нужд</v>
      </c>
      <c r="B899" s="104" t="s">
        <v>409</v>
      </c>
      <c r="C899" s="8" t="s">
        <v>195</v>
      </c>
      <c r="D899" s="8" t="s">
        <v>195</v>
      </c>
      <c r="E899" s="104">
        <v>200</v>
      </c>
      <c r="F899" s="7">
        <f>F900</f>
        <v>800</v>
      </c>
      <c r="G899" s="7">
        <f>G900</f>
        <v>0</v>
      </c>
      <c r="H899" s="35">
        <f t="shared" si="209"/>
        <v>800</v>
      </c>
      <c r="I899" s="7">
        <f>I900</f>
        <v>0</v>
      </c>
      <c r="J899" s="35">
        <f t="shared" si="206"/>
        <v>800</v>
      </c>
      <c r="K899" s="7">
        <f>K900</f>
        <v>0</v>
      </c>
      <c r="L899" s="35">
        <f t="shared" si="203"/>
        <v>800</v>
      </c>
      <c r="M899" s="7">
        <f>M900</f>
        <v>0</v>
      </c>
      <c r="N899" s="35">
        <f t="shared" si="204"/>
        <v>800</v>
      </c>
      <c r="O899" s="7">
        <f>O900</f>
        <v>0</v>
      </c>
      <c r="P899" s="35">
        <f t="shared" si="192"/>
        <v>800</v>
      </c>
      <c r="Q899" s="7">
        <f>Q900</f>
        <v>0</v>
      </c>
      <c r="R899" s="35">
        <f t="shared" si="193"/>
        <v>800</v>
      </c>
      <c r="S899" s="7">
        <f>S900</f>
        <v>2585.3000000000002</v>
      </c>
      <c r="T899" s="35">
        <f t="shared" si="212"/>
        <v>3385.3</v>
      </c>
    </row>
    <row r="900" spans="1:20" ht="33">
      <c r="A900" s="61" t="str">
        <f t="shared" ca="1" si="214"/>
        <v>Иные закупки товаров, работ и услуг для обеспечения муниципальных нужд</v>
      </c>
      <c r="B900" s="104" t="s">
        <v>409</v>
      </c>
      <c r="C900" s="8" t="s">
        <v>195</v>
      </c>
      <c r="D900" s="8" t="s">
        <v>195</v>
      </c>
      <c r="E900" s="104">
        <v>240</v>
      </c>
      <c r="F900" s="7">
        <f>F901</f>
        <v>800</v>
      </c>
      <c r="G900" s="7">
        <f>G901</f>
        <v>0</v>
      </c>
      <c r="H900" s="35">
        <f t="shared" si="209"/>
        <v>800</v>
      </c>
      <c r="I900" s="7">
        <f>I901</f>
        <v>0</v>
      </c>
      <c r="J900" s="35">
        <f t="shared" si="206"/>
        <v>800</v>
      </c>
      <c r="K900" s="7">
        <f>K901</f>
        <v>0</v>
      </c>
      <c r="L900" s="35">
        <f t="shared" si="203"/>
        <v>800</v>
      </c>
      <c r="M900" s="7">
        <f>M901</f>
        <v>0</v>
      </c>
      <c r="N900" s="35">
        <f t="shared" si="204"/>
        <v>800</v>
      </c>
      <c r="O900" s="7">
        <f>O901</f>
        <v>0</v>
      </c>
      <c r="P900" s="35">
        <f t="shared" si="192"/>
        <v>800</v>
      </c>
      <c r="Q900" s="7">
        <f>Q901</f>
        <v>0</v>
      </c>
      <c r="R900" s="35">
        <f t="shared" si="193"/>
        <v>800</v>
      </c>
      <c r="S900" s="7">
        <f>S901+S902</f>
        <v>2585.3000000000002</v>
      </c>
      <c r="T900" s="35">
        <f t="shared" si="212"/>
        <v>3385.3</v>
      </c>
    </row>
    <row r="901" spans="1:20" ht="33">
      <c r="A901" s="61" t="str">
        <f t="shared" ca="1" si="214"/>
        <v>Закупка товаров, работ, услуг в целях капитального ремонта муниципального имущества</v>
      </c>
      <c r="B901" s="104" t="s">
        <v>409</v>
      </c>
      <c r="C901" s="8" t="s">
        <v>195</v>
      </c>
      <c r="D901" s="8" t="s">
        <v>195</v>
      </c>
      <c r="E901" s="104">
        <v>243</v>
      </c>
      <c r="F901" s="7">
        <f>прил.6!G1636</f>
        <v>800</v>
      </c>
      <c r="G901" s="7">
        <f>прил.6!H1636</f>
        <v>0</v>
      </c>
      <c r="H901" s="35">
        <f t="shared" si="209"/>
        <v>800</v>
      </c>
      <c r="I901" s="7">
        <f>прил.6!J1636</f>
        <v>0</v>
      </c>
      <c r="J901" s="35">
        <f t="shared" si="206"/>
        <v>800</v>
      </c>
      <c r="K901" s="7">
        <f>прил.6!L1636</f>
        <v>0</v>
      </c>
      <c r="L901" s="35">
        <f t="shared" si="203"/>
        <v>800</v>
      </c>
      <c r="M901" s="7">
        <f>прил.6!N1636</f>
        <v>0</v>
      </c>
      <c r="N901" s="35">
        <f t="shared" si="204"/>
        <v>800</v>
      </c>
      <c r="O901" s="7">
        <f>прил.6!P1636</f>
        <v>0</v>
      </c>
      <c r="P901" s="35">
        <f t="shared" si="192"/>
        <v>800</v>
      </c>
      <c r="Q901" s="7">
        <f>прил.6!R1636</f>
        <v>0</v>
      </c>
      <c r="R901" s="35">
        <f t="shared" si="193"/>
        <v>800</v>
      </c>
      <c r="S901" s="7">
        <f>прил.6!T1636</f>
        <v>0</v>
      </c>
      <c r="T901" s="35">
        <f t="shared" si="212"/>
        <v>800</v>
      </c>
    </row>
    <row r="902" spans="1:20" ht="33">
      <c r="A902" s="61" t="str">
        <f t="shared" ca="1" si="214"/>
        <v xml:space="preserve">Прочая закупка товаров, работ и услуг для обеспечения муниципальных нужд         </v>
      </c>
      <c r="B902" s="139" t="s">
        <v>409</v>
      </c>
      <c r="C902" s="8" t="s">
        <v>195</v>
      </c>
      <c r="D902" s="8" t="s">
        <v>195</v>
      </c>
      <c r="E902" s="139">
        <v>244</v>
      </c>
      <c r="F902" s="7"/>
      <c r="G902" s="7"/>
      <c r="H902" s="35"/>
      <c r="I902" s="7"/>
      <c r="J902" s="35"/>
      <c r="K902" s="7"/>
      <c r="L902" s="35"/>
      <c r="M902" s="7"/>
      <c r="N902" s="35"/>
      <c r="O902" s="7"/>
      <c r="P902" s="35"/>
      <c r="Q902" s="7"/>
      <c r="R902" s="35"/>
      <c r="S902" s="7">
        <v>2585.3000000000002</v>
      </c>
      <c r="T902" s="35">
        <f t="shared" si="212"/>
        <v>2585.3000000000002</v>
      </c>
    </row>
    <row r="903" spans="1:20" ht="33">
      <c r="A903" s="61" t="str">
        <f t="shared" ca="1" si="214"/>
        <v>Капитальные вложения в объекты недвижимого имущества муниципальной собственности</v>
      </c>
      <c r="B903" s="104" t="s">
        <v>409</v>
      </c>
      <c r="C903" s="8" t="s">
        <v>195</v>
      </c>
      <c r="D903" s="8" t="s">
        <v>195</v>
      </c>
      <c r="E903" s="104">
        <v>400</v>
      </c>
      <c r="F903" s="7">
        <f>F904</f>
        <v>4742.6000000000004</v>
      </c>
      <c r="G903" s="7">
        <f>G904</f>
        <v>0</v>
      </c>
      <c r="H903" s="35">
        <f t="shared" si="209"/>
        <v>4742.6000000000004</v>
      </c>
      <c r="I903" s="7">
        <f>I904</f>
        <v>0</v>
      </c>
      <c r="J903" s="35">
        <f t="shared" si="206"/>
        <v>4742.6000000000004</v>
      </c>
      <c r="K903" s="7">
        <f>K904</f>
        <v>0</v>
      </c>
      <c r="L903" s="35">
        <f t="shared" si="203"/>
        <v>4742.6000000000004</v>
      </c>
      <c r="M903" s="7">
        <f>M904</f>
        <v>0</v>
      </c>
      <c r="N903" s="35">
        <f t="shared" si="204"/>
        <v>4742.6000000000004</v>
      </c>
      <c r="O903" s="7">
        <f>O904</f>
        <v>0</v>
      </c>
      <c r="P903" s="35">
        <f t="shared" si="192"/>
        <v>4742.6000000000004</v>
      </c>
      <c r="Q903" s="7">
        <f>Q904</f>
        <v>0</v>
      </c>
      <c r="R903" s="35">
        <f t="shared" si="193"/>
        <v>4742.6000000000004</v>
      </c>
      <c r="S903" s="7">
        <f>S904</f>
        <v>0</v>
      </c>
      <c r="T903" s="35">
        <f t="shared" si="212"/>
        <v>4742.6000000000004</v>
      </c>
    </row>
    <row r="904" spans="1:20" ht="17.25" customHeight="1">
      <c r="A904" s="61" t="str">
        <f t="shared" ca="1" si="214"/>
        <v>Бюджетные инвестиции</v>
      </c>
      <c r="B904" s="104" t="s">
        <v>409</v>
      </c>
      <c r="C904" s="8" t="s">
        <v>195</v>
      </c>
      <c r="D904" s="8" t="s">
        <v>195</v>
      </c>
      <c r="E904" s="104">
        <v>410</v>
      </c>
      <c r="F904" s="7">
        <f>F905</f>
        <v>4742.6000000000004</v>
      </c>
      <c r="G904" s="7">
        <f>G905</f>
        <v>0</v>
      </c>
      <c r="H904" s="35">
        <f t="shared" si="209"/>
        <v>4742.6000000000004</v>
      </c>
      <c r="I904" s="7">
        <f>I905</f>
        <v>0</v>
      </c>
      <c r="J904" s="35">
        <f t="shared" si="206"/>
        <v>4742.6000000000004</v>
      </c>
      <c r="K904" s="7">
        <f>K905</f>
        <v>0</v>
      </c>
      <c r="L904" s="35">
        <f t="shared" si="203"/>
        <v>4742.6000000000004</v>
      </c>
      <c r="M904" s="7">
        <f>M905</f>
        <v>0</v>
      </c>
      <c r="N904" s="35">
        <f t="shared" si="204"/>
        <v>4742.6000000000004</v>
      </c>
      <c r="O904" s="7">
        <f>O905</f>
        <v>0</v>
      </c>
      <c r="P904" s="35">
        <f t="shared" si="192"/>
        <v>4742.6000000000004</v>
      </c>
      <c r="Q904" s="7">
        <f>Q905</f>
        <v>0</v>
      </c>
      <c r="R904" s="35">
        <f t="shared" si="193"/>
        <v>4742.6000000000004</v>
      </c>
      <c r="S904" s="7">
        <f>S905</f>
        <v>0</v>
      </c>
      <c r="T904" s="35">
        <f t="shared" si="212"/>
        <v>4742.6000000000004</v>
      </c>
    </row>
    <row r="905" spans="1:20" ht="33.75" customHeight="1">
      <c r="A905" s="61" t="str">
        <f t="shared" ca="1" si="214"/>
        <v>Бюджетные инвестиции в объекты капитального строительства муниципальной собственности</v>
      </c>
      <c r="B905" s="104" t="s">
        <v>409</v>
      </c>
      <c r="C905" s="8" t="s">
        <v>195</v>
      </c>
      <c r="D905" s="8" t="s">
        <v>195</v>
      </c>
      <c r="E905" s="104">
        <v>414</v>
      </c>
      <c r="F905" s="7">
        <f>прил.6!G1639</f>
        <v>4742.6000000000004</v>
      </c>
      <c r="G905" s="7">
        <f>прил.6!H1639</f>
        <v>0</v>
      </c>
      <c r="H905" s="35">
        <f t="shared" si="209"/>
        <v>4742.6000000000004</v>
      </c>
      <c r="I905" s="7">
        <f>прил.6!J1639</f>
        <v>0</v>
      </c>
      <c r="J905" s="35">
        <f t="shared" si="206"/>
        <v>4742.6000000000004</v>
      </c>
      <c r="K905" s="7">
        <f>прил.6!L1639</f>
        <v>0</v>
      </c>
      <c r="L905" s="35">
        <f t="shared" si="203"/>
        <v>4742.6000000000004</v>
      </c>
      <c r="M905" s="7">
        <f>прил.6!N1639</f>
        <v>0</v>
      </c>
      <c r="N905" s="35">
        <f t="shared" si="204"/>
        <v>4742.6000000000004</v>
      </c>
      <c r="O905" s="7">
        <f>прил.6!P1639</f>
        <v>0</v>
      </c>
      <c r="P905" s="35">
        <f t="shared" si="192"/>
        <v>4742.6000000000004</v>
      </c>
      <c r="Q905" s="7">
        <f>прил.6!R1639</f>
        <v>0</v>
      </c>
      <c r="R905" s="35">
        <f t="shared" si="193"/>
        <v>4742.6000000000004</v>
      </c>
      <c r="S905" s="7">
        <f>прил.6!T1639</f>
        <v>0</v>
      </c>
      <c r="T905" s="35">
        <f t="shared" si="212"/>
        <v>4742.6000000000004</v>
      </c>
    </row>
    <row r="906" spans="1:20" ht="90.75" customHeight="1">
      <c r="A906" s="61" t="str">
        <f ca="1">IF(ISERROR(MATCH(B906,Код_КЦСР,0)),"",INDIRECT(ADDRESS(MATCH(B906,Код_КЦСР,0)+1,2,,,"КЦСР")))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906" s="104" t="s">
        <v>406</v>
      </c>
      <c r="C906" s="8"/>
      <c r="D906" s="1"/>
      <c r="E906" s="104"/>
      <c r="F906" s="7">
        <f>F907+F917</f>
        <v>491829.69999999995</v>
      </c>
      <c r="G906" s="7">
        <f>G907+G917</f>
        <v>0</v>
      </c>
      <c r="H906" s="35">
        <f t="shared" si="209"/>
        <v>491829.69999999995</v>
      </c>
      <c r="I906" s="7">
        <f>I907+I917</f>
        <v>0</v>
      </c>
      <c r="J906" s="35">
        <f t="shared" si="206"/>
        <v>491829.69999999995</v>
      </c>
      <c r="K906" s="7">
        <f>K907+K917</f>
        <v>0</v>
      </c>
      <c r="L906" s="35">
        <f t="shared" si="203"/>
        <v>491829.69999999995</v>
      </c>
      <c r="M906" s="7">
        <f>M907+M917</f>
        <v>0</v>
      </c>
      <c r="N906" s="35">
        <f t="shared" si="204"/>
        <v>491829.69999999995</v>
      </c>
      <c r="O906" s="7">
        <f>O907+O917</f>
        <v>0</v>
      </c>
      <c r="P906" s="35">
        <f t="shared" si="192"/>
        <v>491829.69999999995</v>
      </c>
      <c r="Q906" s="7">
        <f>Q907+Q917</f>
        <v>74512.7</v>
      </c>
      <c r="R906" s="35">
        <f t="shared" si="193"/>
        <v>566342.39999999991</v>
      </c>
      <c r="S906" s="7">
        <f>S907+S917</f>
        <v>44420.800000000003</v>
      </c>
      <c r="T906" s="35">
        <f t="shared" si="212"/>
        <v>610763.19999999995</v>
      </c>
    </row>
    <row r="907" spans="1:20">
      <c r="A907" s="61" t="str">
        <f ca="1">IF(ISERROR(MATCH(C907,Код_Раздел,0)),"",INDIRECT(ADDRESS(MATCH(C907,Код_Раздел,0)+1,2,,,"Раздел")))</f>
        <v>Образование</v>
      </c>
      <c r="B907" s="104" t="s">
        <v>406</v>
      </c>
      <c r="C907" s="8" t="s">
        <v>195</v>
      </c>
      <c r="D907" s="1"/>
      <c r="E907" s="104"/>
      <c r="F907" s="7">
        <f t="shared" ref="F907:S910" si="215">F908</f>
        <v>34239.200000000004</v>
      </c>
      <c r="G907" s="7">
        <f t="shared" si="215"/>
        <v>0</v>
      </c>
      <c r="H907" s="35">
        <f t="shared" si="209"/>
        <v>34239.200000000004</v>
      </c>
      <c r="I907" s="7">
        <f>I908</f>
        <v>0</v>
      </c>
      <c r="J907" s="35">
        <f t="shared" si="206"/>
        <v>34239.200000000004</v>
      </c>
      <c r="K907" s="7">
        <f>K908</f>
        <v>0</v>
      </c>
      <c r="L907" s="35">
        <f t="shared" si="203"/>
        <v>34239.200000000004</v>
      </c>
      <c r="M907" s="7">
        <f>M908</f>
        <v>0</v>
      </c>
      <c r="N907" s="35">
        <f t="shared" si="204"/>
        <v>34239.200000000004</v>
      </c>
      <c r="O907" s="7">
        <f>O908</f>
        <v>0</v>
      </c>
      <c r="P907" s="35">
        <f t="shared" si="192"/>
        <v>34239.200000000004</v>
      </c>
      <c r="Q907" s="7">
        <f>Q908</f>
        <v>0</v>
      </c>
      <c r="R907" s="35">
        <f t="shared" si="193"/>
        <v>34239.200000000004</v>
      </c>
      <c r="S907" s="7">
        <f>S908</f>
        <v>0</v>
      </c>
      <c r="T907" s="35">
        <f t="shared" si="212"/>
        <v>34239.200000000004</v>
      </c>
    </row>
    <row r="908" spans="1:20">
      <c r="A908" s="12" t="s">
        <v>199</v>
      </c>
      <c r="B908" s="104" t="s">
        <v>406</v>
      </c>
      <c r="C908" s="8" t="s">
        <v>195</v>
      </c>
      <c r="D908" s="8" t="s">
        <v>195</v>
      </c>
      <c r="E908" s="104"/>
      <c r="F908" s="7">
        <f t="shared" si="215"/>
        <v>34239.200000000004</v>
      </c>
      <c r="G908" s="7">
        <f t="shared" si="215"/>
        <v>0</v>
      </c>
      <c r="H908" s="35">
        <f t="shared" si="209"/>
        <v>34239.200000000004</v>
      </c>
      <c r="I908" s="7">
        <f>I909+I912</f>
        <v>0</v>
      </c>
      <c r="J908" s="35">
        <f t="shared" si="206"/>
        <v>34239.200000000004</v>
      </c>
      <c r="K908" s="7">
        <f>K909+K912</f>
        <v>0</v>
      </c>
      <c r="L908" s="35">
        <f t="shared" si="203"/>
        <v>34239.200000000004</v>
      </c>
      <c r="M908" s="7">
        <f>M909+M912</f>
        <v>0</v>
      </c>
      <c r="N908" s="35">
        <f t="shared" si="204"/>
        <v>34239.200000000004</v>
      </c>
      <c r="O908" s="7">
        <f>O909+O912</f>
        <v>0</v>
      </c>
      <c r="P908" s="35">
        <f t="shared" si="192"/>
        <v>34239.200000000004</v>
      </c>
      <c r="Q908" s="7">
        <f>Q909+Q912</f>
        <v>0</v>
      </c>
      <c r="R908" s="35">
        <f t="shared" si="193"/>
        <v>34239.200000000004</v>
      </c>
      <c r="S908" s="7">
        <f>S909+S912</f>
        <v>0</v>
      </c>
      <c r="T908" s="35">
        <f t="shared" si="212"/>
        <v>34239.200000000004</v>
      </c>
    </row>
    <row r="909" spans="1:20">
      <c r="A909" s="61" t="str">
        <f t="shared" ref="A909:A916" ca="1" si="216">IF(ISERROR(MATCH(E909,Код_КВР,0)),"",INDIRECT(ADDRESS(MATCH(E909,Код_КВР,0)+1,2,,,"КВР")))</f>
        <v>Социальное обеспечение и иные выплаты населению</v>
      </c>
      <c r="B909" s="104" t="s">
        <v>406</v>
      </c>
      <c r="C909" s="8" t="s">
        <v>195</v>
      </c>
      <c r="D909" s="8" t="s">
        <v>195</v>
      </c>
      <c r="E909" s="104">
        <v>300</v>
      </c>
      <c r="F909" s="7">
        <f t="shared" si="215"/>
        <v>34239.200000000004</v>
      </c>
      <c r="G909" s="7">
        <f t="shared" si="215"/>
        <v>0</v>
      </c>
      <c r="H909" s="35">
        <f t="shared" si="209"/>
        <v>34239.200000000004</v>
      </c>
      <c r="I909" s="7">
        <f t="shared" si="215"/>
        <v>-3297.1</v>
      </c>
      <c r="J909" s="35">
        <f t="shared" si="206"/>
        <v>30942.100000000006</v>
      </c>
      <c r="K909" s="7">
        <f t="shared" si="215"/>
        <v>0</v>
      </c>
      <c r="L909" s="35">
        <f t="shared" si="203"/>
        <v>30942.100000000006</v>
      </c>
      <c r="M909" s="7">
        <f t="shared" si="215"/>
        <v>0</v>
      </c>
      <c r="N909" s="35">
        <f t="shared" si="204"/>
        <v>30942.100000000006</v>
      </c>
      <c r="O909" s="7">
        <f t="shared" si="215"/>
        <v>0</v>
      </c>
      <c r="P909" s="35">
        <f t="shared" si="192"/>
        <v>30942.100000000006</v>
      </c>
      <c r="Q909" s="7">
        <f t="shared" si="215"/>
        <v>0</v>
      </c>
      <c r="R909" s="35">
        <f t="shared" si="193"/>
        <v>30942.100000000006</v>
      </c>
      <c r="S909" s="7">
        <f t="shared" si="215"/>
        <v>0</v>
      </c>
      <c r="T909" s="35">
        <f t="shared" si="212"/>
        <v>30942.100000000006</v>
      </c>
    </row>
    <row r="910" spans="1:20" ht="36.75" customHeight="1">
      <c r="A910" s="61" t="str">
        <f t="shared" ca="1" si="216"/>
        <v>Социальные выплаты гражданам, кроме публичных нормативных социальных выплат</v>
      </c>
      <c r="B910" s="104" t="s">
        <v>406</v>
      </c>
      <c r="C910" s="8" t="s">
        <v>195</v>
      </c>
      <c r="D910" s="8" t="s">
        <v>195</v>
      </c>
      <c r="E910" s="104">
        <v>320</v>
      </c>
      <c r="F910" s="7">
        <f t="shared" si="215"/>
        <v>34239.200000000004</v>
      </c>
      <c r="G910" s="7">
        <f t="shared" si="215"/>
        <v>0</v>
      </c>
      <c r="H910" s="35">
        <f t="shared" si="209"/>
        <v>34239.200000000004</v>
      </c>
      <c r="I910" s="7">
        <f t="shared" si="215"/>
        <v>-3297.1</v>
      </c>
      <c r="J910" s="35">
        <f t="shared" si="206"/>
        <v>30942.100000000006</v>
      </c>
      <c r="K910" s="7">
        <f t="shared" si="215"/>
        <v>0</v>
      </c>
      <c r="L910" s="35">
        <f t="shared" si="203"/>
        <v>30942.100000000006</v>
      </c>
      <c r="M910" s="7">
        <f t="shared" si="215"/>
        <v>0</v>
      </c>
      <c r="N910" s="35">
        <f t="shared" si="204"/>
        <v>30942.100000000006</v>
      </c>
      <c r="O910" s="7">
        <f t="shared" si="215"/>
        <v>0</v>
      </c>
      <c r="P910" s="35">
        <f t="shared" si="192"/>
        <v>30942.100000000006</v>
      </c>
      <c r="Q910" s="7">
        <f t="shared" si="215"/>
        <v>0</v>
      </c>
      <c r="R910" s="35">
        <f t="shared" si="193"/>
        <v>30942.100000000006</v>
      </c>
      <c r="S910" s="7">
        <f t="shared" si="215"/>
        <v>0</v>
      </c>
      <c r="T910" s="35">
        <f t="shared" si="212"/>
        <v>30942.100000000006</v>
      </c>
    </row>
    <row r="911" spans="1:20" ht="36" customHeight="1">
      <c r="A911" s="61" t="str">
        <f t="shared" ca="1" si="216"/>
        <v>Приобретение товаров, работ, услуг в пользу граждан в целях их социального обеспечения</v>
      </c>
      <c r="B911" s="104" t="s">
        <v>406</v>
      </c>
      <c r="C911" s="8" t="s">
        <v>195</v>
      </c>
      <c r="D911" s="8" t="s">
        <v>195</v>
      </c>
      <c r="E911" s="104">
        <v>323</v>
      </c>
      <c r="F911" s="7">
        <f>прил.6!G1316</f>
        <v>34239.200000000004</v>
      </c>
      <c r="G911" s="7">
        <f>прил.6!H1316</f>
        <v>0</v>
      </c>
      <c r="H911" s="35">
        <f t="shared" si="209"/>
        <v>34239.200000000004</v>
      </c>
      <c r="I911" s="7">
        <f>прил.6!J1316</f>
        <v>-3297.1</v>
      </c>
      <c r="J911" s="35">
        <f t="shared" si="206"/>
        <v>30942.100000000006</v>
      </c>
      <c r="K911" s="7">
        <f>прил.6!L1316</f>
        <v>0</v>
      </c>
      <c r="L911" s="35">
        <f t="shared" si="203"/>
        <v>30942.100000000006</v>
      </c>
      <c r="M911" s="7">
        <f>прил.6!N1316</f>
        <v>0</v>
      </c>
      <c r="N911" s="35">
        <f t="shared" si="204"/>
        <v>30942.100000000006</v>
      </c>
      <c r="O911" s="7">
        <f>прил.6!P1316</f>
        <v>0</v>
      </c>
      <c r="P911" s="35">
        <f t="shared" si="192"/>
        <v>30942.100000000006</v>
      </c>
      <c r="Q911" s="7">
        <f>прил.6!R1316</f>
        <v>0</v>
      </c>
      <c r="R911" s="35">
        <f t="shared" si="193"/>
        <v>30942.100000000006</v>
      </c>
      <c r="S911" s="7">
        <f>прил.6!T1316</f>
        <v>0</v>
      </c>
      <c r="T911" s="35">
        <f t="shared" si="212"/>
        <v>30942.100000000006</v>
      </c>
    </row>
    <row r="912" spans="1:20" ht="35.25" customHeight="1">
      <c r="A912" s="61" t="str">
        <f t="shared" ca="1" si="216"/>
        <v>Предоставление субсидий бюджетным, автономным учреждениям и иным некоммерческим организациям</v>
      </c>
      <c r="B912" s="104" t="s">
        <v>406</v>
      </c>
      <c r="C912" s="8" t="s">
        <v>195</v>
      </c>
      <c r="D912" s="8" t="s">
        <v>195</v>
      </c>
      <c r="E912" s="104">
        <v>600</v>
      </c>
      <c r="F912" s="7"/>
      <c r="G912" s="7"/>
      <c r="H912" s="35"/>
      <c r="I912" s="7">
        <f>I913+I915</f>
        <v>3297.1000000000004</v>
      </c>
      <c r="J912" s="35">
        <f t="shared" si="206"/>
        <v>3297.1000000000004</v>
      </c>
      <c r="K912" s="7">
        <f>K913+K915</f>
        <v>0</v>
      </c>
      <c r="L912" s="35">
        <f t="shared" si="203"/>
        <v>3297.1000000000004</v>
      </c>
      <c r="M912" s="7">
        <f>M913+M915</f>
        <v>0</v>
      </c>
      <c r="N912" s="35">
        <f t="shared" si="204"/>
        <v>3297.1000000000004</v>
      </c>
      <c r="O912" s="7">
        <f>O913+O915</f>
        <v>0</v>
      </c>
      <c r="P912" s="35">
        <f t="shared" si="192"/>
        <v>3297.1000000000004</v>
      </c>
      <c r="Q912" s="7">
        <f>Q913+Q915</f>
        <v>0</v>
      </c>
      <c r="R912" s="35">
        <f t="shared" si="193"/>
        <v>3297.1000000000004</v>
      </c>
      <c r="S912" s="7">
        <f>S913+S915</f>
        <v>0</v>
      </c>
      <c r="T912" s="35">
        <f t="shared" si="212"/>
        <v>3297.1000000000004</v>
      </c>
    </row>
    <row r="913" spans="1:20">
      <c r="A913" s="61" t="str">
        <f t="shared" ca="1" si="216"/>
        <v>Субсидии бюджетным учреждениям</v>
      </c>
      <c r="B913" s="104" t="s">
        <v>406</v>
      </c>
      <c r="C913" s="8" t="s">
        <v>195</v>
      </c>
      <c r="D913" s="8" t="s">
        <v>195</v>
      </c>
      <c r="E913" s="104">
        <v>610</v>
      </c>
      <c r="F913" s="7"/>
      <c r="G913" s="7"/>
      <c r="H913" s="35"/>
      <c r="I913" s="7">
        <f>I914</f>
        <v>454.29999999999995</v>
      </c>
      <c r="J913" s="35">
        <f t="shared" si="206"/>
        <v>454.29999999999995</v>
      </c>
      <c r="K913" s="7">
        <f>K914</f>
        <v>0</v>
      </c>
      <c r="L913" s="35">
        <f t="shared" si="203"/>
        <v>454.29999999999995</v>
      </c>
      <c r="M913" s="7">
        <f>M914</f>
        <v>0</v>
      </c>
      <c r="N913" s="35">
        <f t="shared" si="204"/>
        <v>454.29999999999995</v>
      </c>
      <c r="O913" s="7">
        <f>O914</f>
        <v>0</v>
      </c>
      <c r="P913" s="35">
        <f t="shared" ref="P913:P989" si="217">N913+O913</f>
        <v>454.29999999999995</v>
      </c>
      <c r="Q913" s="7">
        <f>Q914</f>
        <v>0</v>
      </c>
      <c r="R913" s="35">
        <f t="shared" ref="R913:R986" si="218">P913+Q913</f>
        <v>454.29999999999995</v>
      </c>
      <c r="S913" s="7">
        <f>S914</f>
        <v>0</v>
      </c>
      <c r="T913" s="35">
        <f t="shared" si="212"/>
        <v>454.29999999999995</v>
      </c>
    </row>
    <row r="914" spans="1:20" ht="21.95" customHeight="1">
      <c r="A914" s="61" t="str">
        <f t="shared" ca="1" si="216"/>
        <v>Субсидии бюджетным учреждениям на иные цели</v>
      </c>
      <c r="B914" s="104" t="s">
        <v>406</v>
      </c>
      <c r="C914" s="8" t="s">
        <v>195</v>
      </c>
      <c r="D914" s="8" t="s">
        <v>195</v>
      </c>
      <c r="E914" s="104">
        <v>612</v>
      </c>
      <c r="F914" s="7"/>
      <c r="G914" s="7"/>
      <c r="H914" s="35"/>
      <c r="I914" s="7">
        <f>прил.6!J939+прил.6!J1208</f>
        <v>454.29999999999995</v>
      </c>
      <c r="J914" s="35">
        <f t="shared" si="206"/>
        <v>454.29999999999995</v>
      </c>
      <c r="K914" s="7">
        <f>прил.6!L939+прил.6!L1208</f>
        <v>0</v>
      </c>
      <c r="L914" s="35">
        <f t="shared" si="203"/>
        <v>454.29999999999995</v>
      </c>
      <c r="M914" s="7">
        <f>прил.6!N939+прил.6!N1208</f>
        <v>0</v>
      </c>
      <c r="N914" s="35">
        <f t="shared" si="204"/>
        <v>454.29999999999995</v>
      </c>
      <c r="O914" s="7">
        <f>прил.6!P939+прил.6!P1208</f>
        <v>0</v>
      </c>
      <c r="P914" s="35">
        <f t="shared" si="217"/>
        <v>454.29999999999995</v>
      </c>
      <c r="Q914" s="7">
        <f>прил.6!R939+прил.6!R1208</f>
        <v>0</v>
      </c>
      <c r="R914" s="35">
        <f t="shared" si="218"/>
        <v>454.29999999999995</v>
      </c>
      <c r="S914" s="7">
        <f>прил.6!T939+прил.6!T1208</f>
        <v>0</v>
      </c>
      <c r="T914" s="35">
        <f t="shared" si="212"/>
        <v>454.29999999999995</v>
      </c>
    </row>
    <row r="915" spans="1:20">
      <c r="A915" s="61" t="str">
        <f t="shared" ca="1" si="216"/>
        <v>Субсидии автономным учреждениям</v>
      </c>
      <c r="B915" s="104" t="s">
        <v>406</v>
      </c>
      <c r="C915" s="8" t="s">
        <v>195</v>
      </c>
      <c r="D915" s="8" t="s">
        <v>195</v>
      </c>
      <c r="E915" s="104">
        <v>620</v>
      </c>
      <c r="F915" s="7"/>
      <c r="G915" s="7"/>
      <c r="H915" s="35"/>
      <c r="I915" s="7">
        <f>I916</f>
        <v>2842.8</v>
      </c>
      <c r="J915" s="35">
        <f t="shared" si="206"/>
        <v>2842.8</v>
      </c>
      <c r="K915" s="7">
        <f>K916</f>
        <v>0</v>
      </c>
      <c r="L915" s="35">
        <f t="shared" si="203"/>
        <v>2842.8</v>
      </c>
      <c r="M915" s="7">
        <f>M916</f>
        <v>0</v>
      </c>
      <c r="N915" s="35">
        <f t="shared" si="204"/>
        <v>2842.8</v>
      </c>
      <c r="O915" s="7">
        <f>O916</f>
        <v>0</v>
      </c>
      <c r="P915" s="35">
        <f t="shared" si="217"/>
        <v>2842.8</v>
      </c>
      <c r="Q915" s="7">
        <f>Q916</f>
        <v>0</v>
      </c>
      <c r="R915" s="35">
        <f t="shared" si="218"/>
        <v>2842.8</v>
      </c>
      <c r="S915" s="7">
        <f>S916</f>
        <v>0</v>
      </c>
      <c r="T915" s="35">
        <f t="shared" si="212"/>
        <v>2842.8</v>
      </c>
    </row>
    <row r="916" spans="1:20">
      <c r="A916" s="61" t="str">
        <f t="shared" ca="1" si="216"/>
        <v>Субсидии автономным учреждениям на иные цели</v>
      </c>
      <c r="B916" s="104" t="s">
        <v>406</v>
      </c>
      <c r="C916" s="8" t="s">
        <v>195</v>
      </c>
      <c r="D916" s="8" t="s">
        <v>195</v>
      </c>
      <c r="E916" s="104">
        <v>622</v>
      </c>
      <c r="F916" s="7"/>
      <c r="G916" s="7"/>
      <c r="H916" s="35"/>
      <c r="I916" s="7">
        <f>прил.6!J706</f>
        <v>2842.8</v>
      </c>
      <c r="J916" s="35">
        <f t="shared" si="206"/>
        <v>2842.8</v>
      </c>
      <c r="K916" s="7">
        <f>прил.6!L706</f>
        <v>0</v>
      </c>
      <c r="L916" s="35">
        <f t="shared" si="203"/>
        <v>2842.8</v>
      </c>
      <c r="M916" s="7">
        <f>прил.6!N706</f>
        <v>0</v>
      </c>
      <c r="N916" s="35">
        <f t="shared" si="204"/>
        <v>2842.8</v>
      </c>
      <c r="O916" s="7">
        <f>прил.6!P706</f>
        <v>0</v>
      </c>
      <c r="P916" s="35">
        <f t="shared" si="217"/>
        <v>2842.8</v>
      </c>
      <c r="Q916" s="7">
        <f>прил.6!R706</f>
        <v>0</v>
      </c>
      <c r="R916" s="35">
        <f t="shared" si="218"/>
        <v>2842.8</v>
      </c>
      <c r="S916" s="7">
        <f>прил.6!T706</f>
        <v>0</v>
      </c>
      <c r="T916" s="35">
        <f t="shared" si="212"/>
        <v>2842.8</v>
      </c>
    </row>
    <row r="917" spans="1:20">
      <c r="A917" s="61" t="str">
        <f ca="1">IF(ISERROR(MATCH(C917,Код_Раздел,0)),"",INDIRECT(ADDRESS(MATCH(C917,Код_Раздел,0)+1,2,,,"Раздел")))</f>
        <v>Социальная политика</v>
      </c>
      <c r="B917" s="104" t="s">
        <v>406</v>
      </c>
      <c r="C917" s="8" t="s">
        <v>188</v>
      </c>
      <c r="D917" s="1"/>
      <c r="E917" s="104"/>
      <c r="F917" s="7">
        <f>F918+F923+F928</f>
        <v>457590.49999999994</v>
      </c>
      <c r="G917" s="7">
        <f>G918+G923+G928</f>
        <v>0</v>
      </c>
      <c r="H917" s="35">
        <f t="shared" si="209"/>
        <v>457590.49999999994</v>
      </c>
      <c r="I917" s="7">
        <f>I918+I923+I928</f>
        <v>0</v>
      </c>
      <c r="J917" s="35">
        <f t="shared" si="206"/>
        <v>457590.49999999994</v>
      </c>
      <c r="K917" s="7">
        <f>K918+K923+K928</f>
        <v>0</v>
      </c>
      <c r="L917" s="35">
        <f t="shared" si="203"/>
        <v>457590.49999999994</v>
      </c>
      <c r="M917" s="7">
        <f>M918+M923+M928</f>
        <v>0</v>
      </c>
      <c r="N917" s="35">
        <f t="shared" si="204"/>
        <v>457590.49999999994</v>
      </c>
      <c r="O917" s="7">
        <f>O918+O923+O928</f>
        <v>0</v>
      </c>
      <c r="P917" s="35">
        <f t="shared" si="217"/>
        <v>457590.49999999994</v>
      </c>
      <c r="Q917" s="7">
        <f>Q918+Q923+Q928</f>
        <v>74512.7</v>
      </c>
      <c r="R917" s="35">
        <f t="shared" si="218"/>
        <v>532103.19999999995</v>
      </c>
      <c r="S917" s="7">
        <f>S918+S923+S928</f>
        <v>44420.800000000003</v>
      </c>
      <c r="T917" s="35">
        <f t="shared" si="212"/>
        <v>576524</v>
      </c>
    </row>
    <row r="918" spans="1:20">
      <c r="A918" s="12" t="s">
        <v>259</v>
      </c>
      <c r="B918" s="104" t="s">
        <v>406</v>
      </c>
      <c r="C918" s="8" t="s">
        <v>188</v>
      </c>
      <c r="D918" s="8" t="s">
        <v>214</v>
      </c>
      <c r="E918" s="104"/>
      <c r="F918" s="7">
        <f>F919</f>
        <v>114241.1</v>
      </c>
      <c r="G918" s="7">
        <f>G919</f>
        <v>0</v>
      </c>
      <c r="H918" s="35">
        <f t="shared" si="209"/>
        <v>114241.1</v>
      </c>
      <c r="I918" s="7">
        <f>I919</f>
        <v>0</v>
      </c>
      <c r="J918" s="35">
        <f t="shared" si="206"/>
        <v>114241.1</v>
      </c>
      <c r="K918" s="7">
        <f>K919</f>
        <v>0</v>
      </c>
      <c r="L918" s="35">
        <f t="shared" si="203"/>
        <v>114241.1</v>
      </c>
      <c r="M918" s="7">
        <f>M919</f>
        <v>0</v>
      </c>
      <c r="N918" s="35">
        <f t="shared" si="204"/>
        <v>114241.1</v>
      </c>
      <c r="O918" s="7">
        <f>O919</f>
        <v>365.3</v>
      </c>
      <c r="P918" s="35">
        <f t="shared" si="217"/>
        <v>114606.40000000001</v>
      </c>
      <c r="Q918" s="7">
        <f>Q919</f>
        <v>-22548.799999999999</v>
      </c>
      <c r="R918" s="35">
        <f t="shared" si="218"/>
        <v>92057.600000000006</v>
      </c>
      <c r="S918" s="7">
        <f>S919</f>
        <v>1426.2</v>
      </c>
      <c r="T918" s="35">
        <f t="shared" si="212"/>
        <v>93483.8</v>
      </c>
    </row>
    <row r="919" spans="1:20" ht="33">
      <c r="A919" s="61" t="str">
        <f ca="1">IF(ISERROR(MATCH(E919,Код_КВР,0)),"",INDIRECT(ADDRESS(MATCH(E919,Код_КВР,0)+1,2,,,"КВР")))</f>
        <v>Предоставление субсидий бюджетным, автономным учреждениям и иным некоммерческим организациям</v>
      </c>
      <c r="B919" s="104" t="s">
        <v>406</v>
      </c>
      <c r="C919" s="8" t="s">
        <v>188</v>
      </c>
      <c r="D919" s="8" t="s">
        <v>214</v>
      </c>
      <c r="E919" s="104">
        <v>600</v>
      </c>
      <c r="F919" s="7">
        <f>F920</f>
        <v>114241.1</v>
      </c>
      <c r="G919" s="7">
        <f>G920</f>
        <v>0</v>
      </c>
      <c r="H919" s="35">
        <f t="shared" si="209"/>
        <v>114241.1</v>
      </c>
      <c r="I919" s="7">
        <f>I920</f>
        <v>0</v>
      </c>
      <c r="J919" s="35">
        <f t="shared" si="206"/>
        <v>114241.1</v>
      </c>
      <c r="K919" s="7">
        <f>K920</f>
        <v>0</v>
      </c>
      <c r="L919" s="35">
        <f t="shared" si="203"/>
        <v>114241.1</v>
      </c>
      <c r="M919" s="7">
        <f>M920</f>
        <v>0</v>
      </c>
      <c r="N919" s="35">
        <f t="shared" si="204"/>
        <v>114241.1</v>
      </c>
      <c r="O919" s="7">
        <f>O920</f>
        <v>365.3</v>
      </c>
      <c r="P919" s="35">
        <f t="shared" si="217"/>
        <v>114606.40000000001</v>
      </c>
      <c r="Q919" s="7">
        <f>Q920</f>
        <v>-22548.799999999999</v>
      </c>
      <c r="R919" s="35">
        <f t="shared" si="218"/>
        <v>92057.600000000006</v>
      </c>
      <c r="S919" s="7">
        <f>S920</f>
        <v>1426.2</v>
      </c>
      <c r="T919" s="35">
        <f t="shared" si="212"/>
        <v>93483.8</v>
      </c>
    </row>
    <row r="920" spans="1:20">
      <c r="A920" s="61" t="str">
        <f ca="1">IF(ISERROR(MATCH(E920,Код_КВР,0)),"",INDIRECT(ADDRESS(MATCH(E920,Код_КВР,0)+1,2,,,"КВР")))</f>
        <v>Субсидии бюджетным учреждениям</v>
      </c>
      <c r="B920" s="104" t="s">
        <v>406</v>
      </c>
      <c r="C920" s="8" t="s">
        <v>188</v>
      </c>
      <c r="D920" s="8" t="s">
        <v>214</v>
      </c>
      <c r="E920" s="104">
        <v>610</v>
      </c>
      <c r="F920" s="7">
        <f>SUM(F921:F922)</f>
        <v>114241.1</v>
      </c>
      <c r="G920" s="7">
        <f>SUM(G921:G922)</f>
        <v>0</v>
      </c>
      <c r="H920" s="35">
        <f t="shared" si="209"/>
        <v>114241.1</v>
      </c>
      <c r="I920" s="7">
        <f>SUM(I921:I922)</f>
        <v>0</v>
      </c>
      <c r="J920" s="35">
        <f t="shared" si="206"/>
        <v>114241.1</v>
      </c>
      <c r="K920" s="7">
        <f>SUM(K921:K922)</f>
        <v>0</v>
      </c>
      <c r="L920" s="35">
        <f t="shared" si="203"/>
        <v>114241.1</v>
      </c>
      <c r="M920" s="7">
        <f>SUM(M921:M922)</f>
        <v>0</v>
      </c>
      <c r="N920" s="35">
        <f t="shared" si="204"/>
        <v>114241.1</v>
      </c>
      <c r="O920" s="7">
        <f>SUM(O921:O922)</f>
        <v>365.3</v>
      </c>
      <c r="P920" s="35">
        <f t="shared" si="217"/>
        <v>114606.40000000001</v>
      </c>
      <c r="Q920" s="7">
        <f>SUM(Q921:Q922)</f>
        <v>-22548.799999999999</v>
      </c>
      <c r="R920" s="35">
        <f t="shared" si="218"/>
        <v>92057.600000000006</v>
      </c>
      <c r="S920" s="7">
        <f>SUM(S921:S922)</f>
        <v>1426.2</v>
      </c>
      <c r="T920" s="35">
        <f t="shared" si="212"/>
        <v>93483.8</v>
      </c>
    </row>
    <row r="921" spans="1:20" ht="51.75" customHeight="1">
      <c r="A921" s="61" t="str">
        <f ca="1">IF(ISERROR(MATCH(E921,Код_КВР,0)),"",INDIRECT(ADDRESS(MATCH(E921,Код_КВР,0)+1,2,,,"КВР")))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21" s="104" t="s">
        <v>406</v>
      </c>
      <c r="C921" s="8" t="s">
        <v>188</v>
      </c>
      <c r="D921" s="8" t="s">
        <v>214</v>
      </c>
      <c r="E921" s="104">
        <v>611</v>
      </c>
      <c r="F921" s="7">
        <f>прил.6!G1327</f>
        <v>110548.1</v>
      </c>
      <c r="G921" s="7">
        <f>прил.6!H1327</f>
        <v>0</v>
      </c>
      <c r="H921" s="35">
        <f t="shared" si="209"/>
        <v>110548.1</v>
      </c>
      <c r="I921" s="7">
        <f>прил.6!J1327</f>
        <v>0</v>
      </c>
      <c r="J921" s="35">
        <f t="shared" si="206"/>
        <v>110548.1</v>
      </c>
      <c r="K921" s="7">
        <f>прил.6!L1327</f>
        <v>0</v>
      </c>
      <c r="L921" s="35">
        <f t="shared" si="203"/>
        <v>110548.1</v>
      </c>
      <c r="M921" s="7">
        <f>прил.6!N1327</f>
        <v>0</v>
      </c>
      <c r="N921" s="35">
        <f t="shared" si="204"/>
        <v>110548.1</v>
      </c>
      <c r="O921" s="7">
        <f>прил.6!P1327</f>
        <v>0</v>
      </c>
      <c r="P921" s="35">
        <f t="shared" si="217"/>
        <v>110548.1</v>
      </c>
      <c r="Q921" s="7">
        <f>прил.6!R1327</f>
        <v>-21912.7</v>
      </c>
      <c r="R921" s="35">
        <f t="shared" si="218"/>
        <v>88635.400000000009</v>
      </c>
      <c r="S921" s="7">
        <f>прил.6!T1327</f>
        <v>1481</v>
      </c>
      <c r="T921" s="35">
        <f t="shared" si="212"/>
        <v>90116.400000000009</v>
      </c>
    </row>
    <row r="922" spans="1:20">
      <c r="A922" s="61" t="str">
        <f ca="1">IF(ISERROR(MATCH(E922,Код_КВР,0)),"",INDIRECT(ADDRESS(MATCH(E922,Код_КВР,0)+1,2,,,"КВР")))</f>
        <v>Субсидии бюджетным учреждениям на иные цели</v>
      </c>
      <c r="B922" s="104" t="s">
        <v>406</v>
      </c>
      <c r="C922" s="8" t="s">
        <v>188</v>
      </c>
      <c r="D922" s="8" t="s">
        <v>214</v>
      </c>
      <c r="E922" s="104">
        <v>612</v>
      </c>
      <c r="F922" s="7">
        <f>прил.6!G1328</f>
        <v>3693</v>
      </c>
      <c r="G922" s="7">
        <f>прил.6!H1328</f>
        <v>0</v>
      </c>
      <c r="H922" s="35">
        <f t="shared" si="209"/>
        <v>3693</v>
      </c>
      <c r="I922" s="7">
        <f>прил.6!J1328</f>
        <v>0</v>
      </c>
      <c r="J922" s="35">
        <f t="shared" si="206"/>
        <v>3693</v>
      </c>
      <c r="K922" s="7">
        <f>прил.6!L1328</f>
        <v>0</v>
      </c>
      <c r="L922" s="35">
        <f t="shared" si="203"/>
        <v>3693</v>
      </c>
      <c r="M922" s="7">
        <f>прил.6!N1328</f>
        <v>0</v>
      </c>
      <c r="N922" s="35">
        <f t="shared" si="204"/>
        <v>3693</v>
      </c>
      <c r="O922" s="7">
        <f>прил.6!P1328</f>
        <v>365.3</v>
      </c>
      <c r="P922" s="35">
        <f t="shared" si="217"/>
        <v>4058.3</v>
      </c>
      <c r="Q922" s="7">
        <f>прил.6!R1328</f>
        <v>-636.1</v>
      </c>
      <c r="R922" s="35">
        <f t="shared" si="218"/>
        <v>3422.2000000000003</v>
      </c>
      <c r="S922" s="7">
        <f>прил.6!T1328</f>
        <v>-54.8</v>
      </c>
      <c r="T922" s="35">
        <f t="shared" si="212"/>
        <v>3367.4</v>
      </c>
    </row>
    <row r="923" spans="1:20">
      <c r="A923" s="12" t="s">
        <v>179</v>
      </c>
      <c r="B923" s="104" t="s">
        <v>406</v>
      </c>
      <c r="C923" s="8" t="s">
        <v>188</v>
      </c>
      <c r="D923" s="8" t="s">
        <v>215</v>
      </c>
      <c r="E923" s="104"/>
      <c r="F923" s="7">
        <f>F924</f>
        <v>336360.6</v>
      </c>
      <c r="G923" s="7">
        <f>G924</f>
        <v>0</v>
      </c>
      <c r="H923" s="35">
        <f t="shared" si="209"/>
        <v>336360.6</v>
      </c>
      <c r="I923" s="7">
        <f>I924</f>
        <v>0</v>
      </c>
      <c r="J923" s="35">
        <f t="shared" si="206"/>
        <v>336360.6</v>
      </c>
      <c r="K923" s="7">
        <f>K924</f>
        <v>0</v>
      </c>
      <c r="L923" s="35">
        <f t="shared" si="203"/>
        <v>336360.6</v>
      </c>
      <c r="M923" s="7">
        <f>M924</f>
        <v>0</v>
      </c>
      <c r="N923" s="35">
        <f t="shared" si="204"/>
        <v>336360.6</v>
      </c>
      <c r="O923" s="7">
        <f>O924</f>
        <v>-365.3</v>
      </c>
      <c r="P923" s="35">
        <f t="shared" si="217"/>
        <v>335995.3</v>
      </c>
      <c r="Q923" s="7">
        <f>Q924</f>
        <v>98596.2</v>
      </c>
      <c r="R923" s="35">
        <f t="shared" si="218"/>
        <v>434591.5</v>
      </c>
      <c r="S923" s="7">
        <f>S924</f>
        <v>42994.600000000006</v>
      </c>
      <c r="T923" s="35">
        <f t="shared" si="212"/>
        <v>477586.1</v>
      </c>
    </row>
    <row r="924" spans="1:20">
      <c r="A924" s="61" t="str">
        <f ca="1">IF(ISERROR(MATCH(E924,Код_КВР,0)),"",INDIRECT(ADDRESS(MATCH(E924,Код_КВР,0)+1,2,,,"КВР")))</f>
        <v>Социальное обеспечение и иные выплаты населению</v>
      </c>
      <c r="B924" s="104" t="s">
        <v>406</v>
      </c>
      <c r="C924" s="8" t="s">
        <v>188</v>
      </c>
      <c r="D924" s="8" t="s">
        <v>215</v>
      </c>
      <c r="E924" s="104">
        <v>300</v>
      </c>
      <c r="F924" s="7">
        <f>F925</f>
        <v>336360.6</v>
      </c>
      <c r="G924" s="7">
        <f>G925</f>
        <v>0</v>
      </c>
      <c r="H924" s="35">
        <f t="shared" si="209"/>
        <v>336360.6</v>
      </c>
      <c r="I924" s="7">
        <f>I925</f>
        <v>0</v>
      </c>
      <c r="J924" s="35">
        <f t="shared" si="206"/>
        <v>336360.6</v>
      </c>
      <c r="K924" s="7">
        <f>K925</f>
        <v>0</v>
      </c>
      <c r="L924" s="35">
        <f t="shared" si="203"/>
        <v>336360.6</v>
      </c>
      <c r="M924" s="7">
        <f>M925</f>
        <v>0</v>
      </c>
      <c r="N924" s="35">
        <f t="shared" si="204"/>
        <v>336360.6</v>
      </c>
      <c r="O924" s="7">
        <f>O925</f>
        <v>-365.3</v>
      </c>
      <c r="P924" s="35">
        <f t="shared" si="217"/>
        <v>335995.3</v>
      </c>
      <c r="Q924" s="7">
        <f>Q925</f>
        <v>98596.2</v>
      </c>
      <c r="R924" s="35">
        <f t="shared" si="218"/>
        <v>434591.5</v>
      </c>
      <c r="S924" s="7">
        <f>S925</f>
        <v>42994.600000000006</v>
      </c>
      <c r="T924" s="35">
        <f t="shared" si="212"/>
        <v>477586.1</v>
      </c>
    </row>
    <row r="925" spans="1:20" ht="36.75" customHeight="1">
      <c r="A925" s="61" t="str">
        <f ca="1">IF(ISERROR(MATCH(E925,Код_КВР,0)),"",INDIRECT(ADDRESS(MATCH(E925,Код_КВР,0)+1,2,,,"КВР")))</f>
        <v>Социальные выплаты гражданам, кроме публичных нормативных социальных выплат</v>
      </c>
      <c r="B925" s="104" t="s">
        <v>406</v>
      </c>
      <c r="C925" s="8" t="s">
        <v>188</v>
      </c>
      <c r="D925" s="8" t="s">
        <v>215</v>
      </c>
      <c r="E925" s="104">
        <v>320</v>
      </c>
      <c r="F925" s="7">
        <f>SUM(F926:F927)</f>
        <v>336360.6</v>
      </c>
      <c r="G925" s="7">
        <f>SUM(G926:G927)</f>
        <v>0</v>
      </c>
      <c r="H925" s="35">
        <f t="shared" si="209"/>
        <v>336360.6</v>
      </c>
      <c r="I925" s="7">
        <f>SUM(I926:I927)</f>
        <v>0</v>
      </c>
      <c r="J925" s="35">
        <f t="shared" si="206"/>
        <v>336360.6</v>
      </c>
      <c r="K925" s="7">
        <f>SUM(K926:K927)</f>
        <v>0</v>
      </c>
      <c r="L925" s="35">
        <f t="shared" si="203"/>
        <v>336360.6</v>
      </c>
      <c r="M925" s="7">
        <f>SUM(M926:M927)</f>
        <v>0</v>
      </c>
      <c r="N925" s="35">
        <f t="shared" si="204"/>
        <v>336360.6</v>
      </c>
      <c r="O925" s="7">
        <f>SUM(O926:O927)</f>
        <v>-365.3</v>
      </c>
      <c r="P925" s="35">
        <f t="shared" si="217"/>
        <v>335995.3</v>
      </c>
      <c r="Q925" s="7">
        <f>SUM(Q926:Q927)</f>
        <v>98596.2</v>
      </c>
      <c r="R925" s="35">
        <f t="shared" si="218"/>
        <v>434591.5</v>
      </c>
      <c r="S925" s="7">
        <f>SUM(S926:S927)</f>
        <v>42994.600000000006</v>
      </c>
      <c r="T925" s="35">
        <f t="shared" si="212"/>
        <v>477586.1</v>
      </c>
    </row>
    <row r="926" spans="1:20" ht="33">
      <c r="A926" s="61" t="str">
        <f ca="1">IF(ISERROR(MATCH(E926,Код_КВР,0)),"",INDIRECT(ADDRESS(MATCH(E926,Код_КВР,0)+1,2,,,"КВР")))</f>
        <v>Пособия, компенсации и иные социальные выплаты гражданам, кроме публичных нормативных обязательств</v>
      </c>
      <c r="B926" s="104" t="s">
        <v>406</v>
      </c>
      <c r="C926" s="8" t="s">
        <v>188</v>
      </c>
      <c r="D926" s="8" t="s">
        <v>215</v>
      </c>
      <c r="E926" s="104">
        <v>321</v>
      </c>
      <c r="F926" s="7">
        <f>прил.6!G1405</f>
        <v>334837</v>
      </c>
      <c r="G926" s="7">
        <f>прил.6!H1405</f>
        <v>0</v>
      </c>
      <c r="H926" s="35">
        <f t="shared" si="209"/>
        <v>334837</v>
      </c>
      <c r="I926" s="7">
        <f>прил.6!J1405</f>
        <v>0</v>
      </c>
      <c r="J926" s="35">
        <f t="shared" si="206"/>
        <v>334837</v>
      </c>
      <c r="K926" s="7">
        <f>прил.6!L1405</f>
        <v>0</v>
      </c>
      <c r="L926" s="35">
        <f t="shared" si="203"/>
        <v>334837</v>
      </c>
      <c r="M926" s="7">
        <f>прил.6!N1405</f>
        <v>0</v>
      </c>
      <c r="N926" s="35">
        <f t="shared" si="204"/>
        <v>334837</v>
      </c>
      <c r="O926" s="7">
        <f>прил.6!P1405</f>
        <v>-365.3</v>
      </c>
      <c r="P926" s="35">
        <f t="shared" si="217"/>
        <v>334471.7</v>
      </c>
      <c r="Q926" s="7">
        <f>прил.6!R1405</f>
        <v>98596.2</v>
      </c>
      <c r="R926" s="35">
        <f t="shared" si="218"/>
        <v>433067.9</v>
      </c>
      <c r="S926" s="7">
        <f>прил.6!T1405</f>
        <v>43266.3</v>
      </c>
      <c r="T926" s="35">
        <f t="shared" si="212"/>
        <v>476334.2</v>
      </c>
    </row>
    <row r="927" spans="1:20" ht="33">
      <c r="A927" s="61" t="str">
        <f ca="1">IF(ISERROR(MATCH(E927,Код_КВР,0)),"",INDIRECT(ADDRESS(MATCH(E927,Код_КВР,0)+1,2,,,"КВР")))</f>
        <v>Приобретение товаров, работ, услуг в пользу граждан в целях их социального обеспечения</v>
      </c>
      <c r="B927" s="104" t="s">
        <v>406</v>
      </c>
      <c r="C927" s="8" t="s">
        <v>188</v>
      </c>
      <c r="D927" s="8" t="s">
        <v>215</v>
      </c>
      <c r="E927" s="104">
        <v>323</v>
      </c>
      <c r="F927" s="7">
        <f>прил.6!G1406</f>
        <v>1523.6</v>
      </c>
      <c r="G927" s="7">
        <f>прил.6!H1406</f>
        <v>0</v>
      </c>
      <c r="H927" s="35">
        <f t="shared" si="209"/>
        <v>1523.6</v>
      </c>
      <c r="I927" s="7">
        <f>прил.6!J1406</f>
        <v>0</v>
      </c>
      <c r="J927" s="35">
        <f t="shared" si="206"/>
        <v>1523.6</v>
      </c>
      <c r="K927" s="7">
        <f>прил.6!L1406</f>
        <v>0</v>
      </c>
      <c r="L927" s="35">
        <f t="shared" si="203"/>
        <v>1523.6</v>
      </c>
      <c r="M927" s="7">
        <f>прил.6!N1406</f>
        <v>0</v>
      </c>
      <c r="N927" s="35">
        <f t="shared" si="204"/>
        <v>1523.6</v>
      </c>
      <c r="O927" s="7">
        <f>прил.6!P1406</f>
        <v>0</v>
      </c>
      <c r="P927" s="35">
        <f t="shared" si="217"/>
        <v>1523.6</v>
      </c>
      <c r="Q927" s="7">
        <f>прил.6!R1406</f>
        <v>0</v>
      </c>
      <c r="R927" s="35">
        <f t="shared" si="218"/>
        <v>1523.6</v>
      </c>
      <c r="S927" s="7">
        <f>прил.6!T1406</f>
        <v>-271.7</v>
      </c>
      <c r="T927" s="35">
        <f t="shared" si="212"/>
        <v>1251.8999999999999</v>
      </c>
    </row>
    <row r="928" spans="1:20">
      <c r="A928" s="12" t="s">
        <v>189</v>
      </c>
      <c r="B928" s="104" t="s">
        <v>406</v>
      </c>
      <c r="C928" s="8" t="s">
        <v>188</v>
      </c>
      <c r="D928" s="8" t="s">
        <v>217</v>
      </c>
      <c r="E928" s="104"/>
      <c r="F928" s="7">
        <f>F929+F931</f>
        <v>6988.8</v>
      </c>
      <c r="G928" s="7">
        <f>G929+G931</f>
        <v>0</v>
      </c>
      <c r="H928" s="35">
        <f t="shared" si="209"/>
        <v>6988.8</v>
      </c>
      <c r="I928" s="7">
        <f>I929+I931</f>
        <v>0</v>
      </c>
      <c r="J928" s="35">
        <f t="shared" si="206"/>
        <v>6988.8</v>
      </c>
      <c r="K928" s="7">
        <f>K929+K931</f>
        <v>0</v>
      </c>
      <c r="L928" s="35">
        <f t="shared" ref="L928:L1009" si="219">J928+K928</f>
        <v>6988.8</v>
      </c>
      <c r="M928" s="7">
        <f>M929+M931</f>
        <v>0</v>
      </c>
      <c r="N928" s="35">
        <f t="shared" ref="N928:N1009" si="220">L928+M928</f>
        <v>6988.8</v>
      </c>
      <c r="O928" s="7">
        <f>O929+O931+O934</f>
        <v>0</v>
      </c>
      <c r="P928" s="35">
        <f t="shared" si="217"/>
        <v>6988.8</v>
      </c>
      <c r="Q928" s="7">
        <f>Q929+Q931+Q934</f>
        <v>-1534.7000000000003</v>
      </c>
      <c r="R928" s="35">
        <f t="shared" si="218"/>
        <v>5454.1</v>
      </c>
      <c r="S928" s="7">
        <f>S929+S931+S934</f>
        <v>0</v>
      </c>
      <c r="T928" s="35">
        <f t="shared" si="212"/>
        <v>5454.1</v>
      </c>
    </row>
    <row r="929" spans="1:20" ht="33">
      <c r="A929" s="61" t="str">
        <f t="shared" ref="A929:A936" ca="1" si="221">IF(ISERROR(MATCH(E929,Код_КВР,0)),"",INDIRECT(ADDRESS(MATCH(E929,Код_КВР,0)+1,2,,,"КВР")))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929" s="104" t="s">
        <v>406</v>
      </c>
      <c r="C929" s="8" t="s">
        <v>188</v>
      </c>
      <c r="D929" s="8" t="s">
        <v>217</v>
      </c>
      <c r="E929" s="104">
        <v>100</v>
      </c>
      <c r="F929" s="7">
        <f>F930</f>
        <v>5101</v>
      </c>
      <c r="G929" s="7">
        <f>G930</f>
        <v>0</v>
      </c>
      <c r="H929" s="35">
        <f t="shared" si="209"/>
        <v>5101</v>
      </c>
      <c r="I929" s="7">
        <f>I930</f>
        <v>-439.2</v>
      </c>
      <c r="J929" s="35">
        <f t="shared" si="206"/>
        <v>4661.8</v>
      </c>
      <c r="K929" s="7">
        <f>K930</f>
        <v>0</v>
      </c>
      <c r="L929" s="35">
        <f t="shared" si="219"/>
        <v>4661.8</v>
      </c>
      <c r="M929" s="7">
        <f>M930</f>
        <v>0</v>
      </c>
      <c r="N929" s="35">
        <f t="shared" si="220"/>
        <v>4661.8</v>
      </c>
      <c r="O929" s="7">
        <f>O930</f>
        <v>0</v>
      </c>
      <c r="P929" s="35">
        <f t="shared" si="217"/>
        <v>4661.8</v>
      </c>
      <c r="Q929" s="7">
        <f>Q930</f>
        <v>-1241.1000000000001</v>
      </c>
      <c r="R929" s="35">
        <f t="shared" si="218"/>
        <v>3420.7</v>
      </c>
      <c r="S929" s="7">
        <f>S930</f>
        <v>0</v>
      </c>
      <c r="T929" s="35">
        <f t="shared" si="212"/>
        <v>3420.7</v>
      </c>
    </row>
    <row r="930" spans="1:20">
      <c r="A930" s="61" t="str">
        <f t="shared" ca="1" si="221"/>
        <v>Расходы на выплаты персоналу казенных учреждений</v>
      </c>
      <c r="B930" s="104" t="s">
        <v>406</v>
      </c>
      <c r="C930" s="8" t="s">
        <v>188</v>
      </c>
      <c r="D930" s="8" t="s">
        <v>217</v>
      </c>
      <c r="E930" s="104">
        <v>110</v>
      </c>
      <c r="F930" s="7">
        <f>прил.6!G1424</f>
        <v>5101</v>
      </c>
      <c r="G930" s="7">
        <f>прил.6!H1424</f>
        <v>0</v>
      </c>
      <c r="H930" s="35">
        <f t="shared" si="209"/>
        <v>5101</v>
      </c>
      <c r="I930" s="7">
        <f>прил.6!J1424</f>
        <v>-439.2</v>
      </c>
      <c r="J930" s="35">
        <f t="shared" si="206"/>
        <v>4661.8</v>
      </c>
      <c r="K930" s="7">
        <f>прил.6!L1424</f>
        <v>0</v>
      </c>
      <c r="L930" s="35">
        <f t="shared" si="219"/>
        <v>4661.8</v>
      </c>
      <c r="M930" s="7">
        <f>прил.6!N1424</f>
        <v>0</v>
      </c>
      <c r="N930" s="35">
        <f t="shared" si="220"/>
        <v>4661.8</v>
      </c>
      <c r="O930" s="7">
        <f>прил.6!P1424</f>
        <v>0</v>
      </c>
      <c r="P930" s="35">
        <f t="shared" si="217"/>
        <v>4661.8</v>
      </c>
      <c r="Q930" s="7">
        <f>прил.6!R1424</f>
        <v>-1241.1000000000001</v>
      </c>
      <c r="R930" s="35">
        <f t="shared" si="218"/>
        <v>3420.7</v>
      </c>
      <c r="S930" s="7">
        <f>прил.6!T1424</f>
        <v>0</v>
      </c>
      <c r="T930" s="35">
        <f t="shared" si="212"/>
        <v>3420.7</v>
      </c>
    </row>
    <row r="931" spans="1:20">
      <c r="A931" s="61" t="str">
        <f t="shared" ca="1" si="221"/>
        <v>Закупка товаров, работ и услуг для муниципальных нужд</v>
      </c>
      <c r="B931" s="104" t="s">
        <v>406</v>
      </c>
      <c r="C931" s="8" t="s">
        <v>188</v>
      </c>
      <c r="D931" s="8" t="s">
        <v>217</v>
      </c>
      <c r="E931" s="104">
        <v>200</v>
      </c>
      <c r="F931" s="7">
        <f>F932</f>
        <v>1887.8</v>
      </c>
      <c r="G931" s="7">
        <f>G932</f>
        <v>0</v>
      </c>
      <c r="H931" s="35">
        <f t="shared" si="209"/>
        <v>1887.8</v>
      </c>
      <c r="I931" s="7">
        <f>I932</f>
        <v>439.2</v>
      </c>
      <c r="J931" s="35">
        <f t="shared" si="206"/>
        <v>2327</v>
      </c>
      <c r="K931" s="7">
        <f>K932</f>
        <v>0</v>
      </c>
      <c r="L931" s="35">
        <f t="shared" si="219"/>
        <v>2327</v>
      </c>
      <c r="M931" s="7">
        <f>M932</f>
        <v>0</v>
      </c>
      <c r="N931" s="35">
        <f t="shared" si="220"/>
        <v>2327</v>
      </c>
      <c r="O931" s="7">
        <f>O932</f>
        <v>-0.8</v>
      </c>
      <c r="P931" s="35">
        <f t="shared" si="217"/>
        <v>2326.1999999999998</v>
      </c>
      <c r="Q931" s="7">
        <f>Q932</f>
        <v>-293.60000000000002</v>
      </c>
      <c r="R931" s="35">
        <f t="shared" si="218"/>
        <v>2032.6</v>
      </c>
      <c r="S931" s="7">
        <f>S932</f>
        <v>0</v>
      </c>
      <c r="T931" s="35">
        <f t="shared" si="212"/>
        <v>2032.6</v>
      </c>
    </row>
    <row r="932" spans="1:20" ht="33">
      <c r="A932" s="61" t="str">
        <f t="shared" ca="1" si="221"/>
        <v>Иные закупки товаров, работ и услуг для обеспечения муниципальных нужд</v>
      </c>
      <c r="B932" s="104" t="s">
        <v>406</v>
      </c>
      <c r="C932" s="8" t="s">
        <v>188</v>
      </c>
      <c r="D932" s="8" t="s">
        <v>217</v>
      </c>
      <c r="E932" s="104">
        <v>240</v>
      </c>
      <c r="F932" s="7">
        <f>F933</f>
        <v>1887.8</v>
      </c>
      <c r="G932" s="7">
        <f>G933</f>
        <v>0</v>
      </c>
      <c r="H932" s="35">
        <f t="shared" si="209"/>
        <v>1887.8</v>
      </c>
      <c r="I932" s="7">
        <f>I933</f>
        <v>439.2</v>
      </c>
      <c r="J932" s="35">
        <f t="shared" si="206"/>
        <v>2327</v>
      </c>
      <c r="K932" s="7">
        <f>K933</f>
        <v>0</v>
      </c>
      <c r="L932" s="35">
        <f t="shared" si="219"/>
        <v>2327</v>
      </c>
      <c r="M932" s="7">
        <f>M933</f>
        <v>0</v>
      </c>
      <c r="N932" s="35">
        <f t="shared" si="220"/>
        <v>2327</v>
      </c>
      <c r="O932" s="7">
        <f>O933</f>
        <v>-0.8</v>
      </c>
      <c r="P932" s="35">
        <f t="shared" si="217"/>
        <v>2326.1999999999998</v>
      </c>
      <c r="Q932" s="7">
        <f>Q933</f>
        <v>-293.60000000000002</v>
      </c>
      <c r="R932" s="35">
        <f t="shared" si="218"/>
        <v>2032.6</v>
      </c>
      <c r="S932" s="7">
        <f>S933</f>
        <v>0</v>
      </c>
      <c r="T932" s="35">
        <f t="shared" si="212"/>
        <v>2032.6</v>
      </c>
    </row>
    <row r="933" spans="1:20" ht="33">
      <c r="A933" s="61" t="str">
        <f t="shared" ca="1" si="221"/>
        <v xml:space="preserve">Прочая закупка товаров, работ и услуг для обеспечения муниципальных нужд         </v>
      </c>
      <c r="B933" s="104" t="s">
        <v>406</v>
      </c>
      <c r="C933" s="8" t="s">
        <v>188</v>
      </c>
      <c r="D933" s="8" t="s">
        <v>217</v>
      </c>
      <c r="E933" s="104">
        <v>244</v>
      </c>
      <c r="F933" s="7">
        <f>прил.6!G1427</f>
        <v>1887.8</v>
      </c>
      <c r="G933" s="7">
        <f>прил.6!H1427</f>
        <v>0</v>
      </c>
      <c r="H933" s="35">
        <f t="shared" si="209"/>
        <v>1887.8</v>
      </c>
      <c r="I933" s="7">
        <f>прил.6!J1427</f>
        <v>439.2</v>
      </c>
      <c r="J933" s="35">
        <f t="shared" si="206"/>
        <v>2327</v>
      </c>
      <c r="K933" s="7">
        <f>прил.6!L1427</f>
        <v>0</v>
      </c>
      <c r="L933" s="35">
        <f t="shared" si="219"/>
        <v>2327</v>
      </c>
      <c r="M933" s="7">
        <f>прил.6!N1427</f>
        <v>0</v>
      </c>
      <c r="N933" s="35">
        <f t="shared" si="220"/>
        <v>2327</v>
      </c>
      <c r="O933" s="7">
        <f>прил.6!P1427</f>
        <v>-0.8</v>
      </c>
      <c r="P933" s="35">
        <f t="shared" si="217"/>
        <v>2326.1999999999998</v>
      </c>
      <c r="Q933" s="7">
        <f>прил.6!R1427</f>
        <v>-293.60000000000002</v>
      </c>
      <c r="R933" s="35">
        <f t="shared" si="218"/>
        <v>2032.6</v>
      </c>
      <c r="S933" s="7">
        <f>прил.6!T1427</f>
        <v>0</v>
      </c>
      <c r="T933" s="35">
        <f t="shared" si="212"/>
        <v>2032.6</v>
      </c>
    </row>
    <row r="934" spans="1:20">
      <c r="A934" s="61" t="str">
        <f t="shared" ca="1" si="221"/>
        <v>Иные бюджетные ассигнования</v>
      </c>
      <c r="B934" s="104" t="s">
        <v>406</v>
      </c>
      <c r="C934" s="8" t="s">
        <v>188</v>
      </c>
      <c r="D934" s="8" t="s">
        <v>217</v>
      </c>
      <c r="E934" s="104">
        <v>800</v>
      </c>
      <c r="F934" s="7"/>
      <c r="G934" s="7"/>
      <c r="H934" s="35"/>
      <c r="I934" s="7"/>
      <c r="J934" s="35"/>
      <c r="K934" s="7"/>
      <c r="L934" s="35"/>
      <c r="M934" s="7"/>
      <c r="N934" s="35"/>
      <c r="O934" s="7">
        <f>O935</f>
        <v>0.8</v>
      </c>
      <c r="P934" s="35">
        <f t="shared" si="217"/>
        <v>0.8</v>
      </c>
      <c r="Q934" s="7">
        <f>Q935</f>
        <v>0</v>
      </c>
      <c r="R934" s="35">
        <f t="shared" si="218"/>
        <v>0.8</v>
      </c>
      <c r="S934" s="7">
        <f>S935</f>
        <v>0</v>
      </c>
      <c r="T934" s="35">
        <f t="shared" si="212"/>
        <v>0.8</v>
      </c>
    </row>
    <row r="935" spans="1:20">
      <c r="A935" s="61" t="str">
        <f t="shared" ca="1" si="221"/>
        <v>Уплата налогов, сборов и иных платежей</v>
      </c>
      <c r="B935" s="104" t="s">
        <v>406</v>
      </c>
      <c r="C935" s="8" t="s">
        <v>188</v>
      </c>
      <c r="D935" s="8" t="s">
        <v>217</v>
      </c>
      <c r="E935" s="104">
        <v>850</v>
      </c>
      <c r="F935" s="7"/>
      <c r="G935" s="7"/>
      <c r="H935" s="35"/>
      <c r="I935" s="7"/>
      <c r="J935" s="35"/>
      <c r="K935" s="7"/>
      <c r="L935" s="35"/>
      <c r="M935" s="7"/>
      <c r="N935" s="35"/>
      <c r="O935" s="7">
        <f>O936</f>
        <v>0.8</v>
      </c>
      <c r="P935" s="35">
        <f t="shared" si="217"/>
        <v>0.8</v>
      </c>
      <c r="Q935" s="7">
        <f>Q936</f>
        <v>0</v>
      </c>
      <c r="R935" s="35">
        <f t="shared" si="218"/>
        <v>0.8</v>
      </c>
      <c r="S935" s="7">
        <f>S936</f>
        <v>0</v>
      </c>
      <c r="T935" s="35">
        <f t="shared" si="212"/>
        <v>0.8</v>
      </c>
    </row>
    <row r="936" spans="1:20">
      <c r="A936" s="61" t="str">
        <f t="shared" ca="1" si="221"/>
        <v>Уплата прочих налогов, сборов и иных платежей</v>
      </c>
      <c r="B936" s="104" t="s">
        <v>406</v>
      </c>
      <c r="C936" s="8" t="s">
        <v>188</v>
      </c>
      <c r="D936" s="8" t="s">
        <v>217</v>
      </c>
      <c r="E936" s="104">
        <v>852</v>
      </c>
      <c r="F936" s="7"/>
      <c r="G936" s="7"/>
      <c r="H936" s="35"/>
      <c r="I936" s="7"/>
      <c r="J936" s="35"/>
      <c r="K936" s="7"/>
      <c r="L936" s="35"/>
      <c r="M936" s="7"/>
      <c r="N936" s="35"/>
      <c r="O936" s="7">
        <f>прил.6!P1430</f>
        <v>0.8</v>
      </c>
      <c r="P936" s="35">
        <f t="shared" si="217"/>
        <v>0.8</v>
      </c>
      <c r="Q936" s="7">
        <f>прил.6!R1430</f>
        <v>0</v>
      </c>
      <c r="R936" s="35">
        <f t="shared" si="218"/>
        <v>0.8</v>
      </c>
      <c r="S936" s="7">
        <f>прил.6!T1430</f>
        <v>0</v>
      </c>
      <c r="T936" s="35">
        <f t="shared" si="212"/>
        <v>0.8</v>
      </c>
    </row>
    <row r="937" spans="1:20" ht="156" customHeight="1">
      <c r="A937" s="61" t="str">
        <f ca="1">IF(ISERROR(MATCH(B937,Код_КЦСР,0)),"",INDIRECT(ADDRESS(MATCH(B937,Код_КЦСР,0)+1,2,,,"КЦСР")))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совершеннолетних граждан, нуждающихся в опеке или попечительстве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937" s="104" t="s">
        <v>405</v>
      </c>
      <c r="C937" s="8"/>
      <c r="D937" s="1"/>
      <c r="E937" s="104"/>
      <c r="F937" s="7">
        <f t="shared" ref="F937:S944" si="222">F938</f>
        <v>5186.5</v>
      </c>
      <c r="G937" s="7">
        <f t="shared" si="222"/>
        <v>0</v>
      </c>
      <c r="H937" s="35">
        <f t="shared" si="209"/>
        <v>5186.5</v>
      </c>
      <c r="I937" s="7">
        <f t="shared" si="222"/>
        <v>0</v>
      </c>
      <c r="J937" s="35">
        <f t="shared" si="206"/>
        <v>5186.5</v>
      </c>
      <c r="K937" s="7">
        <f t="shared" si="222"/>
        <v>0</v>
      </c>
      <c r="L937" s="35">
        <f t="shared" si="219"/>
        <v>5186.5</v>
      </c>
      <c r="M937" s="7">
        <f t="shared" si="222"/>
        <v>0</v>
      </c>
      <c r="N937" s="35">
        <f t="shared" si="220"/>
        <v>5186.5</v>
      </c>
      <c r="O937" s="7">
        <f t="shared" si="222"/>
        <v>0</v>
      </c>
      <c r="P937" s="35">
        <f t="shared" si="217"/>
        <v>5186.5</v>
      </c>
      <c r="Q937" s="7">
        <f t="shared" si="222"/>
        <v>2070</v>
      </c>
      <c r="R937" s="35">
        <f t="shared" si="218"/>
        <v>7256.5</v>
      </c>
      <c r="S937" s="7">
        <f>S938</f>
        <v>-435.20000000000016</v>
      </c>
      <c r="T937" s="35">
        <f t="shared" si="212"/>
        <v>6821.3</v>
      </c>
    </row>
    <row r="938" spans="1:20">
      <c r="A938" s="61" t="str">
        <f ca="1">IF(ISERROR(MATCH(C938,Код_Раздел,0)),"",INDIRECT(ADDRESS(MATCH(C938,Код_Раздел,0)+1,2,,,"Раздел")))</f>
        <v>Социальная политика</v>
      </c>
      <c r="B938" s="104" t="s">
        <v>405</v>
      </c>
      <c r="C938" s="8" t="s">
        <v>188</v>
      </c>
      <c r="D938" s="1"/>
      <c r="E938" s="104"/>
      <c r="F938" s="7">
        <f t="shared" si="222"/>
        <v>5186.5</v>
      </c>
      <c r="G938" s="7">
        <f t="shared" si="222"/>
        <v>0</v>
      </c>
      <c r="H938" s="35">
        <f t="shared" si="209"/>
        <v>5186.5</v>
      </c>
      <c r="I938" s="7">
        <f t="shared" si="222"/>
        <v>0</v>
      </c>
      <c r="J938" s="35">
        <f t="shared" si="206"/>
        <v>5186.5</v>
      </c>
      <c r="K938" s="7">
        <f t="shared" si="222"/>
        <v>0</v>
      </c>
      <c r="L938" s="35">
        <f t="shared" si="219"/>
        <v>5186.5</v>
      </c>
      <c r="M938" s="7">
        <f t="shared" si="222"/>
        <v>0</v>
      </c>
      <c r="N938" s="35">
        <f t="shared" si="220"/>
        <v>5186.5</v>
      </c>
      <c r="O938" s="7">
        <f t="shared" si="222"/>
        <v>0</v>
      </c>
      <c r="P938" s="35">
        <f t="shared" si="217"/>
        <v>5186.5</v>
      </c>
      <c r="Q938" s="7">
        <f t="shared" si="222"/>
        <v>2070</v>
      </c>
      <c r="R938" s="35">
        <f t="shared" si="218"/>
        <v>7256.5</v>
      </c>
      <c r="S938" s="7">
        <f t="shared" si="222"/>
        <v>-435.20000000000016</v>
      </c>
      <c r="T938" s="35">
        <f t="shared" si="212"/>
        <v>6821.3</v>
      </c>
    </row>
    <row r="939" spans="1:20">
      <c r="A939" s="12" t="s">
        <v>189</v>
      </c>
      <c r="B939" s="104" t="s">
        <v>405</v>
      </c>
      <c r="C939" s="8" t="s">
        <v>188</v>
      </c>
      <c r="D939" s="8" t="s">
        <v>217</v>
      </c>
      <c r="E939" s="104"/>
      <c r="F939" s="7">
        <f>F943</f>
        <v>5186.5</v>
      </c>
      <c r="G939" s="7">
        <f>G943</f>
        <v>0</v>
      </c>
      <c r="H939" s="35">
        <f t="shared" si="209"/>
        <v>5186.5</v>
      </c>
      <c r="I939" s="7">
        <f>I943</f>
        <v>0</v>
      </c>
      <c r="J939" s="35">
        <f t="shared" si="206"/>
        <v>5186.5</v>
      </c>
      <c r="K939" s="7">
        <f>K943</f>
        <v>0</v>
      </c>
      <c r="L939" s="35">
        <f t="shared" si="219"/>
        <v>5186.5</v>
      </c>
      <c r="M939" s="7">
        <f>M943</f>
        <v>0</v>
      </c>
      <c r="N939" s="35">
        <f t="shared" si="220"/>
        <v>5186.5</v>
      </c>
      <c r="O939" s="7">
        <f>O943</f>
        <v>0</v>
      </c>
      <c r="P939" s="35">
        <f t="shared" si="217"/>
        <v>5186.5</v>
      </c>
      <c r="Q939" s="7">
        <f>Q943</f>
        <v>2070</v>
      </c>
      <c r="R939" s="35">
        <f t="shared" si="218"/>
        <v>7256.5</v>
      </c>
      <c r="S939" s="7">
        <f>S940+S943</f>
        <v>-435.20000000000016</v>
      </c>
      <c r="T939" s="35">
        <f t="shared" si="212"/>
        <v>6821.3</v>
      </c>
    </row>
    <row r="940" spans="1:20">
      <c r="A940" s="61" t="str">
        <f t="shared" ref="A940:A946" ca="1" si="223">IF(ISERROR(MATCH(E940,Код_КВР,0)),"",INDIRECT(ADDRESS(MATCH(E940,Код_КВР,0)+1,2,,,"КВР")))</f>
        <v>Закупка товаров, работ и услуг для муниципальных нужд</v>
      </c>
      <c r="B940" s="139" t="s">
        <v>405</v>
      </c>
      <c r="C940" s="8" t="s">
        <v>188</v>
      </c>
      <c r="D940" s="8" t="s">
        <v>217</v>
      </c>
      <c r="E940" s="139">
        <v>200</v>
      </c>
      <c r="F940" s="7"/>
      <c r="G940" s="7"/>
      <c r="H940" s="35"/>
      <c r="I940" s="7"/>
      <c r="J940" s="35"/>
      <c r="K940" s="7"/>
      <c r="L940" s="35"/>
      <c r="M940" s="7"/>
      <c r="N940" s="35"/>
      <c r="O940" s="7"/>
      <c r="P940" s="35"/>
      <c r="Q940" s="7"/>
      <c r="R940" s="35"/>
      <c r="S940" s="7">
        <f>S941</f>
        <v>12.6</v>
      </c>
      <c r="T940" s="35">
        <f t="shared" si="212"/>
        <v>12.6</v>
      </c>
    </row>
    <row r="941" spans="1:20" ht="33">
      <c r="A941" s="61" t="str">
        <f t="shared" ca="1" si="223"/>
        <v>Иные закупки товаров, работ и услуг для обеспечения муниципальных нужд</v>
      </c>
      <c r="B941" s="139" t="s">
        <v>405</v>
      </c>
      <c r="C941" s="8" t="s">
        <v>188</v>
      </c>
      <c r="D941" s="8" t="s">
        <v>217</v>
      </c>
      <c r="E941" s="139">
        <v>240</v>
      </c>
      <c r="F941" s="7"/>
      <c r="G941" s="7"/>
      <c r="H941" s="35"/>
      <c r="I941" s="7"/>
      <c r="J941" s="35"/>
      <c r="K941" s="7"/>
      <c r="L941" s="35"/>
      <c r="M941" s="7"/>
      <c r="N941" s="35"/>
      <c r="O941" s="7"/>
      <c r="P941" s="35"/>
      <c r="Q941" s="7"/>
      <c r="R941" s="35"/>
      <c r="S941" s="7">
        <f>S942</f>
        <v>12.6</v>
      </c>
      <c r="T941" s="35">
        <f t="shared" si="212"/>
        <v>12.6</v>
      </c>
    </row>
    <row r="942" spans="1:20" ht="33">
      <c r="A942" s="61" t="str">
        <f t="shared" ca="1" si="223"/>
        <v xml:space="preserve">Прочая закупка товаров, работ и услуг для обеспечения муниципальных нужд         </v>
      </c>
      <c r="B942" s="139" t="s">
        <v>405</v>
      </c>
      <c r="C942" s="8" t="s">
        <v>188</v>
      </c>
      <c r="D942" s="8" t="s">
        <v>217</v>
      </c>
      <c r="E942" s="139">
        <v>244</v>
      </c>
      <c r="F942" s="7"/>
      <c r="G942" s="7"/>
      <c r="H942" s="35"/>
      <c r="I942" s="7"/>
      <c r="J942" s="35"/>
      <c r="K942" s="7"/>
      <c r="L942" s="35"/>
      <c r="M942" s="7"/>
      <c r="N942" s="35"/>
      <c r="O942" s="7"/>
      <c r="P942" s="35"/>
      <c r="Q942" s="7"/>
      <c r="R942" s="35"/>
      <c r="S942" s="7">
        <f>прил.6!T1434</f>
        <v>12.6</v>
      </c>
      <c r="T942" s="35">
        <f t="shared" si="212"/>
        <v>12.6</v>
      </c>
    </row>
    <row r="943" spans="1:20">
      <c r="A943" s="61" t="str">
        <f t="shared" ca="1" si="223"/>
        <v>Социальное обеспечение и иные выплаты населению</v>
      </c>
      <c r="B943" s="104" t="s">
        <v>405</v>
      </c>
      <c r="C943" s="8" t="s">
        <v>188</v>
      </c>
      <c r="D943" s="8" t="s">
        <v>217</v>
      </c>
      <c r="E943" s="104">
        <v>300</v>
      </c>
      <c r="F943" s="7">
        <f t="shared" si="222"/>
        <v>5186.5</v>
      </c>
      <c r="G943" s="7">
        <f t="shared" si="222"/>
        <v>0</v>
      </c>
      <c r="H943" s="35">
        <f t="shared" si="209"/>
        <v>5186.5</v>
      </c>
      <c r="I943" s="7">
        <f t="shared" si="222"/>
        <v>0</v>
      </c>
      <c r="J943" s="35">
        <f t="shared" si="206"/>
        <v>5186.5</v>
      </c>
      <c r="K943" s="7">
        <f t="shared" si="222"/>
        <v>0</v>
      </c>
      <c r="L943" s="35">
        <f t="shared" si="219"/>
        <v>5186.5</v>
      </c>
      <c r="M943" s="7">
        <f t="shared" si="222"/>
        <v>0</v>
      </c>
      <c r="N943" s="35">
        <f t="shared" si="220"/>
        <v>5186.5</v>
      </c>
      <c r="O943" s="7">
        <f t="shared" si="222"/>
        <v>0</v>
      </c>
      <c r="P943" s="35">
        <f t="shared" si="217"/>
        <v>5186.5</v>
      </c>
      <c r="Q943" s="7">
        <f t="shared" si="222"/>
        <v>2070</v>
      </c>
      <c r="R943" s="35">
        <f t="shared" si="218"/>
        <v>7256.5</v>
      </c>
      <c r="S943" s="7">
        <f t="shared" si="222"/>
        <v>-447.80000000000018</v>
      </c>
      <c r="T943" s="35">
        <f t="shared" si="212"/>
        <v>6808.7</v>
      </c>
    </row>
    <row r="944" spans="1:20" ht="35.25" customHeight="1">
      <c r="A944" s="61" t="str">
        <f t="shared" ca="1" si="223"/>
        <v>Социальные выплаты гражданам, кроме публичных нормативных социальных выплат</v>
      </c>
      <c r="B944" s="104" t="s">
        <v>405</v>
      </c>
      <c r="C944" s="8" t="s">
        <v>188</v>
      </c>
      <c r="D944" s="8" t="s">
        <v>217</v>
      </c>
      <c r="E944" s="104">
        <v>320</v>
      </c>
      <c r="F944" s="7">
        <f t="shared" si="222"/>
        <v>5186.5</v>
      </c>
      <c r="G944" s="7">
        <f t="shared" si="222"/>
        <v>0</v>
      </c>
      <c r="H944" s="35">
        <f t="shared" si="209"/>
        <v>5186.5</v>
      </c>
      <c r="I944" s="7">
        <f t="shared" si="222"/>
        <v>0</v>
      </c>
      <c r="J944" s="35">
        <f t="shared" si="206"/>
        <v>5186.5</v>
      </c>
      <c r="K944" s="7">
        <f t="shared" si="222"/>
        <v>0</v>
      </c>
      <c r="L944" s="35">
        <f t="shared" si="219"/>
        <v>5186.5</v>
      </c>
      <c r="M944" s="7">
        <f t="shared" si="222"/>
        <v>0</v>
      </c>
      <c r="N944" s="35">
        <f t="shared" si="220"/>
        <v>5186.5</v>
      </c>
      <c r="O944" s="7">
        <f t="shared" si="222"/>
        <v>0</v>
      </c>
      <c r="P944" s="35">
        <f t="shared" si="217"/>
        <v>5186.5</v>
      </c>
      <c r="Q944" s="7">
        <f t="shared" si="222"/>
        <v>2070</v>
      </c>
      <c r="R944" s="35">
        <f t="shared" si="218"/>
        <v>7256.5</v>
      </c>
      <c r="S944" s="7">
        <f>S945+S946</f>
        <v>-447.80000000000018</v>
      </c>
      <c r="T944" s="35">
        <f t="shared" si="212"/>
        <v>6808.7</v>
      </c>
    </row>
    <row r="945" spans="1:20" ht="36" customHeight="1">
      <c r="A945" s="61" t="str">
        <f t="shared" ca="1" si="223"/>
        <v>Пособия, компенсации и иные социальные выплаты гражданам, кроме публичных нормативных обязательств</v>
      </c>
      <c r="B945" s="104" t="s">
        <v>405</v>
      </c>
      <c r="C945" s="8" t="s">
        <v>188</v>
      </c>
      <c r="D945" s="8" t="s">
        <v>217</v>
      </c>
      <c r="E945" s="104">
        <v>321</v>
      </c>
      <c r="F945" s="7">
        <f>прил.6!G1437</f>
        <v>5186.5</v>
      </c>
      <c r="G945" s="7">
        <f>прил.6!H1437</f>
        <v>0</v>
      </c>
      <c r="H945" s="35">
        <f t="shared" si="209"/>
        <v>5186.5</v>
      </c>
      <c r="I945" s="7">
        <f>прил.6!J1437</f>
        <v>0</v>
      </c>
      <c r="J945" s="35">
        <f t="shared" si="206"/>
        <v>5186.5</v>
      </c>
      <c r="K945" s="7">
        <f>прил.6!L1437</f>
        <v>0</v>
      </c>
      <c r="L945" s="35">
        <f t="shared" si="219"/>
        <v>5186.5</v>
      </c>
      <c r="M945" s="7">
        <f>прил.6!N1437</f>
        <v>0</v>
      </c>
      <c r="N945" s="35">
        <f t="shared" si="220"/>
        <v>5186.5</v>
      </c>
      <c r="O945" s="7">
        <f>прил.6!P1437</f>
        <v>0</v>
      </c>
      <c r="P945" s="35">
        <f t="shared" si="217"/>
        <v>5186.5</v>
      </c>
      <c r="Q945" s="7">
        <f>прил.6!R1437</f>
        <v>2070</v>
      </c>
      <c r="R945" s="35">
        <f t="shared" si="218"/>
        <v>7256.5</v>
      </c>
      <c r="S945" s="7">
        <f>прил.6!T1437</f>
        <v>-7256.5</v>
      </c>
      <c r="T945" s="35">
        <f t="shared" si="212"/>
        <v>0</v>
      </c>
    </row>
    <row r="946" spans="1:20" ht="36" customHeight="1">
      <c r="A946" s="61" t="str">
        <f t="shared" ca="1" si="223"/>
        <v>Приобретение товаров, работ, услуг в пользу граждан в целях их социального обеспечения</v>
      </c>
      <c r="B946" s="139" t="s">
        <v>405</v>
      </c>
      <c r="C946" s="8" t="s">
        <v>188</v>
      </c>
      <c r="D946" s="8" t="s">
        <v>217</v>
      </c>
      <c r="E946" s="139">
        <v>323</v>
      </c>
      <c r="F946" s="7"/>
      <c r="G946" s="7"/>
      <c r="H946" s="35"/>
      <c r="I946" s="7"/>
      <c r="J946" s="35"/>
      <c r="K946" s="7"/>
      <c r="L946" s="35"/>
      <c r="M946" s="7"/>
      <c r="N946" s="35"/>
      <c r="O946" s="7"/>
      <c r="P946" s="35"/>
      <c r="Q946" s="7"/>
      <c r="R946" s="35"/>
      <c r="S946" s="7">
        <f>прил.6!T1438</f>
        <v>6808.7</v>
      </c>
      <c r="T946" s="35">
        <f t="shared" si="212"/>
        <v>6808.7</v>
      </c>
    </row>
    <row r="947" spans="1:20" ht="36" customHeight="1">
      <c r="A947" s="61" t="str">
        <f ca="1">IF(ISERROR(MATCH(B947,Код_КЦСР,0)),"",INDIRECT(ADDRESS(MATCH(B947,Код_КЦСР,0)+1,2,,,"КЦСР")))</f>
        <v>Муниципальная программа «Обеспечение жильем отдельных категорий граждан» на 2014-2020 годы</v>
      </c>
      <c r="B947" s="45" t="s">
        <v>23</v>
      </c>
      <c r="C947" s="8"/>
      <c r="D947" s="1"/>
      <c r="E947" s="104"/>
      <c r="F947" s="7">
        <f>F948+F954+F973</f>
        <v>21306.799999999999</v>
      </c>
      <c r="G947" s="7">
        <f>G948+G954+G973</f>
        <v>0</v>
      </c>
      <c r="H947" s="35">
        <f t="shared" si="209"/>
        <v>21306.799999999999</v>
      </c>
      <c r="I947" s="7">
        <f>I948+I954+I973</f>
        <v>0</v>
      </c>
      <c r="J947" s="35">
        <f t="shared" si="206"/>
        <v>21306.799999999999</v>
      </c>
      <c r="K947" s="7">
        <f>K948+K954+K973</f>
        <v>0</v>
      </c>
      <c r="L947" s="35">
        <f t="shared" si="219"/>
        <v>21306.799999999999</v>
      </c>
      <c r="M947" s="7">
        <f>M948+M954+M973</f>
        <v>0</v>
      </c>
      <c r="N947" s="35">
        <f t="shared" si="220"/>
        <v>21306.799999999999</v>
      </c>
      <c r="O947" s="7">
        <f>O948+O954+O973</f>
        <v>0</v>
      </c>
      <c r="P947" s="35">
        <f t="shared" si="217"/>
        <v>21306.799999999999</v>
      </c>
      <c r="Q947" s="7">
        <f>Q948+Q954+Q973</f>
        <v>-3318.1000000000004</v>
      </c>
      <c r="R947" s="35">
        <f t="shared" si="218"/>
        <v>17988.699999999997</v>
      </c>
      <c r="S947" s="7">
        <f>S948+S954+S973</f>
        <v>1</v>
      </c>
      <c r="T947" s="35">
        <f t="shared" si="212"/>
        <v>17989.699999999997</v>
      </c>
    </row>
    <row r="948" spans="1:20" ht="85.5" customHeight="1">
      <c r="A948" s="61" t="str">
        <f ca="1">IF(ISERROR(MATCH(B948,Код_КЦСР,0)),"",INDIRECT(ADDRESS(MATCH(B948,Код_КЦСР,0)+1,2,,,"КЦСР")))</f>
        <v>Обеспечение жильем отдельных категорий граждан, установленных федеральными законами от 12 января 1995 года № 5-ФЗ «О ветеранах» и от 24 ноября 1995 года № 181-ФЗ «О социальной защите инвалидов в Российской Федерации» за счет субвенций из федерального бюджета</v>
      </c>
      <c r="B948" s="47" t="s">
        <v>441</v>
      </c>
      <c r="C948" s="8"/>
      <c r="D948" s="1"/>
      <c r="E948" s="104"/>
      <c r="F948" s="7">
        <f t="shared" ref="F948:S952" si="224">F949</f>
        <v>9250.7000000000007</v>
      </c>
      <c r="G948" s="7">
        <f t="shared" si="224"/>
        <v>0</v>
      </c>
      <c r="H948" s="35">
        <f t="shared" si="209"/>
        <v>9250.7000000000007</v>
      </c>
      <c r="I948" s="7">
        <f t="shared" si="224"/>
        <v>0</v>
      </c>
      <c r="J948" s="35">
        <f t="shared" ref="J948:J1022" si="225">H948+I948</f>
        <v>9250.7000000000007</v>
      </c>
      <c r="K948" s="7">
        <f t="shared" si="224"/>
        <v>0</v>
      </c>
      <c r="L948" s="35">
        <f t="shared" si="219"/>
        <v>9250.7000000000007</v>
      </c>
      <c r="M948" s="7">
        <f t="shared" si="224"/>
        <v>0</v>
      </c>
      <c r="N948" s="35">
        <f t="shared" si="220"/>
        <v>9250.7000000000007</v>
      </c>
      <c r="O948" s="7">
        <f t="shared" si="224"/>
        <v>0</v>
      </c>
      <c r="P948" s="35">
        <f t="shared" si="217"/>
        <v>9250.7000000000007</v>
      </c>
      <c r="Q948" s="7">
        <f t="shared" si="224"/>
        <v>2812.5</v>
      </c>
      <c r="R948" s="35">
        <f t="shared" si="218"/>
        <v>12063.2</v>
      </c>
      <c r="S948" s="7">
        <f t="shared" si="224"/>
        <v>1</v>
      </c>
      <c r="T948" s="35">
        <f t="shared" si="212"/>
        <v>12064.2</v>
      </c>
    </row>
    <row r="949" spans="1:20">
      <c r="A949" s="61" t="str">
        <f ca="1">IF(ISERROR(MATCH(C949,Код_Раздел,0)),"",INDIRECT(ADDRESS(MATCH(C949,Код_Раздел,0)+1,2,,,"Раздел")))</f>
        <v>Социальная политика</v>
      </c>
      <c r="B949" s="47" t="s">
        <v>441</v>
      </c>
      <c r="C949" s="8" t="s">
        <v>188</v>
      </c>
      <c r="D949" s="1"/>
      <c r="E949" s="104"/>
      <c r="F949" s="7">
        <f t="shared" si="224"/>
        <v>9250.7000000000007</v>
      </c>
      <c r="G949" s="7">
        <f t="shared" si="224"/>
        <v>0</v>
      </c>
      <c r="H949" s="35">
        <f t="shared" si="209"/>
        <v>9250.7000000000007</v>
      </c>
      <c r="I949" s="7">
        <f t="shared" si="224"/>
        <v>0</v>
      </c>
      <c r="J949" s="35">
        <f t="shared" si="225"/>
        <v>9250.7000000000007</v>
      </c>
      <c r="K949" s="7">
        <f t="shared" si="224"/>
        <v>0</v>
      </c>
      <c r="L949" s="35">
        <f t="shared" si="219"/>
        <v>9250.7000000000007</v>
      </c>
      <c r="M949" s="7">
        <f t="shared" si="224"/>
        <v>0</v>
      </c>
      <c r="N949" s="35">
        <f t="shared" si="220"/>
        <v>9250.7000000000007</v>
      </c>
      <c r="O949" s="7">
        <f t="shared" si="224"/>
        <v>0</v>
      </c>
      <c r="P949" s="35">
        <f t="shared" si="217"/>
        <v>9250.7000000000007</v>
      </c>
      <c r="Q949" s="7">
        <f t="shared" si="224"/>
        <v>2812.5</v>
      </c>
      <c r="R949" s="35">
        <f t="shared" si="218"/>
        <v>12063.2</v>
      </c>
      <c r="S949" s="7">
        <f t="shared" si="224"/>
        <v>1</v>
      </c>
      <c r="T949" s="35">
        <f t="shared" si="212"/>
        <v>12064.2</v>
      </c>
    </row>
    <row r="950" spans="1:20">
      <c r="A950" s="12" t="s">
        <v>179</v>
      </c>
      <c r="B950" s="47" t="s">
        <v>441</v>
      </c>
      <c r="C950" s="8" t="s">
        <v>188</v>
      </c>
      <c r="D950" s="8" t="s">
        <v>215</v>
      </c>
      <c r="E950" s="104"/>
      <c r="F950" s="7">
        <f t="shared" si="224"/>
        <v>9250.7000000000007</v>
      </c>
      <c r="G950" s="7">
        <f t="shared" si="224"/>
        <v>0</v>
      </c>
      <c r="H950" s="35">
        <f t="shared" si="209"/>
        <v>9250.7000000000007</v>
      </c>
      <c r="I950" s="7">
        <f t="shared" si="224"/>
        <v>0</v>
      </c>
      <c r="J950" s="35">
        <f t="shared" si="225"/>
        <v>9250.7000000000007</v>
      </c>
      <c r="K950" s="7">
        <f t="shared" si="224"/>
        <v>0</v>
      </c>
      <c r="L950" s="35">
        <f t="shared" si="219"/>
        <v>9250.7000000000007</v>
      </c>
      <c r="M950" s="7">
        <f t="shared" si="224"/>
        <v>0</v>
      </c>
      <c r="N950" s="35">
        <f t="shared" si="220"/>
        <v>9250.7000000000007</v>
      </c>
      <c r="O950" s="7">
        <f t="shared" si="224"/>
        <v>0</v>
      </c>
      <c r="P950" s="35">
        <f t="shared" si="217"/>
        <v>9250.7000000000007</v>
      </c>
      <c r="Q950" s="7">
        <f t="shared" si="224"/>
        <v>2812.5</v>
      </c>
      <c r="R950" s="35">
        <f t="shared" si="218"/>
        <v>12063.2</v>
      </c>
      <c r="S950" s="7">
        <f t="shared" si="224"/>
        <v>1</v>
      </c>
      <c r="T950" s="35">
        <f t="shared" si="212"/>
        <v>12064.2</v>
      </c>
    </row>
    <row r="951" spans="1:20">
      <c r="A951" s="61" t="str">
        <f ca="1">IF(ISERROR(MATCH(E951,Код_КВР,0)),"",INDIRECT(ADDRESS(MATCH(E951,Код_КВР,0)+1,2,,,"КВР")))</f>
        <v>Социальное обеспечение и иные выплаты населению</v>
      </c>
      <c r="B951" s="47" t="s">
        <v>441</v>
      </c>
      <c r="C951" s="8" t="s">
        <v>188</v>
      </c>
      <c r="D951" s="8" t="s">
        <v>215</v>
      </c>
      <c r="E951" s="104">
        <v>300</v>
      </c>
      <c r="F951" s="7">
        <f t="shared" si="224"/>
        <v>9250.7000000000007</v>
      </c>
      <c r="G951" s="7">
        <f t="shared" si="224"/>
        <v>0</v>
      </c>
      <c r="H951" s="35">
        <f t="shared" si="209"/>
        <v>9250.7000000000007</v>
      </c>
      <c r="I951" s="7">
        <f t="shared" si="224"/>
        <v>0</v>
      </c>
      <c r="J951" s="35">
        <f t="shared" si="225"/>
        <v>9250.7000000000007</v>
      </c>
      <c r="K951" s="7">
        <f t="shared" si="224"/>
        <v>0</v>
      </c>
      <c r="L951" s="35">
        <f t="shared" si="219"/>
        <v>9250.7000000000007</v>
      </c>
      <c r="M951" s="7">
        <f t="shared" si="224"/>
        <v>0</v>
      </c>
      <c r="N951" s="35">
        <f t="shared" si="220"/>
        <v>9250.7000000000007</v>
      </c>
      <c r="O951" s="7">
        <f t="shared" si="224"/>
        <v>0</v>
      </c>
      <c r="P951" s="35">
        <f t="shared" si="217"/>
        <v>9250.7000000000007</v>
      </c>
      <c r="Q951" s="7">
        <f t="shared" si="224"/>
        <v>2812.5</v>
      </c>
      <c r="R951" s="35">
        <f t="shared" si="218"/>
        <v>12063.2</v>
      </c>
      <c r="S951" s="7">
        <f t="shared" si="224"/>
        <v>1</v>
      </c>
      <c r="T951" s="35">
        <f t="shared" si="212"/>
        <v>12064.2</v>
      </c>
    </row>
    <row r="952" spans="1:20" ht="33">
      <c r="A952" s="61" t="str">
        <f ca="1">IF(ISERROR(MATCH(E952,Код_КВР,0)),"",INDIRECT(ADDRESS(MATCH(E952,Код_КВР,0)+1,2,,,"КВР")))</f>
        <v>Социальные выплаты гражданам, кроме публичных нормативных социальных выплат</v>
      </c>
      <c r="B952" s="47" t="s">
        <v>441</v>
      </c>
      <c r="C952" s="8" t="s">
        <v>188</v>
      </c>
      <c r="D952" s="8" t="s">
        <v>215</v>
      </c>
      <c r="E952" s="104">
        <v>320</v>
      </c>
      <c r="F952" s="7">
        <f t="shared" si="224"/>
        <v>9250.7000000000007</v>
      </c>
      <c r="G952" s="7">
        <f t="shared" si="224"/>
        <v>0</v>
      </c>
      <c r="H952" s="35">
        <f t="shared" si="209"/>
        <v>9250.7000000000007</v>
      </c>
      <c r="I952" s="7">
        <f t="shared" si="224"/>
        <v>0</v>
      </c>
      <c r="J952" s="35">
        <f t="shared" si="225"/>
        <v>9250.7000000000007</v>
      </c>
      <c r="K952" s="7">
        <f t="shared" si="224"/>
        <v>0</v>
      </c>
      <c r="L952" s="35">
        <f t="shared" si="219"/>
        <v>9250.7000000000007</v>
      </c>
      <c r="M952" s="7">
        <f t="shared" si="224"/>
        <v>0</v>
      </c>
      <c r="N952" s="35">
        <f t="shared" si="220"/>
        <v>9250.7000000000007</v>
      </c>
      <c r="O952" s="7">
        <f t="shared" si="224"/>
        <v>0</v>
      </c>
      <c r="P952" s="35">
        <f t="shared" si="217"/>
        <v>9250.7000000000007</v>
      </c>
      <c r="Q952" s="7">
        <f t="shared" si="224"/>
        <v>2812.5</v>
      </c>
      <c r="R952" s="35">
        <f t="shared" si="218"/>
        <v>12063.2</v>
      </c>
      <c r="S952" s="7">
        <f t="shared" si="224"/>
        <v>1</v>
      </c>
      <c r="T952" s="35">
        <f t="shared" si="212"/>
        <v>12064.2</v>
      </c>
    </row>
    <row r="953" spans="1:20">
      <c r="A953" s="61" t="str">
        <f ca="1">IF(ISERROR(MATCH(E953,Код_КВР,0)),"",INDIRECT(ADDRESS(MATCH(E953,Код_КВР,0)+1,2,,,"КВР")))</f>
        <v>Субсидии гражданам на приобретение жилья</v>
      </c>
      <c r="B953" s="47" t="s">
        <v>441</v>
      </c>
      <c r="C953" s="8" t="s">
        <v>188</v>
      </c>
      <c r="D953" s="8" t="s">
        <v>215</v>
      </c>
      <c r="E953" s="104">
        <v>322</v>
      </c>
      <c r="F953" s="7">
        <f>прил.6!G345</f>
        <v>9250.7000000000007</v>
      </c>
      <c r="G953" s="7">
        <f>прил.6!H345</f>
        <v>0</v>
      </c>
      <c r="H953" s="35">
        <f t="shared" si="209"/>
        <v>9250.7000000000007</v>
      </c>
      <c r="I953" s="7">
        <f>прил.6!J345</f>
        <v>0</v>
      </c>
      <c r="J953" s="35">
        <f t="shared" si="225"/>
        <v>9250.7000000000007</v>
      </c>
      <c r="K953" s="7">
        <f>прил.6!L345</f>
        <v>0</v>
      </c>
      <c r="L953" s="35">
        <f t="shared" si="219"/>
        <v>9250.7000000000007</v>
      </c>
      <c r="M953" s="7">
        <f>прил.6!N345</f>
        <v>0</v>
      </c>
      <c r="N953" s="35">
        <f t="shared" si="220"/>
        <v>9250.7000000000007</v>
      </c>
      <c r="O953" s="7">
        <f>прил.6!P345</f>
        <v>0</v>
      </c>
      <c r="P953" s="35">
        <f t="shared" si="217"/>
        <v>9250.7000000000007</v>
      </c>
      <c r="Q953" s="7">
        <f>прил.6!R345</f>
        <v>2812.5</v>
      </c>
      <c r="R953" s="35">
        <f t="shared" si="218"/>
        <v>12063.2</v>
      </c>
      <c r="S953" s="7">
        <f>прил.6!T345</f>
        <v>1</v>
      </c>
      <c r="T953" s="35">
        <f t="shared" si="212"/>
        <v>12064.2</v>
      </c>
    </row>
    <row r="954" spans="1:20">
      <c r="A954" s="61" t="str">
        <f ca="1">IF(ISERROR(MATCH(B954,Код_КЦСР,0)),"",INDIRECT(ADDRESS(MATCH(B954,Код_КЦСР,0)+1,2,,,"КЦСР")))</f>
        <v>Обеспечение жильем молодых семей</v>
      </c>
      <c r="B954" s="45" t="s">
        <v>25</v>
      </c>
      <c r="C954" s="8"/>
      <c r="D954" s="1"/>
      <c r="E954" s="104"/>
      <c r="F954" s="7">
        <f>F955+F967</f>
        <v>2886.3</v>
      </c>
      <c r="G954" s="7">
        <f>G955+G967</f>
        <v>0</v>
      </c>
      <c r="H954" s="35">
        <f t="shared" si="209"/>
        <v>2886.3</v>
      </c>
      <c r="I954" s="7">
        <f>I955+I967</f>
        <v>0</v>
      </c>
      <c r="J954" s="35">
        <f t="shared" si="225"/>
        <v>2886.3</v>
      </c>
      <c r="K954" s="7">
        <f>K955+K967</f>
        <v>0</v>
      </c>
      <c r="L954" s="35">
        <f t="shared" si="219"/>
        <v>2886.3</v>
      </c>
      <c r="M954" s="7">
        <f>M955+M967</f>
        <v>0</v>
      </c>
      <c r="N954" s="35">
        <f t="shared" si="220"/>
        <v>2886.3</v>
      </c>
      <c r="O954" s="7">
        <f>O955+O967</f>
        <v>0</v>
      </c>
      <c r="P954" s="35">
        <f t="shared" si="217"/>
        <v>2886.3</v>
      </c>
      <c r="Q954" s="7">
        <f>Q955+Q967+Q961</f>
        <v>504</v>
      </c>
      <c r="R954" s="35">
        <f t="shared" si="218"/>
        <v>3390.3</v>
      </c>
      <c r="S954" s="7">
        <f>S955+S967+S961</f>
        <v>0</v>
      </c>
      <c r="T954" s="35">
        <f t="shared" si="212"/>
        <v>3390.3</v>
      </c>
    </row>
    <row r="955" spans="1:20" ht="33">
      <c r="A955" s="61" t="str">
        <f ca="1">IF(ISERROR(MATCH(B955,Код_КЦСР,0)),"",INDIRECT(ADDRESS(MATCH(B955,Код_КЦСР,0)+1,2,,,"КЦСР")))</f>
        <v>Предоставление социальных выплат на приобретение (строительство) жилья молодыми семьями</v>
      </c>
      <c r="B955" s="45" t="s">
        <v>27</v>
      </c>
      <c r="C955" s="8"/>
      <c r="D955" s="1"/>
      <c r="E955" s="104"/>
      <c r="F955" s="7">
        <f t="shared" ref="F955:S971" si="226">F956</f>
        <v>2886.3</v>
      </c>
      <c r="G955" s="7">
        <f t="shared" si="226"/>
        <v>0</v>
      </c>
      <c r="H955" s="35">
        <f t="shared" si="209"/>
        <v>2886.3</v>
      </c>
      <c r="I955" s="7">
        <f t="shared" si="226"/>
        <v>0</v>
      </c>
      <c r="J955" s="35">
        <f t="shared" si="225"/>
        <v>2886.3</v>
      </c>
      <c r="K955" s="7">
        <f t="shared" si="226"/>
        <v>0</v>
      </c>
      <c r="L955" s="35">
        <f t="shared" si="219"/>
        <v>2886.3</v>
      </c>
      <c r="M955" s="7">
        <f t="shared" si="226"/>
        <v>0</v>
      </c>
      <c r="N955" s="35">
        <f t="shared" si="220"/>
        <v>2886.3</v>
      </c>
      <c r="O955" s="7">
        <f t="shared" si="226"/>
        <v>0</v>
      </c>
      <c r="P955" s="35">
        <f t="shared" si="217"/>
        <v>2886.3</v>
      </c>
      <c r="Q955" s="7">
        <f t="shared" si="226"/>
        <v>-1220.2</v>
      </c>
      <c r="R955" s="35">
        <f t="shared" si="218"/>
        <v>1666.1000000000001</v>
      </c>
      <c r="S955" s="7">
        <f t="shared" si="226"/>
        <v>0</v>
      </c>
      <c r="T955" s="35">
        <f t="shared" si="212"/>
        <v>1666.1000000000001</v>
      </c>
    </row>
    <row r="956" spans="1:20">
      <c r="A956" s="61" t="str">
        <f ca="1">IF(ISERROR(MATCH(C956,Код_Раздел,0)),"",INDIRECT(ADDRESS(MATCH(C956,Код_Раздел,0)+1,2,,,"Раздел")))</f>
        <v>Социальная политика</v>
      </c>
      <c r="B956" s="45" t="s">
        <v>27</v>
      </c>
      <c r="C956" s="8" t="s">
        <v>188</v>
      </c>
      <c r="D956" s="1"/>
      <c r="E956" s="104"/>
      <c r="F956" s="7">
        <f t="shared" si="226"/>
        <v>2886.3</v>
      </c>
      <c r="G956" s="7">
        <f t="shared" si="226"/>
        <v>0</v>
      </c>
      <c r="H956" s="35">
        <f t="shared" ref="H956:H1030" si="227">F956+G956</f>
        <v>2886.3</v>
      </c>
      <c r="I956" s="7">
        <f t="shared" si="226"/>
        <v>0</v>
      </c>
      <c r="J956" s="35">
        <f t="shared" si="225"/>
        <v>2886.3</v>
      </c>
      <c r="K956" s="7">
        <f t="shared" si="226"/>
        <v>0</v>
      </c>
      <c r="L956" s="35">
        <f t="shared" si="219"/>
        <v>2886.3</v>
      </c>
      <c r="M956" s="7">
        <f t="shared" si="226"/>
        <v>0</v>
      </c>
      <c r="N956" s="35">
        <f t="shared" si="220"/>
        <v>2886.3</v>
      </c>
      <c r="O956" s="7">
        <f t="shared" si="226"/>
        <v>0</v>
      </c>
      <c r="P956" s="35">
        <f t="shared" si="217"/>
        <v>2886.3</v>
      </c>
      <c r="Q956" s="7">
        <f t="shared" si="226"/>
        <v>-1220.2</v>
      </c>
      <c r="R956" s="35">
        <f t="shared" si="218"/>
        <v>1666.1000000000001</v>
      </c>
      <c r="S956" s="7">
        <f t="shared" si="226"/>
        <v>0</v>
      </c>
      <c r="T956" s="35">
        <f t="shared" si="212"/>
        <v>1666.1000000000001</v>
      </c>
    </row>
    <row r="957" spans="1:20">
      <c r="A957" s="12" t="s">
        <v>179</v>
      </c>
      <c r="B957" s="45" t="s">
        <v>27</v>
      </c>
      <c r="C957" s="8" t="s">
        <v>188</v>
      </c>
      <c r="D957" s="8" t="s">
        <v>215</v>
      </c>
      <c r="E957" s="104"/>
      <c r="F957" s="7">
        <f t="shared" si="226"/>
        <v>2886.3</v>
      </c>
      <c r="G957" s="7">
        <f t="shared" si="226"/>
        <v>0</v>
      </c>
      <c r="H957" s="35">
        <f t="shared" si="227"/>
        <v>2886.3</v>
      </c>
      <c r="I957" s="7">
        <f t="shared" si="226"/>
        <v>0</v>
      </c>
      <c r="J957" s="35">
        <f t="shared" si="225"/>
        <v>2886.3</v>
      </c>
      <c r="K957" s="7">
        <f t="shared" si="226"/>
        <v>0</v>
      </c>
      <c r="L957" s="35">
        <f t="shared" si="219"/>
        <v>2886.3</v>
      </c>
      <c r="M957" s="7">
        <f t="shared" si="226"/>
        <v>0</v>
      </c>
      <c r="N957" s="35">
        <f t="shared" si="220"/>
        <v>2886.3</v>
      </c>
      <c r="O957" s="7">
        <f t="shared" si="226"/>
        <v>0</v>
      </c>
      <c r="P957" s="35">
        <f t="shared" si="217"/>
        <v>2886.3</v>
      </c>
      <c r="Q957" s="7">
        <f t="shared" si="226"/>
        <v>-1220.2</v>
      </c>
      <c r="R957" s="35">
        <f t="shared" si="218"/>
        <v>1666.1000000000001</v>
      </c>
      <c r="S957" s="7">
        <f t="shared" si="226"/>
        <v>0</v>
      </c>
      <c r="T957" s="35">
        <f t="shared" si="212"/>
        <v>1666.1000000000001</v>
      </c>
    </row>
    <row r="958" spans="1:20">
      <c r="A958" s="61" t="str">
        <f ca="1">IF(ISERROR(MATCH(E958,Код_КВР,0)),"",INDIRECT(ADDRESS(MATCH(E958,Код_КВР,0)+1,2,,,"КВР")))</f>
        <v>Социальное обеспечение и иные выплаты населению</v>
      </c>
      <c r="B958" s="45" t="s">
        <v>27</v>
      </c>
      <c r="C958" s="8" t="s">
        <v>188</v>
      </c>
      <c r="D958" s="8" t="s">
        <v>215</v>
      </c>
      <c r="E958" s="104">
        <v>300</v>
      </c>
      <c r="F958" s="7">
        <f t="shared" si="226"/>
        <v>2886.3</v>
      </c>
      <c r="G958" s="7">
        <f t="shared" si="226"/>
        <v>0</v>
      </c>
      <c r="H958" s="35">
        <f t="shared" si="227"/>
        <v>2886.3</v>
      </c>
      <c r="I958" s="7">
        <f t="shared" si="226"/>
        <v>0</v>
      </c>
      <c r="J958" s="35">
        <f t="shared" si="225"/>
        <v>2886.3</v>
      </c>
      <c r="K958" s="7">
        <f t="shared" si="226"/>
        <v>0</v>
      </c>
      <c r="L958" s="35">
        <f t="shared" si="219"/>
        <v>2886.3</v>
      </c>
      <c r="M958" s="7">
        <f t="shared" si="226"/>
        <v>0</v>
      </c>
      <c r="N958" s="35">
        <f t="shared" si="220"/>
        <v>2886.3</v>
      </c>
      <c r="O958" s="7">
        <f t="shared" si="226"/>
        <v>0</v>
      </c>
      <c r="P958" s="35">
        <f t="shared" si="217"/>
        <v>2886.3</v>
      </c>
      <c r="Q958" s="7">
        <f t="shared" si="226"/>
        <v>-1220.2</v>
      </c>
      <c r="R958" s="35">
        <f t="shared" si="218"/>
        <v>1666.1000000000001</v>
      </c>
      <c r="S958" s="7">
        <f t="shared" si="226"/>
        <v>0</v>
      </c>
      <c r="T958" s="35">
        <f t="shared" si="212"/>
        <v>1666.1000000000001</v>
      </c>
    </row>
    <row r="959" spans="1:20" ht="33">
      <c r="A959" s="61" t="str">
        <f ca="1">IF(ISERROR(MATCH(E959,Код_КВР,0)),"",INDIRECT(ADDRESS(MATCH(E959,Код_КВР,0)+1,2,,,"КВР")))</f>
        <v>Социальные выплаты гражданам, кроме публичных нормативных социальных выплат</v>
      </c>
      <c r="B959" s="45" t="s">
        <v>27</v>
      </c>
      <c r="C959" s="8" t="s">
        <v>188</v>
      </c>
      <c r="D959" s="8" t="s">
        <v>215</v>
      </c>
      <c r="E959" s="104">
        <v>320</v>
      </c>
      <c r="F959" s="7">
        <f t="shared" si="226"/>
        <v>2886.3</v>
      </c>
      <c r="G959" s="7">
        <f t="shared" si="226"/>
        <v>0</v>
      </c>
      <c r="H959" s="35">
        <f t="shared" si="227"/>
        <v>2886.3</v>
      </c>
      <c r="I959" s="7">
        <f t="shared" si="226"/>
        <v>0</v>
      </c>
      <c r="J959" s="35">
        <f t="shared" si="225"/>
        <v>2886.3</v>
      </c>
      <c r="K959" s="7">
        <f t="shared" si="226"/>
        <v>0</v>
      </c>
      <c r="L959" s="35">
        <f t="shared" si="219"/>
        <v>2886.3</v>
      </c>
      <c r="M959" s="7">
        <f t="shared" si="226"/>
        <v>0</v>
      </c>
      <c r="N959" s="35">
        <f t="shared" si="220"/>
        <v>2886.3</v>
      </c>
      <c r="O959" s="7">
        <f t="shared" si="226"/>
        <v>0</v>
      </c>
      <c r="P959" s="35">
        <f t="shared" si="217"/>
        <v>2886.3</v>
      </c>
      <c r="Q959" s="7">
        <f t="shared" si="226"/>
        <v>-1220.2</v>
      </c>
      <c r="R959" s="35">
        <f t="shared" si="218"/>
        <v>1666.1000000000001</v>
      </c>
      <c r="S959" s="7">
        <f t="shared" si="226"/>
        <v>0</v>
      </c>
      <c r="T959" s="35">
        <f t="shared" si="212"/>
        <v>1666.1000000000001</v>
      </c>
    </row>
    <row r="960" spans="1:20">
      <c r="A960" s="61" t="str">
        <f ca="1">IF(ISERROR(MATCH(E960,Код_КВР,0)),"",INDIRECT(ADDRESS(MATCH(E960,Код_КВР,0)+1,2,,,"КВР")))</f>
        <v>Субсидии гражданам на приобретение жилья</v>
      </c>
      <c r="B960" s="45" t="s">
        <v>27</v>
      </c>
      <c r="C960" s="8" t="s">
        <v>188</v>
      </c>
      <c r="D960" s="8" t="s">
        <v>215</v>
      </c>
      <c r="E960" s="104">
        <v>322</v>
      </c>
      <c r="F960" s="7">
        <f>прил.6!G350</f>
        <v>2886.3</v>
      </c>
      <c r="G960" s="7">
        <f>прил.6!H350</f>
        <v>0</v>
      </c>
      <c r="H960" s="35">
        <f t="shared" si="227"/>
        <v>2886.3</v>
      </c>
      <c r="I960" s="7">
        <f>прил.6!J350</f>
        <v>0</v>
      </c>
      <c r="J960" s="35">
        <f t="shared" si="225"/>
        <v>2886.3</v>
      </c>
      <c r="K960" s="7">
        <f>прил.6!L350</f>
        <v>0</v>
      </c>
      <c r="L960" s="35">
        <f t="shared" si="219"/>
        <v>2886.3</v>
      </c>
      <c r="M960" s="7">
        <f>прил.6!N350</f>
        <v>0</v>
      </c>
      <c r="N960" s="35">
        <f t="shared" si="220"/>
        <v>2886.3</v>
      </c>
      <c r="O960" s="7">
        <f>прил.6!P350</f>
        <v>0</v>
      </c>
      <c r="P960" s="35">
        <f t="shared" si="217"/>
        <v>2886.3</v>
      </c>
      <c r="Q960" s="7">
        <f>прил.6!R350</f>
        <v>-1220.2</v>
      </c>
      <c r="R960" s="35">
        <f t="shared" si="218"/>
        <v>1666.1000000000001</v>
      </c>
      <c r="S960" s="7">
        <f>прил.6!T350</f>
        <v>0</v>
      </c>
      <c r="T960" s="35">
        <f t="shared" ref="T960:T1024" si="228">R960+S960</f>
        <v>1666.1000000000001</v>
      </c>
    </row>
    <row r="961" spans="1:20" ht="56.25" customHeight="1">
      <c r="A961" s="61" t="str">
        <f ca="1">IF(ISERROR(MATCH(B961,Код_КЦСР,0)),"",INDIRECT(ADDRESS(MATCH(B961,Код_КЦСР,0)+1,2,,,"КЦСР")))</f>
        <v>Мероприятия подпрограммы «Обеспечение жильем молодых семей» федеральной целевой программы «Жилище» на 2011-2015 годы за счет субсидий из федерального бюджета</v>
      </c>
      <c r="B961" s="45" t="s">
        <v>639</v>
      </c>
      <c r="C961" s="8"/>
      <c r="D961" s="1"/>
      <c r="E961" s="110"/>
      <c r="F961" s="7"/>
      <c r="G961" s="7"/>
      <c r="H961" s="35"/>
      <c r="I961" s="7"/>
      <c r="J961" s="35"/>
      <c r="K961" s="7"/>
      <c r="L961" s="35"/>
      <c r="M961" s="7"/>
      <c r="N961" s="35"/>
      <c r="O961" s="7"/>
      <c r="P961" s="35"/>
      <c r="Q961" s="7">
        <f>Q964</f>
        <v>804</v>
      </c>
      <c r="R961" s="35">
        <f t="shared" si="218"/>
        <v>804</v>
      </c>
      <c r="S961" s="7">
        <f>S964</f>
        <v>0</v>
      </c>
      <c r="T961" s="35">
        <f t="shared" si="228"/>
        <v>804</v>
      </c>
    </row>
    <row r="962" spans="1:20" ht="22.9" customHeight="1">
      <c r="A962" s="61" t="str">
        <f ca="1">IF(ISERROR(MATCH(C962,Код_Раздел,0)),"",INDIRECT(ADDRESS(MATCH(C962,Код_Раздел,0)+1,2,,,"Раздел")))</f>
        <v>Социальная политика</v>
      </c>
      <c r="B962" s="45" t="s">
        <v>639</v>
      </c>
      <c r="C962" s="8" t="s">
        <v>188</v>
      </c>
      <c r="D962" s="1"/>
      <c r="E962" s="126"/>
      <c r="F962" s="7"/>
      <c r="G962" s="7"/>
      <c r="H962" s="35"/>
      <c r="I962" s="7"/>
      <c r="J962" s="35"/>
      <c r="K962" s="7"/>
      <c r="L962" s="35"/>
      <c r="M962" s="7"/>
      <c r="N962" s="35"/>
      <c r="O962" s="7"/>
      <c r="P962" s="35"/>
      <c r="Q962" s="7">
        <f>Q964</f>
        <v>804</v>
      </c>
      <c r="R962" s="35">
        <f t="shared" si="218"/>
        <v>804</v>
      </c>
      <c r="S962" s="7">
        <f>S964</f>
        <v>0</v>
      </c>
      <c r="T962" s="35">
        <f t="shared" si="228"/>
        <v>804</v>
      </c>
    </row>
    <row r="963" spans="1:20" ht="22.9" customHeight="1">
      <c r="A963" s="12" t="s">
        <v>179</v>
      </c>
      <c r="B963" s="45" t="s">
        <v>639</v>
      </c>
      <c r="C963" s="8" t="s">
        <v>188</v>
      </c>
      <c r="D963" s="1" t="s">
        <v>215</v>
      </c>
      <c r="E963" s="153"/>
      <c r="F963" s="7"/>
      <c r="G963" s="7"/>
      <c r="H963" s="35"/>
      <c r="I963" s="7"/>
      <c r="J963" s="35"/>
      <c r="K963" s="7"/>
      <c r="L963" s="35"/>
      <c r="M963" s="7"/>
      <c r="N963" s="35"/>
      <c r="O963" s="7"/>
      <c r="P963" s="35"/>
      <c r="Q963" s="7"/>
      <c r="R963" s="35">
        <f>R964</f>
        <v>804</v>
      </c>
      <c r="S963" s="7"/>
      <c r="T963" s="35">
        <f t="shared" si="228"/>
        <v>804</v>
      </c>
    </row>
    <row r="964" spans="1:20" ht="18.75" customHeight="1">
      <c r="A964" s="61" t="str">
        <f ca="1">IF(ISERROR(MATCH(E964,Код_КВР,0)),"",INDIRECT(ADDRESS(MATCH(E964,Код_КВР,0)+1,2,,,"КВР")))</f>
        <v>Социальное обеспечение и иные выплаты населению</v>
      </c>
      <c r="B964" s="45" t="s">
        <v>639</v>
      </c>
      <c r="C964" s="8" t="s">
        <v>188</v>
      </c>
      <c r="D964" s="8" t="s">
        <v>215</v>
      </c>
      <c r="E964" s="110">
        <v>300</v>
      </c>
      <c r="F964" s="7"/>
      <c r="G964" s="7"/>
      <c r="H964" s="35"/>
      <c r="I964" s="7"/>
      <c r="J964" s="35"/>
      <c r="K964" s="7"/>
      <c r="L964" s="35"/>
      <c r="M964" s="7"/>
      <c r="N964" s="35"/>
      <c r="O964" s="7"/>
      <c r="P964" s="35"/>
      <c r="Q964" s="7">
        <f>Q965</f>
        <v>804</v>
      </c>
      <c r="R964" s="35">
        <f t="shared" si="218"/>
        <v>804</v>
      </c>
      <c r="S964" s="7">
        <f>S965</f>
        <v>0</v>
      </c>
      <c r="T964" s="35">
        <f t="shared" si="228"/>
        <v>804</v>
      </c>
    </row>
    <row r="965" spans="1:20" ht="33">
      <c r="A965" s="61" t="str">
        <f ca="1">IF(ISERROR(MATCH(E965,Код_КВР,0)),"",INDIRECT(ADDRESS(MATCH(E965,Код_КВР,0)+1,2,,,"КВР")))</f>
        <v>Социальные выплаты гражданам, кроме публичных нормативных социальных выплат</v>
      </c>
      <c r="B965" s="45" t="s">
        <v>639</v>
      </c>
      <c r="C965" s="8" t="s">
        <v>188</v>
      </c>
      <c r="D965" s="8" t="s">
        <v>215</v>
      </c>
      <c r="E965" s="110">
        <v>320</v>
      </c>
      <c r="F965" s="7"/>
      <c r="G965" s="7"/>
      <c r="H965" s="35"/>
      <c r="I965" s="7"/>
      <c r="J965" s="35"/>
      <c r="K965" s="7"/>
      <c r="L965" s="35"/>
      <c r="M965" s="7"/>
      <c r="N965" s="35"/>
      <c r="O965" s="7"/>
      <c r="P965" s="35"/>
      <c r="Q965" s="7">
        <f>Q966</f>
        <v>804</v>
      </c>
      <c r="R965" s="35">
        <f t="shared" si="218"/>
        <v>804</v>
      </c>
      <c r="S965" s="7">
        <f>S966</f>
        <v>0</v>
      </c>
      <c r="T965" s="35">
        <f t="shared" si="228"/>
        <v>804</v>
      </c>
    </row>
    <row r="966" spans="1:20" ht="26.25" customHeight="1">
      <c r="A966" s="61" t="str">
        <f ca="1">IF(ISERROR(MATCH(E966,Код_КВР,0)),"",INDIRECT(ADDRESS(MATCH(E966,Код_КВР,0)+1,2,,,"КВР")))</f>
        <v>Субсидии гражданам на приобретение жилья</v>
      </c>
      <c r="B966" s="45" t="s">
        <v>639</v>
      </c>
      <c r="C966" s="8" t="s">
        <v>188</v>
      </c>
      <c r="D966" s="8" t="s">
        <v>215</v>
      </c>
      <c r="E966" s="110">
        <v>322</v>
      </c>
      <c r="F966" s="7"/>
      <c r="G966" s="7"/>
      <c r="H966" s="35"/>
      <c r="I966" s="7"/>
      <c r="J966" s="35"/>
      <c r="K966" s="7"/>
      <c r="L966" s="35"/>
      <c r="M966" s="7"/>
      <c r="N966" s="35"/>
      <c r="O966" s="7"/>
      <c r="P966" s="35"/>
      <c r="Q966" s="7">
        <f>прил.6!R354</f>
        <v>804</v>
      </c>
      <c r="R966" s="35">
        <f t="shared" si="218"/>
        <v>804</v>
      </c>
      <c r="S966" s="7">
        <f>прил.6!T354</f>
        <v>0</v>
      </c>
      <c r="T966" s="35">
        <f t="shared" si="228"/>
        <v>804</v>
      </c>
    </row>
    <row r="967" spans="1:20" ht="141.75" customHeight="1">
      <c r="A967" s="61" t="str">
        <f ca="1">IF(ISERROR(MATCH(B967,Код_КЦСР,0)),"",INDIRECT(ADDRESS(MATCH(B967,Код_КЦСР,0)+1,2,,,"КЦСР")))</f>
        <v>Предоставление социальных выплат молодым семьям – участникам подпрограммы «Обеспечение жильем молодых семей» федеральной целевой программы «Жилище» на 2011-2015 годы и государственной программы «Обеспечение населения Вологодской области доступным жильем и формирование комфортной среды проживания на 2014-2020 годы» подпрограммы «Обеспечение жильем отдельных категорий граждан» за счет субсидий из областного бюджета</v>
      </c>
      <c r="B967" s="45" t="s">
        <v>419</v>
      </c>
      <c r="C967" s="8"/>
      <c r="D967" s="1"/>
      <c r="E967" s="104"/>
      <c r="F967" s="7">
        <f t="shared" si="226"/>
        <v>0</v>
      </c>
      <c r="G967" s="7">
        <f t="shared" si="226"/>
        <v>0</v>
      </c>
      <c r="H967" s="35">
        <f t="shared" si="227"/>
        <v>0</v>
      </c>
      <c r="I967" s="7">
        <f t="shared" si="226"/>
        <v>0</v>
      </c>
      <c r="J967" s="35">
        <f t="shared" si="225"/>
        <v>0</v>
      </c>
      <c r="K967" s="7">
        <f t="shared" si="226"/>
        <v>0</v>
      </c>
      <c r="L967" s="35">
        <f t="shared" si="219"/>
        <v>0</v>
      </c>
      <c r="M967" s="7">
        <f t="shared" si="226"/>
        <v>0</v>
      </c>
      <c r="N967" s="35">
        <f t="shared" si="220"/>
        <v>0</v>
      </c>
      <c r="O967" s="7">
        <f t="shared" si="226"/>
        <v>0</v>
      </c>
      <c r="P967" s="35">
        <f t="shared" si="217"/>
        <v>0</v>
      </c>
      <c r="Q967" s="7">
        <f t="shared" si="226"/>
        <v>920.2</v>
      </c>
      <c r="R967" s="35">
        <f t="shared" si="218"/>
        <v>920.2</v>
      </c>
      <c r="S967" s="7">
        <f t="shared" si="226"/>
        <v>0</v>
      </c>
      <c r="T967" s="35">
        <f t="shared" si="228"/>
        <v>920.2</v>
      </c>
    </row>
    <row r="968" spans="1:20">
      <c r="A968" s="61" t="str">
        <f ca="1">IF(ISERROR(MATCH(C968,Код_Раздел,0)),"",INDIRECT(ADDRESS(MATCH(C968,Код_Раздел,0)+1,2,,,"Раздел")))</f>
        <v>Социальная политика</v>
      </c>
      <c r="B968" s="45" t="s">
        <v>419</v>
      </c>
      <c r="C968" s="8" t="s">
        <v>188</v>
      </c>
      <c r="D968" s="1"/>
      <c r="E968" s="104"/>
      <c r="F968" s="7">
        <f t="shared" si="226"/>
        <v>0</v>
      </c>
      <c r="G968" s="7">
        <f t="shared" si="226"/>
        <v>0</v>
      </c>
      <c r="H968" s="35">
        <f t="shared" si="227"/>
        <v>0</v>
      </c>
      <c r="I968" s="7">
        <f t="shared" si="226"/>
        <v>0</v>
      </c>
      <c r="J968" s="35">
        <f t="shared" si="225"/>
        <v>0</v>
      </c>
      <c r="K968" s="7">
        <f t="shared" si="226"/>
        <v>0</v>
      </c>
      <c r="L968" s="35">
        <f t="shared" si="219"/>
        <v>0</v>
      </c>
      <c r="M968" s="7">
        <f t="shared" si="226"/>
        <v>0</v>
      </c>
      <c r="N968" s="35">
        <f t="shared" si="220"/>
        <v>0</v>
      </c>
      <c r="O968" s="7">
        <f t="shared" si="226"/>
        <v>0</v>
      </c>
      <c r="P968" s="35">
        <f t="shared" si="217"/>
        <v>0</v>
      </c>
      <c r="Q968" s="7">
        <f t="shared" si="226"/>
        <v>920.2</v>
      </c>
      <c r="R968" s="35">
        <f t="shared" si="218"/>
        <v>920.2</v>
      </c>
      <c r="S968" s="7">
        <f t="shared" si="226"/>
        <v>0</v>
      </c>
      <c r="T968" s="35">
        <f t="shared" si="228"/>
        <v>920.2</v>
      </c>
    </row>
    <row r="969" spans="1:20">
      <c r="A969" s="12" t="s">
        <v>179</v>
      </c>
      <c r="B969" s="45" t="s">
        <v>419</v>
      </c>
      <c r="C969" s="8" t="s">
        <v>188</v>
      </c>
      <c r="D969" s="8" t="s">
        <v>215</v>
      </c>
      <c r="E969" s="104"/>
      <c r="F969" s="7">
        <f t="shared" si="226"/>
        <v>0</v>
      </c>
      <c r="G969" s="7">
        <f t="shared" si="226"/>
        <v>0</v>
      </c>
      <c r="H969" s="35">
        <f t="shared" si="227"/>
        <v>0</v>
      </c>
      <c r="I969" s="7">
        <f t="shared" si="226"/>
        <v>0</v>
      </c>
      <c r="J969" s="35">
        <f t="shared" si="225"/>
        <v>0</v>
      </c>
      <c r="K969" s="7">
        <f t="shared" si="226"/>
        <v>0</v>
      </c>
      <c r="L969" s="35">
        <f t="shared" si="219"/>
        <v>0</v>
      </c>
      <c r="M969" s="7">
        <f t="shared" si="226"/>
        <v>0</v>
      </c>
      <c r="N969" s="35">
        <f t="shared" si="220"/>
        <v>0</v>
      </c>
      <c r="O969" s="7">
        <f t="shared" si="226"/>
        <v>0</v>
      </c>
      <c r="P969" s="35">
        <f t="shared" si="217"/>
        <v>0</v>
      </c>
      <c r="Q969" s="7">
        <f t="shared" si="226"/>
        <v>920.2</v>
      </c>
      <c r="R969" s="35">
        <f t="shared" si="218"/>
        <v>920.2</v>
      </c>
      <c r="S969" s="7">
        <f t="shared" si="226"/>
        <v>0</v>
      </c>
      <c r="T969" s="35">
        <f t="shared" si="228"/>
        <v>920.2</v>
      </c>
    </row>
    <row r="970" spans="1:20">
      <c r="A970" s="61" t="str">
        <f ca="1">IF(ISERROR(MATCH(E970,Код_КВР,0)),"",INDIRECT(ADDRESS(MATCH(E970,Код_КВР,0)+1,2,,,"КВР")))</f>
        <v>Социальное обеспечение и иные выплаты населению</v>
      </c>
      <c r="B970" s="45" t="s">
        <v>419</v>
      </c>
      <c r="C970" s="8" t="s">
        <v>188</v>
      </c>
      <c r="D970" s="8" t="s">
        <v>215</v>
      </c>
      <c r="E970" s="104">
        <v>300</v>
      </c>
      <c r="F970" s="7">
        <f t="shared" si="226"/>
        <v>0</v>
      </c>
      <c r="G970" s="7">
        <f t="shared" si="226"/>
        <v>0</v>
      </c>
      <c r="H970" s="35">
        <f t="shared" si="227"/>
        <v>0</v>
      </c>
      <c r="I970" s="7">
        <f t="shared" si="226"/>
        <v>0</v>
      </c>
      <c r="J970" s="35">
        <f t="shared" si="225"/>
        <v>0</v>
      </c>
      <c r="K970" s="7">
        <f t="shared" si="226"/>
        <v>0</v>
      </c>
      <c r="L970" s="35">
        <f t="shared" si="219"/>
        <v>0</v>
      </c>
      <c r="M970" s="7">
        <f t="shared" si="226"/>
        <v>0</v>
      </c>
      <c r="N970" s="35">
        <f t="shared" si="220"/>
        <v>0</v>
      </c>
      <c r="O970" s="7">
        <f t="shared" si="226"/>
        <v>0</v>
      </c>
      <c r="P970" s="35">
        <f t="shared" si="217"/>
        <v>0</v>
      </c>
      <c r="Q970" s="7">
        <f t="shared" si="226"/>
        <v>920.2</v>
      </c>
      <c r="R970" s="35">
        <f t="shared" si="218"/>
        <v>920.2</v>
      </c>
      <c r="S970" s="7">
        <f t="shared" si="226"/>
        <v>0</v>
      </c>
      <c r="T970" s="35">
        <f t="shared" si="228"/>
        <v>920.2</v>
      </c>
    </row>
    <row r="971" spans="1:20" ht="33">
      <c r="A971" s="61" t="str">
        <f ca="1">IF(ISERROR(MATCH(E971,Код_КВР,0)),"",INDIRECT(ADDRESS(MATCH(E971,Код_КВР,0)+1,2,,,"КВР")))</f>
        <v>Социальные выплаты гражданам, кроме публичных нормативных социальных выплат</v>
      </c>
      <c r="B971" s="45" t="s">
        <v>419</v>
      </c>
      <c r="C971" s="8" t="s">
        <v>188</v>
      </c>
      <c r="D971" s="8" t="s">
        <v>215</v>
      </c>
      <c r="E971" s="104">
        <v>320</v>
      </c>
      <c r="F971" s="7">
        <f t="shared" si="226"/>
        <v>0</v>
      </c>
      <c r="G971" s="7">
        <f t="shared" si="226"/>
        <v>0</v>
      </c>
      <c r="H971" s="35">
        <f t="shared" si="227"/>
        <v>0</v>
      </c>
      <c r="I971" s="7">
        <f t="shared" si="226"/>
        <v>0</v>
      </c>
      <c r="J971" s="35">
        <f t="shared" si="225"/>
        <v>0</v>
      </c>
      <c r="K971" s="7">
        <f t="shared" si="226"/>
        <v>0</v>
      </c>
      <c r="L971" s="35">
        <f t="shared" si="219"/>
        <v>0</v>
      </c>
      <c r="M971" s="7">
        <f t="shared" si="226"/>
        <v>0</v>
      </c>
      <c r="N971" s="35">
        <f t="shared" si="220"/>
        <v>0</v>
      </c>
      <c r="O971" s="7">
        <f t="shared" si="226"/>
        <v>0</v>
      </c>
      <c r="P971" s="35">
        <f t="shared" si="217"/>
        <v>0</v>
      </c>
      <c r="Q971" s="7">
        <f t="shared" si="226"/>
        <v>920.2</v>
      </c>
      <c r="R971" s="35">
        <f t="shared" si="218"/>
        <v>920.2</v>
      </c>
      <c r="S971" s="7">
        <f t="shared" si="226"/>
        <v>0</v>
      </c>
      <c r="T971" s="35">
        <f t="shared" si="228"/>
        <v>920.2</v>
      </c>
    </row>
    <row r="972" spans="1:20">
      <c r="A972" s="61" t="str">
        <f ca="1">IF(ISERROR(MATCH(E972,Код_КВР,0)),"",INDIRECT(ADDRESS(MATCH(E972,Код_КВР,0)+1,2,,,"КВР")))</f>
        <v>Субсидии гражданам на приобретение жилья</v>
      </c>
      <c r="B972" s="45" t="s">
        <v>419</v>
      </c>
      <c r="C972" s="8" t="s">
        <v>188</v>
      </c>
      <c r="D972" s="8" t="s">
        <v>215</v>
      </c>
      <c r="E972" s="104">
        <v>322</v>
      </c>
      <c r="F972" s="7">
        <f>прил.6!G358</f>
        <v>0</v>
      </c>
      <c r="G972" s="7">
        <f>прил.6!H358</f>
        <v>0</v>
      </c>
      <c r="H972" s="35">
        <f t="shared" si="227"/>
        <v>0</v>
      </c>
      <c r="I972" s="7">
        <f>прил.6!J358</f>
        <v>0</v>
      </c>
      <c r="J972" s="35">
        <f t="shared" si="225"/>
        <v>0</v>
      </c>
      <c r="K972" s="7">
        <f>прил.6!L358</f>
        <v>0</v>
      </c>
      <c r="L972" s="35">
        <f t="shared" si="219"/>
        <v>0</v>
      </c>
      <c r="M972" s="7">
        <f>прил.6!N358</f>
        <v>0</v>
      </c>
      <c r="N972" s="35">
        <f t="shared" si="220"/>
        <v>0</v>
      </c>
      <c r="O972" s="7">
        <f>прил.6!P358</f>
        <v>0</v>
      </c>
      <c r="P972" s="35">
        <f t="shared" si="217"/>
        <v>0</v>
      </c>
      <c r="Q972" s="7">
        <f>прил.6!R358</f>
        <v>920.2</v>
      </c>
      <c r="R972" s="35">
        <f t="shared" si="218"/>
        <v>920.2</v>
      </c>
      <c r="S972" s="7">
        <f>прил.6!T358</f>
        <v>0</v>
      </c>
      <c r="T972" s="35">
        <f t="shared" si="228"/>
        <v>920.2</v>
      </c>
    </row>
    <row r="973" spans="1:20" ht="33">
      <c r="A973" s="61" t="str">
        <f ca="1">IF(ISERROR(MATCH(B973,Код_КЦСР,0)),"",INDIRECT(ADDRESS(MATCH(B973,Код_КЦСР,0)+1,2,,,"КЦСР")))</f>
        <v>Оказание социальной помощи работникам бюджетных учреждений здравоохранения при приобретении жилья по ипотечному кредиту</v>
      </c>
      <c r="B973" s="45" t="s">
        <v>29</v>
      </c>
      <c r="C973" s="8"/>
      <c r="D973" s="1"/>
      <c r="E973" s="104"/>
      <c r="F973" s="7">
        <f t="shared" ref="F973:S978" si="229">F974</f>
        <v>9169.7999999999993</v>
      </c>
      <c r="G973" s="7">
        <f t="shared" si="229"/>
        <v>0</v>
      </c>
      <c r="H973" s="35">
        <f t="shared" si="227"/>
        <v>9169.7999999999993</v>
      </c>
      <c r="I973" s="7">
        <f t="shared" si="229"/>
        <v>0</v>
      </c>
      <c r="J973" s="35">
        <f t="shared" si="225"/>
        <v>9169.7999999999993</v>
      </c>
      <c r="K973" s="7">
        <f t="shared" si="229"/>
        <v>0</v>
      </c>
      <c r="L973" s="35">
        <f t="shared" si="219"/>
        <v>9169.7999999999993</v>
      </c>
      <c r="M973" s="7">
        <f t="shared" si="229"/>
        <v>0</v>
      </c>
      <c r="N973" s="35">
        <f t="shared" si="220"/>
        <v>9169.7999999999993</v>
      </c>
      <c r="O973" s="7">
        <f t="shared" si="229"/>
        <v>0</v>
      </c>
      <c r="P973" s="35">
        <f t="shared" si="217"/>
        <v>9169.7999999999993</v>
      </c>
      <c r="Q973" s="7">
        <f t="shared" si="229"/>
        <v>-6634.6</v>
      </c>
      <c r="R973" s="35">
        <f t="shared" si="218"/>
        <v>2535.1999999999989</v>
      </c>
      <c r="S973" s="7">
        <f t="shared" si="229"/>
        <v>0</v>
      </c>
      <c r="T973" s="35">
        <f t="shared" si="228"/>
        <v>2535.1999999999989</v>
      </c>
    </row>
    <row r="974" spans="1:20" ht="33">
      <c r="A974" s="61" t="str">
        <f ca="1">IF(ISERROR(MATCH(B974,Код_КЦСР,0)),"",INDIRECT(ADDRESS(MATCH(B974,Код_КЦСР,0)+1,2,,,"КЦСР")))</f>
        <v>Предоставление единовременных и ежемесячных социальных выплат работникам бюджетных учреждений здравоохранения</v>
      </c>
      <c r="B974" s="45" t="s">
        <v>31</v>
      </c>
      <c r="C974" s="8"/>
      <c r="D974" s="1"/>
      <c r="E974" s="104"/>
      <c r="F974" s="7">
        <f t="shared" si="229"/>
        <v>9169.7999999999993</v>
      </c>
      <c r="G974" s="7">
        <f t="shared" si="229"/>
        <v>0</v>
      </c>
      <c r="H974" s="35">
        <f t="shared" si="227"/>
        <v>9169.7999999999993</v>
      </c>
      <c r="I974" s="7">
        <f t="shared" si="229"/>
        <v>0</v>
      </c>
      <c r="J974" s="35">
        <f t="shared" si="225"/>
        <v>9169.7999999999993</v>
      </c>
      <c r="K974" s="7">
        <f t="shared" si="229"/>
        <v>0</v>
      </c>
      <c r="L974" s="35">
        <f t="shared" si="219"/>
        <v>9169.7999999999993</v>
      </c>
      <c r="M974" s="7">
        <f t="shared" si="229"/>
        <v>0</v>
      </c>
      <c r="N974" s="35">
        <f t="shared" si="220"/>
        <v>9169.7999999999993</v>
      </c>
      <c r="O974" s="7">
        <f t="shared" si="229"/>
        <v>0</v>
      </c>
      <c r="P974" s="35">
        <f t="shared" si="217"/>
        <v>9169.7999999999993</v>
      </c>
      <c r="Q974" s="7">
        <f t="shared" si="229"/>
        <v>-6634.6</v>
      </c>
      <c r="R974" s="35">
        <f t="shared" si="218"/>
        <v>2535.1999999999989</v>
      </c>
      <c r="S974" s="7">
        <f t="shared" si="229"/>
        <v>0</v>
      </c>
      <c r="T974" s="35">
        <f t="shared" si="228"/>
        <v>2535.1999999999989</v>
      </c>
    </row>
    <row r="975" spans="1:20">
      <c r="A975" s="61" t="str">
        <f ca="1">IF(ISERROR(MATCH(C975,Код_Раздел,0)),"",INDIRECT(ADDRESS(MATCH(C975,Код_Раздел,0)+1,2,,,"Раздел")))</f>
        <v>Социальная политика</v>
      </c>
      <c r="B975" s="45" t="s">
        <v>31</v>
      </c>
      <c r="C975" s="8" t="s">
        <v>188</v>
      </c>
      <c r="D975" s="1"/>
      <c r="E975" s="104"/>
      <c r="F975" s="7">
        <f t="shared" si="229"/>
        <v>9169.7999999999993</v>
      </c>
      <c r="G975" s="7">
        <f t="shared" si="229"/>
        <v>0</v>
      </c>
      <c r="H975" s="35">
        <f t="shared" si="227"/>
        <v>9169.7999999999993</v>
      </c>
      <c r="I975" s="7">
        <f t="shared" si="229"/>
        <v>0</v>
      </c>
      <c r="J975" s="35">
        <f t="shared" si="225"/>
        <v>9169.7999999999993</v>
      </c>
      <c r="K975" s="7">
        <f t="shared" si="229"/>
        <v>0</v>
      </c>
      <c r="L975" s="35">
        <f t="shared" si="219"/>
        <v>9169.7999999999993</v>
      </c>
      <c r="M975" s="7">
        <f t="shared" si="229"/>
        <v>0</v>
      </c>
      <c r="N975" s="35">
        <f t="shared" si="220"/>
        <v>9169.7999999999993</v>
      </c>
      <c r="O975" s="7">
        <f t="shared" si="229"/>
        <v>0</v>
      </c>
      <c r="P975" s="35">
        <f t="shared" si="217"/>
        <v>9169.7999999999993</v>
      </c>
      <c r="Q975" s="7">
        <f t="shared" si="229"/>
        <v>-6634.6</v>
      </c>
      <c r="R975" s="35">
        <f t="shared" si="218"/>
        <v>2535.1999999999989</v>
      </c>
      <c r="S975" s="7">
        <f t="shared" si="229"/>
        <v>0</v>
      </c>
      <c r="T975" s="35">
        <f t="shared" si="228"/>
        <v>2535.1999999999989</v>
      </c>
    </row>
    <row r="976" spans="1:20">
      <c r="A976" s="12" t="s">
        <v>179</v>
      </c>
      <c r="B976" s="45" t="s">
        <v>31</v>
      </c>
      <c r="C976" s="8" t="s">
        <v>188</v>
      </c>
      <c r="D976" s="8" t="s">
        <v>215</v>
      </c>
      <c r="E976" s="104"/>
      <c r="F976" s="7">
        <f t="shared" si="229"/>
        <v>9169.7999999999993</v>
      </c>
      <c r="G976" s="7">
        <f t="shared" si="229"/>
        <v>0</v>
      </c>
      <c r="H976" s="35">
        <f t="shared" si="227"/>
        <v>9169.7999999999993</v>
      </c>
      <c r="I976" s="7">
        <f t="shared" si="229"/>
        <v>0</v>
      </c>
      <c r="J976" s="35">
        <f t="shared" si="225"/>
        <v>9169.7999999999993</v>
      </c>
      <c r="K976" s="7">
        <f t="shared" si="229"/>
        <v>0</v>
      </c>
      <c r="L976" s="35">
        <f t="shared" si="219"/>
        <v>9169.7999999999993</v>
      </c>
      <c r="M976" s="7">
        <f t="shared" si="229"/>
        <v>0</v>
      </c>
      <c r="N976" s="35">
        <f t="shared" si="220"/>
        <v>9169.7999999999993</v>
      </c>
      <c r="O976" s="7">
        <f t="shared" si="229"/>
        <v>0</v>
      </c>
      <c r="P976" s="35">
        <f t="shared" si="217"/>
        <v>9169.7999999999993</v>
      </c>
      <c r="Q976" s="7">
        <f t="shared" si="229"/>
        <v>-6634.6</v>
      </c>
      <c r="R976" s="35">
        <f t="shared" si="218"/>
        <v>2535.1999999999989</v>
      </c>
      <c r="S976" s="7">
        <f t="shared" si="229"/>
        <v>0</v>
      </c>
      <c r="T976" s="35">
        <f t="shared" si="228"/>
        <v>2535.1999999999989</v>
      </c>
    </row>
    <row r="977" spans="1:20">
      <c r="A977" s="61" t="str">
        <f ca="1">IF(ISERROR(MATCH(E977,Код_КВР,0)),"",INDIRECT(ADDRESS(MATCH(E977,Код_КВР,0)+1,2,,,"КВР")))</f>
        <v>Социальное обеспечение и иные выплаты населению</v>
      </c>
      <c r="B977" s="45" t="s">
        <v>31</v>
      </c>
      <c r="C977" s="8" t="s">
        <v>188</v>
      </c>
      <c r="D977" s="8" t="s">
        <v>215</v>
      </c>
      <c r="E977" s="104">
        <v>300</v>
      </c>
      <c r="F977" s="7">
        <f t="shared" si="229"/>
        <v>9169.7999999999993</v>
      </c>
      <c r="G977" s="7">
        <f t="shared" si="229"/>
        <v>0</v>
      </c>
      <c r="H977" s="35">
        <f t="shared" si="227"/>
        <v>9169.7999999999993</v>
      </c>
      <c r="I977" s="7">
        <f t="shared" si="229"/>
        <v>0</v>
      </c>
      <c r="J977" s="35">
        <f t="shared" si="225"/>
        <v>9169.7999999999993</v>
      </c>
      <c r="K977" s="7">
        <f t="shared" si="229"/>
        <v>0</v>
      </c>
      <c r="L977" s="35">
        <f t="shared" si="219"/>
        <v>9169.7999999999993</v>
      </c>
      <c r="M977" s="7">
        <f t="shared" si="229"/>
        <v>0</v>
      </c>
      <c r="N977" s="35">
        <f t="shared" si="220"/>
        <v>9169.7999999999993</v>
      </c>
      <c r="O977" s="7">
        <f t="shared" si="229"/>
        <v>0</v>
      </c>
      <c r="P977" s="35">
        <f t="shared" si="217"/>
        <v>9169.7999999999993</v>
      </c>
      <c r="Q977" s="7">
        <f t="shared" si="229"/>
        <v>-6634.6</v>
      </c>
      <c r="R977" s="35">
        <f t="shared" si="218"/>
        <v>2535.1999999999989</v>
      </c>
      <c r="S977" s="7">
        <f t="shared" si="229"/>
        <v>0</v>
      </c>
      <c r="T977" s="35">
        <f t="shared" si="228"/>
        <v>2535.1999999999989</v>
      </c>
    </row>
    <row r="978" spans="1:20" ht="33">
      <c r="A978" s="61" t="str">
        <f ca="1">IF(ISERROR(MATCH(E978,Код_КВР,0)),"",INDIRECT(ADDRESS(MATCH(E978,Код_КВР,0)+1,2,,,"КВР")))</f>
        <v>Социальные выплаты гражданам, кроме публичных нормативных социальных выплат</v>
      </c>
      <c r="B978" s="45" t="s">
        <v>31</v>
      </c>
      <c r="C978" s="8" t="s">
        <v>188</v>
      </c>
      <c r="D978" s="8" t="s">
        <v>215</v>
      </c>
      <c r="E978" s="104">
        <v>320</v>
      </c>
      <c r="F978" s="7">
        <f t="shared" si="229"/>
        <v>9169.7999999999993</v>
      </c>
      <c r="G978" s="7">
        <f t="shared" si="229"/>
        <v>0</v>
      </c>
      <c r="H978" s="35">
        <f t="shared" si="227"/>
        <v>9169.7999999999993</v>
      </c>
      <c r="I978" s="7">
        <f t="shared" si="229"/>
        <v>0</v>
      </c>
      <c r="J978" s="35">
        <f t="shared" si="225"/>
        <v>9169.7999999999993</v>
      </c>
      <c r="K978" s="7">
        <f t="shared" si="229"/>
        <v>0</v>
      </c>
      <c r="L978" s="35">
        <f t="shared" si="219"/>
        <v>9169.7999999999993</v>
      </c>
      <c r="M978" s="7">
        <f t="shared" si="229"/>
        <v>0</v>
      </c>
      <c r="N978" s="35">
        <f t="shared" si="220"/>
        <v>9169.7999999999993</v>
      </c>
      <c r="O978" s="7">
        <f t="shared" si="229"/>
        <v>0</v>
      </c>
      <c r="P978" s="35">
        <f t="shared" si="217"/>
        <v>9169.7999999999993</v>
      </c>
      <c r="Q978" s="7">
        <f t="shared" si="229"/>
        <v>-6634.6</v>
      </c>
      <c r="R978" s="35">
        <f t="shared" si="218"/>
        <v>2535.1999999999989</v>
      </c>
      <c r="S978" s="7">
        <f t="shared" si="229"/>
        <v>0</v>
      </c>
      <c r="T978" s="35">
        <f t="shared" si="228"/>
        <v>2535.1999999999989</v>
      </c>
    </row>
    <row r="979" spans="1:20" ht="33">
      <c r="A979" s="61" t="str">
        <f ca="1">IF(ISERROR(MATCH(E979,Код_КВР,0)),"",INDIRECT(ADDRESS(MATCH(E979,Код_КВР,0)+1,2,,,"КВР")))</f>
        <v>Пособия, компенсации и иные социальные выплаты гражданам, кроме публичных нормативных обязательств</v>
      </c>
      <c r="B979" s="45" t="s">
        <v>31</v>
      </c>
      <c r="C979" s="8" t="s">
        <v>188</v>
      </c>
      <c r="D979" s="8" t="s">
        <v>215</v>
      </c>
      <c r="E979" s="104">
        <v>321</v>
      </c>
      <c r="F979" s="7">
        <f>прил.6!G363</f>
        <v>9169.7999999999993</v>
      </c>
      <c r="G979" s="7">
        <f>прил.6!H363</f>
        <v>0</v>
      </c>
      <c r="H979" s="35">
        <f t="shared" si="227"/>
        <v>9169.7999999999993</v>
      </c>
      <c r="I979" s="7">
        <f>прил.6!J363</f>
        <v>0</v>
      </c>
      <c r="J979" s="35">
        <f t="shared" si="225"/>
        <v>9169.7999999999993</v>
      </c>
      <c r="K979" s="7">
        <f>прил.6!L363</f>
        <v>0</v>
      </c>
      <c r="L979" s="35">
        <f t="shared" si="219"/>
        <v>9169.7999999999993</v>
      </c>
      <c r="M979" s="7">
        <f>прил.6!N363</f>
        <v>0</v>
      </c>
      <c r="N979" s="35">
        <f t="shared" si="220"/>
        <v>9169.7999999999993</v>
      </c>
      <c r="O979" s="7">
        <f>прил.6!P363</f>
        <v>0</v>
      </c>
      <c r="P979" s="35">
        <f t="shared" si="217"/>
        <v>9169.7999999999993</v>
      </c>
      <c r="Q979" s="7">
        <f>прил.6!R363</f>
        <v>-6634.6</v>
      </c>
      <c r="R979" s="35">
        <f t="shared" si="218"/>
        <v>2535.1999999999989</v>
      </c>
      <c r="S979" s="7">
        <f>прил.6!T363</f>
        <v>0</v>
      </c>
      <c r="T979" s="35">
        <f t="shared" si="228"/>
        <v>2535.1999999999989</v>
      </c>
    </row>
    <row r="980" spans="1:20" ht="52.7" customHeight="1">
      <c r="A980" s="61" t="str">
        <f ca="1">IF(ISERROR(MATCH(B980,Код_КЦСР,0)),"",INDIRECT(ADDRESS(MATCH(B980,Код_КЦСР,0)+1,2,,,"КЦСР")))</f>
        <v>Муниципальная программа «Энергосбережение и повышение энергетической эффективности на территории муниципального образования «Город Череповец» на 2014-2018 годы</v>
      </c>
      <c r="B980" s="45" t="s">
        <v>33</v>
      </c>
      <c r="C980" s="8"/>
      <c r="D980" s="1"/>
      <c r="E980" s="104"/>
      <c r="F980" s="7">
        <f t="shared" ref="F980:S986" si="230">F981</f>
        <v>1500</v>
      </c>
      <c r="G980" s="7">
        <f t="shared" si="230"/>
        <v>0</v>
      </c>
      <c r="H980" s="35">
        <f t="shared" si="227"/>
        <v>1500</v>
      </c>
      <c r="I980" s="7">
        <f t="shared" si="230"/>
        <v>0</v>
      </c>
      <c r="J980" s="35">
        <f t="shared" si="225"/>
        <v>1500</v>
      </c>
      <c r="K980" s="7">
        <f t="shared" si="230"/>
        <v>-270.39999999999998</v>
      </c>
      <c r="L980" s="35">
        <f t="shared" si="219"/>
        <v>1229.5999999999999</v>
      </c>
      <c r="M980" s="7">
        <f t="shared" si="230"/>
        <v>0</v>
      </c>
      <c r="N980" s="35">
        <f t="shared" si="220"/>
        <v>1229.5999999999999</v>
      </c>
      <c r="O980" s="7">
        <f t="shared" si="230"/>
        <v>0</v>
      </c>
      <c r="P980" s="35">
        <f t="shared" si="217"/>
        <v>1229.5999999999999</v>
      </c>
      <c r="Q980" s="7">
        <f t="shared" si="230"/>
        <v>-336.9</v>
      </c>
      <c r="R980" s="35">
        <f t="shared" si="218"/>
        <v>892.69999999999993</v>
      </c>
      <c r="S980" s="7">
        <f t="shared" si="230"/>
        <v>0</v>
      </c>
      <c r="T980" s="35">
        <f t="shared" si="228"/>
        <v>892.69999999999993</v>
      </c>
    </row>
    <row r="981" spans="1:20" ht="33">
      <c r="A981" s="61" t="str">
        <f ca="1">IF(ISERROR(MATCH(B981,Код_КЦСР,0)),"",INDIRECT(ADDRESS(MATCH(B981,Код_КЦСР,0)+1,2,,,"КЦСР")))</f>
        <v>Энергосбережение и повышение энергетической эффективности в жилищном фонде</v>
      </c>
      <c r="B981" s="45" t="s">
        <v>34</v>
      </c>
      <c r="C981" s="8"/>
      <c r="D981" s="1"/>
      <c r="E981" s="104"/>
      <c r="F981" s="7">
        <f t="shared" si="230"/>
        <v>1500</v>
      </c>
      <c r="G981" s="7">
        <f t="shared" si="230"/>
        <v>0</v>
      </c>
      <c r="H981" s="35">
        <f t="shared" si="227"/>
        <v>1500</v>
      </c>
      <c r="I981" s="7">
        <f t="shared" si="230"/>
        <v>0</v>
      </c>
      <c r="J981" s="35">
        <f t="shared" si="225"/>
        <v>1500</v>
      </c>
      <c r="K981" s="7">
        <f t="shared" si="230"/>
        <v>-270.39999999999998</v>
      </c>
      <c r="L981" s="35">
        <f t="shared" si="219"/>
        <v>1229.5999999999999</v>
      </c>
      <c r="M981" s="7">
        <f t="shared" si="230"/>
        <v>0</v>
      </c>
      <c r="N981" s="35">
        <f t="shared" si="220"/>
        <v>1229.5999999999999</v>
      </c>
      <c r="O981" s="7">
        <f t="shared" si="230"/>
        <v>0</v>
      </c>
      <c r="P981" s="35">
        <f t="shared" si="217"/>
        <v>1229.5999999999999</v>
      </c>
      <c r="Q981" s="7">
        <f t="shared" si="230"/>
        <v>-336.9</v>
      </c>
      <c r="R981" s="35">
        <f t="shared" si="218"/>
        <v>892.69999999999993</v>
      </c>
      <c r="S981" s="7">
        <f t="shared" si="230"/>
        <v>0</v>
      </c>
      <c r="T981" s="35">
        <f t="shared" si="228"/>
        <v>892.69999999999993</v>
      </c>
    </row>
    <row r="982" spans="1:20" ht="49.5">
      <c r="A982" s="61" t="str">
        <f ca="1">IF(ISERROR(MATCH(B982,Код_КЦСР,0)),"",INDIRECT(ADDRESS(MATCH(B982,Код_КЦСР,0)+1,2,,,"КЦСР")))</f>
        <v>Оснащение индивидуальными приборами учета коммунальных ресурсов жилых помещений, относящихся к муниципальному жилому фонду</v>
      </c>
      <c r="B982" s="45" t="s">
        <v>36</v>
      </c>
      <c r="C982" s="8"/>
      <c r="D982" s="1"/>
      <c r="E982" s="104"/>
      <c r="F982" s="7">
        <f t="shared" si="230"/>
        <v>1500</v>
      </c>
      <c r="G982" s="7">
        <f t="shared" si="230"/>
        <v>0</v>
      </c>
      <c r="H982" s="35">
        <f t="shared" si="227"/>
        <v>1500</v>
      </c>
      <c r="I982" s="7">
        <f t="shared" si="230"/>
        <v>0</v>
      </c>
      <c r="J982" s="35">
        <f t="shared" si="225"/>
        <v>1500</v>
      </c>
      <c r="K982" s="7">
        <f t="shared" si="230"/>
        <v>-270.39999999999998</v>
      </c>
      <c r="L982" s="35">
        <f t="shared" si="219"/>
        <v>1229.5999999999999</v>
      </c>
      <c r="M982" s="7">
        <f t="shared" si="230"/>
        <v>0</v>
      </c>
      <c r="N982" s="35">
        <f t="shared" si="220"/>
        <v>1229.5999999999999</v>
      </c>
      <c r="O982" s="7">
        <f t="shared" si="230"/>
        <v>0</v>
      </c>
      <c r="P982" s="35">
        <f t="shared" si="217"/>
        <v>1229.5999999999999</v>
      </c>
      <c r="Q982" s="7">
        <f t="shared" si="230"/>
        <v>-336.9</v>
      </c>
      <c r="R982" s="35">
        <f t="shared" si="218"/>
        <v>892.69999999999993</v>
      </c>
      <c r="S982" s="7">
        <f t="shared" si="230"/>
        <v>0</v>
      </c>
      <c r="T982" s="35">
        <f t="shared" si="228"/>
        <v>892.69999999999993</v>
      </c>
    </row>
    <row r="983" spans="1:20">
      <c r="A983" s="61" t="str">
        <f ca="1">IF(ISERROR(MATCH(C983,Код_Раздел,0)),"",INDIRECT(ADDRESS(MATCH(C983,Код_Раздел,0)+1,2,,,"Раздел")))</f>
        <v>Жилищно-коммунальное хозяйство</v>
      </c>
      <c r="B983" s="45" t="s">
        <v>36</v>
      </c>
      <c r="C983" s="8" t="s">
        <v>221</v>
      </c>
      <c r="D983" s="1"/>
      <c r="E983" s="104"/>
      <c r="F983" s="7">
        <f t="shared" si="230"/>
        <v>1500</v>
      </c>
      <c r="G983" s="7">
        <f t="shared" si="230"/>
        <v>0</v>
      </c>
      <c r="H983" s="35">
        <f t="shared" si="227"/>
        <v>1500</v>
      </c>
      <c r="I983" s="7">
        <f t="shared" si="230"/>
        <v>0</v>
      </c>
      <c r="J983" s="35">
        <f t="shared" si="225"/>
        <v>1500</v>
      </c>
      <c r="K983" s="7">
        <f t="shared" si="230"/>
        <v>-270.39999999999998</v>
      </c>
      <c r="L983" s="35">
        <f t="shared" si="219"/>
        <v>1229.5999999999999</v>
      </c>
      <c r="M983" s="7">
        <f t="shared" si="230"/>
        <v>0</v>
      </c>
      <c r="N983" s="35">
        <f t="shared" si="220"/>
        <v>1229.5999999999999</v>
      </c>
      <c r="O983" s="7">
        <f t="shared" si="230"/>
        <v>0</v>
      </c>
      <c r="P983" s="35">
        <f t="shared" si="217"/>
        <v>1229.5999999999999</v>
      </c>
      <c r="Q983" s="7">
        <f t="shared" si="230"/>
        <v>-336.9</v>
      </c>
      <c r="R983" s="35">
        <f t="shared" si="218"/>
        <v>892.69999999999993</v>
      </c>
      <c r="S983" s="7">
        <f t="shared" si="230"/>
        <v>0</v>
      </c>
      <c r="T983" s="35">
        <f t="shared" si="228"/>
        <v>892.69999999999993</v>
      </c>
    </row>
    <row r="984" spans="1:20">
      <c r="A984" s="12" t="s">
        <v>226</v>
      </c>
      <c r="B984" s="45" t="s">
        <v>36</v>
      </c>
      <c r="C984" s="8" t="s">
        <v>221</v>
      </c>
      <c r="D984" s="8" t="s">
        <v>213</v>
      </c>
      <c r="E984" s="104"/>
      <c r="F984" s="7">
        <f t="shared" si="230"/>
        <v>1500</v>
      </c>
      <c r="G984" s="7">
        <f t="shared" si="230"/>
        <v>0</v>
      </c>
      <c r="H984" s="35">
        <f t="shared" si="227"/>
        <v>1500</v>
      </c>
      <c r="I984" s="7">
        <f t="shared" si="230"/>
        <v>0</v>
      </c>
      <c r="J984" s="35">
        <f t="shared" si="225"/>
        <v>1500</v>
      </c>
      <c r="K984" s="7">
        <f t="shared" si="230"/>
        <v>-270.39999999999998</v>
      </c>
      <c r="L984" s="35">
        <f t="shared" si="219"/>
        <v>1229.5999999999999</v>
      </c>
      <c r="M984" s="7">
        <f t="shared" si="230"/>
        <v>0</v>
      </c>
      <c r="N984" s="35">
        <f t="shared" si="220"/>
        <v>1229.5999999999999</v>
      </c>
      <c r="O984" s="7">
        <f t="shared" si="230"/>
        <v>0</v>
      </c>
      <c r="P984" s="35">
        <f t="shared" si="217"/>
        <v>1229.5999999999999</v>
      </c>
      <c r="Q984" s="7">
        <f t="shared" si="230"/>
        <v>-336.9</v>
      </c>
      <c r="R984" s="35">
        <f t="shared" si="218"/>
        <v>892.69999999999993</v>
      </c>
      <c r="S984" s="7">
        <f t="shared" si="230"/>
        <v>0</v>
      </c>
      <c r="T984" s="35">
        <f t="shared" si="228"/>
        <v>892.69999999999993</v>
      </c>
    </row>
    <row r="985" spans="1:20">
      <c r="A985" s="61" t="str">
        <f ca="1">IF(ISERROR(MATCH(E985,Код_КВР,0)),"",INDIRECT(ADDRESS(MATCH(E985,Код_КВР,0)+1,2,,,"КВР")))</f>
        <v>Закупка товаров, работ и услуг для муниципальных нужд</v>
      </c>
      <c r="B985" s="45" t="s">
        <v>36</v>
      </c>
      <c r="C985" s="8" t="s">
        <v>221</v>
      </c>
      <c r="D985" s="8" t="s">
        <v>213</v>
      </c>
      <c r="E985" s="104">
        <v>200</v>
      </c>
      <c r="F985" s="7">
        <f t="shared" si="230"/>
        <v>1500</v>
      </c>
      <c r="G985" s="7">
        <f t="shared" si="230"/>
        <v>0</v>
      </c>
      <c r="H985" s="35">
        <f t="shared" si="227"/>
        <v>1500</v>
      </c>
      <c r="I985" s="7">
        <f t="shared" si="230"/>
        <v>0</v>
      </c>
      <c r="J985" s="35">
        <f t="shared" si="225"/>
        <v>1500</v>
      </c>
      <c r="K985" s="7">
        <f t="shared" si="230"/>
        <v>-270.39999999999998</v>
      </c>
      <c r="L985" s="35">
        <f t="shared" si="219"/>
        <v>1229.5999999999999</v>
      </c>
      <c r="M985" s="7">
        <f t="shared" si="230"/>
        <v>0</v>
      </c>
      <c r="N985" s="35">
        <f t="shared" si="220"/>
        <v>1229.5999999999999</v>
      </c>
      <c r="O985" s="7">
        <f t="shared" si="230"/>
        <v>0</v>
      </c>
      <c r="P985" s="35">
        <f t="shared" si="217"/>
        <v>1229.5999999999999</v>
      </c>
      <c r="Q985" s="7">
        <f t="shared" si="230"/>
        <v>-336.9</v>
      </c>
      <c r="R985" s="35">
        <f t="shared" si="218"/>
        <v>892.69999999999993</v>
      </c>
      <c r="S985" s="7">
        <f t="shared" si="230"/>
        <v>0</v>
      </c>
      <c r="T985" s="35">
        <f t="shared" si="228"/>
        <v>892.69999999999993</v>
      </c>
    </row>
    <row r="986" spans="1:20" ht="33">
      <c r="A986" s="61" t="str">
        <f ca="1">IF(ISERROR(MATCH(E986,Код_КВР,0)),"",INDIRECT(ADDRESS(MATCH(E986,Код_КВР,0)+1,2,,,"КВР")))</f>
        <v>Иные закупки товаров, работ и услуг для обеспечения муниципальных нужд</v>
      </c>
      <c r="B986" s="45" t="s">
        <v>36</v>
      </c>
      <c r="C986" s="8" t="s">
        <v>221</v>
      </c>
      <c r="D986" s="8" t="s">
        <v>213</v>
      </c>
      <c r="E986" s="104">
        <v>240</v>
      </c>
      <c r="F986" s="7">
        <f t="shared" si="230"/>
        <v>1500</v>
      </c>
      <c r="G986" s="7">
        <f t="shared" si="230"/>
        <v>0</v>
      </c>
      <c r="H986" s="35">
        <f t="shared" si="227"/>
        <v>1500</v>
      </c>
      <c r="I986" s="7">
        <f t="shared" si="230"/>
        <v>0</v>
      </c>
      <c r="J986" s="35">
        <f t="shared" si="225"/>
        <v>1500</v>
      </c>
      <c r="K986" s="7">
        <f t="shared" si="230"/>
        <v>-270.39999999999998</v>
      </c>
      <c r="L986" s="35">
        <f t="shared" si="219"/>
        <v>1229.5999999999999</v>
      </c>
      <c r="M986" s="7">
        <f t="shared" si="230"/>
        <v>0</v>
      </c>
      <c r="N986" s="35">
        <f t="shared" si="220"/>
        <v>1229.5999999999999</v>
      </c>
      <c r="O986" s="7">
        <f t="shared" si="230"/>
        <v>0</v>
      </c>
      <c r="P986" s="35">
        <f t="shared" si="217"/>
        <v>1229.5999999999999</v>
      </c>
      <c r="Q986" s="7">
        <f t="shared" si="230"/>
        <v>-336.9</v>
      </c>
      <c r="R986" s="35">
        <f t="shared" si="218"/>
        <v>892.69999999999993</v>
      </c>
      <c r="S986" s="7">
        <f t="shared" si="230"/>
        <v>0</v>
      </c>
      <c r="T986" s="35">
        <f t="shared" si="228"/>
        <v>892.69999999999993</v>
      </c>
    </row>
    <row r="987" spans="1:20" ht="33">
      <c r="A987" s="61" t="str">
        <f ca="1">IF(ISERROR(MATCH(E987,Код_КВР,0)),"",INDIRECT(ADDRESS(MATCH(E987,Код_КВР,0)+1,2,,,"КВР")))</f>
        <v xml:space="preserve">Прочая закупка товаров, работ и услуг для обеспечения муниципальных нужд         </v>
      </c>
      <c r="B987" s="45" t="s">
        <v>36</v>
      </c>
      <c r="C987" s="8" t="s">
        <v>221</v>
      </c>
      <c r="D987" s="8" t="s">
        <v>213</v>
      </c>
      <c r="E987" s="104">
        <v>244</v>
      </c>
      <c r="F987" s="7">
        <f>прил.6!G484</f>
        <v>1500</v>
      </c>
      <c r="G987" s="7">
        <f>прил.6!H484</f>
        <v>0</v>
      </c>
      <c r="H987" s="35">
        <f t="shared" si="227"/>
        <v>1500</v>
      </c>
      <c r="I987" s="7">
        <f>прил.6!J484</f>
        <v>0</v>
      </c>
      <c r="J987" s="35">
        <f t="shared" si="225"/>
        <v>1500</v>
      </c>
      <c r="K987" s="7">
        <f>прил.6!L484</f>
        <v>-270.39999999999998</v>
      </c>
      <c r="L987" s="35">
        <f t="shared" si="219"/>
        <v>1229.5999999999999</v>
      </c>
      <c r="M987" s="7">
        <f>прил.6!N484</f>
        <v>0</v>
      </c>
      <c r="N987" s="35">
        <f t="shared" si="220"/>
        <v>1229.5999999999999</v>
      </c>
      <c r="O987" s="7">
        <f>прил.6!P484</f>
        <v>0</v>
      </c>
      <c r="P987" s="35">
        <f t="shared" si="217"/>
        <v>1229.5999999999999</v>
      </c>
      <c r="Q987" s="7">
        <f>прил.6!R484</f>
        <v>-336.9</v>
      </c>
      <c r="R987" s="35">
        <f t="shared" ref="R987:R1050" si="231">P987+Q987</f>
        <v>892.69999999999993</v>
      </c>
      <c r="S987" s="7">
        <f>прил.6!T484</f>
        <v>0</v>
      </c>
      <c r="T987" s="35">
        <f t="shared" si="228"/>
        <v>892.69999999999993</v>
      </c>
    </row>
    <row r="988" spans="1:20" ht="35.25" customHeight="1">
      <c r="A988" s="61" t="str">
        <f ca="1">IF(ISERROR(MATCH(B988,Код_КЦСР,0)),"",INDIRECT(ADDRESS(MATCH(B988,Код_КЦСР,0)+1,2,,,"КЦСР")))</f>
        <v>Муниципальная программа «Развитие городского общественного транспорта» на 2014-2016 годы</v>
      </c>
      <c r="B988" s="45" t="s">
        <v>38</v>
      </c>
      <c r="C988" s="8"/>
      <c r="D988" s="1"/>
      <c r="E988" s="104"/>
      <c r="F988" s="7">
        <f t="shared" ref="F988:S993" si="232">F989</f>
        <v>18724.900000000001</v>
      </c>
      <c r="G988" s="7">
        <f t="shared" si="232"/>
        <v>0</v>
      </c>
      <c r="H988" s="35">
        <f t="shared" si="227"/>
        <v>18724.900000000001</v>
      </c>
      <c r="I988" s="7">
        <f t="shared" si="232"/>
        <v>0</v>
      </c>
      <c r="J988" s="35">
        <f t="shared" si="225"/>
        <v>18724.900000000001</v>
      </c>
      <c r="K988" s="7">
        <f t="shared" si="232"/>
        <v>0</v>
      </c>
      <c r="L988" s="35">
        <f t="shared" si="219"/>
        <v>18724.900000000001</v>
      </c>
      <c r="M988" s="7">
        <f t="shared" si="232"/>
        <v>0</v>
      </c>
      <c r="N988" s="35">
        <f t="shared" si="220"/>
        <v>18724.900000000001</v>
      </c>
      <c r="O988" s="7">
        <f>O989+O995</f>
        <v>12800</v>
      </c>
      <c r="P988" s="35">
        <f t="shared" si="217"/>
        <v>31524.9</v>
      </c>
      <c r="Q988" s="7">
        <f>Q989+Q995</f>
        <v>0</v>
      </c>
      <c r="R988" s="35">
        <f t="shared" si="231"/>
        <v>31524.9</v>
      </c>
      <c r="S988" s="7">
        <f>S989+S995</f>
        <v>0</v>
      </c>
      <c r="T988" s="35">
        <f t="shared" si="228"/>
        <v>31524.9</v>
      </c>
    </row>
    <row r="989" spans="1:20">
      <c r="A989" s="61" t="str">
        <f ca="1">IF(ISERROR(MATCH(B989,Код_КЦСР,0)),"",INDIRECT(ADDRESS(MATCH(B989,Код_КЦСР,0)+1,2,,,"КЦСР")))</f>
        <v>Приобретение автобусов в муниципальную собственность</v>
      </c>
      <c r="B989" s="45" t="s">
        <v>40</v>
      </c>
      <c r="C989" s="8"/>
      <c r="D989" s="1"/>
      <c r="E989" s="104"/>
      <c r="F989" s="7">
        <f t="shared" si="232"/>
        <v>18724.900000000001</v>
      </c>
      <c r="G989" s="7">
        <f t="shared" si="232"/>
        <v>0</v>
      </c>
      <c r="H989" s="35">
        <f t="shared" si="227"/>
        <v>18724.900000000001</v>
      </c>
      <c r="I989" s="7">
        <f t="shared" si="232"/>
        <v>0</v>
      </c>
      <c r="J989" s="35">
        <f t="shared" si="225"/>
        <v>18724.900000000001</v>
      </c>
      <c r="K989" s="7">
        <f t="shared" si="232"/>
        <v>0</v>
      </c>
      <c r="L989" s="35">
        <f t="shared" si="219"/>
        <v>18724.900000000001</v>
      </c>
      <c r="M989" s="7">
        <f t="shared" si="232"/>
        <v>0</v>
      </c>
      <c r="N989" s="35">
        <f t="shared" si="220"/>
        <v>18724.900000000001</v>
      </c>
      <c r="O989" s="7">
        <f t="shared" si="232"/>
        <v>0</v>
      </c>
      <c r="P989" s="35">
        <f t="shared" si="217"/>
        <v>18724.900000000001</v>
      </c>
      <c r="Q989" s="7">
        <f t="shared" si="232"/>
        <v>0</v>
      </c>
      <c r="R989" s="35">
        <f t="shared" si="231"/>
        <v>18724.900000000001</v>
      </c>
      <c r="S989" s="7">
        <f t="shared" si="232"/>
        <v>0</v>
      </c>
      <c r="T989" s="35">
        <f t="shared" si="228"/>
        <v>18724.900000000001</v>
      </c>
    </row>
    <row r="990" spans="1:20">
      <c r="A990" s="61" t="str">
        <f ca="1">IF(ISERROR(MATCH(C990,Код_Раздел,0)),"",INDIRECT(ADDRESS(MATCH(C990,Код_Раздел,0)+1,2,,,"Раздел")))</f>
        <v>Национальная экономика</v>
      </c>
      <c r="B990" s="45" t="s">
        <v>40</v>
      </c>
      <c r="C990" s="8" t="s">
        <v>216</v>
      </c>
      <c r="D990" s="1"/>
      <c r="E990" s="104"/>
      <c r="F990" s="7">
        <f t="shared" si="232"/>
        <v>18724.900000000001</v>
      </c>
      <c r="G990" s="7">
        <f t="shared" si="232"/>
        <v>0</v>
      </c>
      <c r="H990" s="35">
        <f t="shared" si="227"/>
        <v>18724.900000000001</v>
      </c>
      <c r="I990" s="7">
        <f t="shared" si="232"/>
        <v>0</v>
      </c>
      <c r="J990" s="35">
        <f t="shared" si="225"/>
        <v>18724.900000000001</v>
      </c>
      <c r="K990" s="7">
        <f t="shared" si="232"/>
        <v>0</v>
      </c>
      <c r="L990" s="35">
        <f t="shared" si="219"/>
        <v>18724.900000000001</v>
      </c>
      <c r="M990" s="7">
        <f t="shared" si="232"/>
        <v>0</v>
      </c>
      <c r="N990" s="35">
        <f t="shared" si="220"/>
        <v>18724.900000000001</v>
      </c>
      <c r="O990" s="7">
        <f t="shared" si="232"/>
        <v>0</v>
      </c>
      <c r="P990" s="35">
        <f t="shared" ref="P990:P1058" si="233">N990+O990</f>
        <v>18724.900000000001</v>
      </c>
      <c r="Q990" s="7">
        <f t="shared" si="232"/>
        <v>0</v>
      </c>
      <c r="R990" s="35">
        <f t="shared" si="231"/>
        <v>18724.900000000001</v>
      </c>
      <c r="S990" s="7">
        <f t="shared" si="232"/>
        <v>0</v>
      </c>
      <c r="T990" s="35">
        <f t="shared" si="228"/>
        <v>18724.900000000001</v>
      </c>
    </row>
    <row r="991" spans="1:20">
      <c r="A991" s="77" t="s">
        <v>361</v>
      </c>
      <c r="B991" s="45" t="s">
        <v>40</v>
      </c>
      <c r="C991" s="8" t="s">
        <v>216</v>
      </c>
      <c r="D991" s="8" t="s">
        <v>222</v>
      </c>
      <c r="E991" s="104"/>
      <c r="F991" s="7">
        <f t="shared" si="232"/>
        <v>18724.900000000001</v>
      </c>
      <c r="G991" s="7">
        <f t="shared" si="232"/>
        <v>0</v>
      </c>
      <c r="H991" s="35">
        <f t="shared" si="227"/>
        <v>18724.900000000001</v>
      </c>
      <c r="I991" s="7">
        <f t="shared" si="232"/>
        <v>0</v>
      </c>
      <c r="J991" s="35">
        <f t="shared" si="225"/>
        <v>18724.900000000001</v>
      </c>
      <c r="K991" s="7">
        <f t="shared" si="232"/>
        <v>0</v>
      </c>
      <c r="L991" s="35">
        <f t="shared" si="219"/>
        <v>18724.900000000001</v>
      </c>
      <c r="M991" s="7">
        <f t="shared" si="232"/>
        <v>0</v>
      </c>
      <c r="N991" s="35">
        <f t="shared" si="220"/>
        <v>18724.900000000001</v>
      </c>
      <c r="O991" s="7">
        <f t="shared" si="232"/>
        <v>0</v>
      </c>
      <c r="P991" s="35">
        <f t="shared" si="233"/>
        <v>18724.900000000001</v>
      </c>
      <c r="Q991" s="7">
        <f t="shared" si="232"/>
        <v>0</v>
      </c>
      <c r="R991" s="35">
        <f t="shared" si="231"/>
        <v>18724.900000000001</v>
      </c>
      <c r="S991" s="7">
        <f t="shared" si="232"/>
        <v>0</v>
      </c>
      <c r="T991" s="35">
        <f t="shared" si="228"/>
        <v>18724.900000000001</v>
      </c>
    </row>
    <row r="992" spans="1:20">
      <c r="A992" s="61" t="str">
        <f ca="1">IF(ISERROR(MATCH(E992,Код_КВР,0)),"",INDIRECT(ADDRESS(MATCH(E992,Код_КВР,0)+1,2,,,"КВР")))</f>
        <v>Закупка товаров, работ и услуг для муниципальных нужд</v>
      </c>
      <c r="B992" s="45" t="s">
        <v>40</v>
      </c>
      <c r="C992" s="8" t="s">
        <v>216</v>
      </c>
      <c r="D992" s="8" t="s">
        <v>222</v>
      </c>
      <c r="E992" s="104">
        <v>200</v>
      </c>
      <c r="F992" s="7">
        <f t="shared" si="232"/>
        <v>18724.900000000001</v>
      </c>
      <c r="G992" s="7">
        <f t="shared" si="232"/>
        <v>0</v>
      </c>
      <c r="H992" s="35">
        <f t="shared" si="227"/>
        <v>18724.900000000001</v>
      </c>
      <c r="I992" s="7">
        <f t="shared" si="232"/>
        <v>0</v>
      </c>
      <c r="J992" s="35">
        <f t="shared" si="225"/>
        <v>18724.900000000001</v>
      </c>
      <c r="K992" s="7">
        <f t="shared" si="232"/>
        <v>0</v>
      </c>
      <c r="L992" s="35">
        <f t="shared" si="219"/>
        <v>18724.900000000001</v>
      </c>
      <c r="M992" s="7">
        <f t="shared" si="232"/>
        <v>0</v>
      </c>
      <c r="N992" s="35">
        <f t="shared" si="220"/>
        <v>18724.900000000001</v>
      </c>
      <c r="O992" s="7">
        <f t="shared" si="232"/>
        <v>0</v>
      </c>
      <c r="P992" s="35">
        <f t="shared" si="233"/>
        <v>18724.900000000001</v>
      </c>
      <c r="Q992" s="7">
        <f t="shared" si="232"/>
        <v>0</v>
      </c>
      <c r="R992" s="35">
        <f t="shared" si="231"/>
        <v>18724.900000000001</v>
      </c>
      <c r="S992" s="7">
        <f t="shared" si="232"/>
        <v>0</v>
      </c>
      <c r="T992" s="35">
        <f t="shared" si="228"/>
        <v>18724.900000000001</v>
      </c>
    </row>
    <row r="993" spans="1:20" ht="33">
      <c r="A993" s="61" t="str">
        <f ca="1">IF(ISERROR(MATCH(E993,Код_КВР,0)),"",INDIRECT(ADDRESS(MATCH(E993,Код_КВР,0)+1,2,,,"КВР")))</f>
        <v>Иные закупки товаров, работ и услуг для обеспечения муниципальных нужд</v>
      </c>
      <c r="B993" s="45" t="s">
        <v>40</v>
      </c>
      <c r="C993" s="8" t="s">
        <v>216</v>
      </c>
      <c r="D993" s="8" t="s">
        <v>222</v>
      </c>
      <c r="E993" s="104">
        <v>240</v>
      </c>
      <c r="F993" s="7">
        <f t="shared" si="232"/>
        <v>18724.900000000001</v>
      </c>
      <c r="G993" s="7">
        <f t="shared" si="232"/>
        <v>0</v>
      </c>
      <c r="H993" s="35">
        <f t="shared" si="227"/>
        <v>18724.900000000001</v>
      </c>
      <c r="I993" s="7">
        <f t="shared" si="232"/>
        <v>0</v>
      </c>
      <c r="J993" s="35">
        <f t="shared" si="225"/>
        <v>18724.900000000001</v>
      </c>
      <c r="K993" s="7">
        <f t="shared" si="232"/>
        <v>0</v>
      </c>
      <c r="L993" s="35">
        <f t="shared" si="219"/>
        <v>18724.900000000001</v>
      </c>
      <c r="M993" s="7">
        <f t="shared" si="232"/>
        <v>0</v>
      </c>
      <c r="N993" s="35">
        <f t="shared" si="220"/>
        <v>18724.900000000001</v>
      </c>
      <c r="O993" s="7">
        <f t="shared" si="232"/>
        <v>0</v>
      </c>
      <c r="P993" s="35">
        <f t="shared" si="233"/>
        <v>18724.900000000001</v>
      </c>
      <c r="Q993" s="7">
        <f t="shared" si="232"/>
        <v>0</v>
      </c>
      <c r="R993" s="35">
        <f t="shared" si="231"/>
        <v>18724.900000000001</v>
      </c>
      <c r="S993" s="7">
        <f t="shared" si="232"/>
        <v>0</v>
      </c>
      <c r="T993" s="35">
        <f t="shared" si="228"/>
        <v>18724.900000000001</v>
      </c>
    </row>
    <row r="994" spans="1:20" ht="33">
      <c r="A994" s="61" t="str">
        <f ca="1">IF(ISERROR(MATCH(E994,Код_КВР,0)),"",INDIRECT(ADDRESS(MATCH(E994,Код_КВР,0)+1,2,,,"КВР")))</f>
        <v xml:space="preserve">Прочая закупка товаров, работ и услуг для обеспечения муниципальных нужд         </v>
      </c>
      <c r="B994" s="45" t="s">
        <v>40</v>
      </c>
      <c r="C994" s="8" t="s">
        <v>216</v>
      </c>
      <c r="D994" s="8" t="s">
        <v>222</v>
      </c>
      <c r="E994" s="104">
        <v>244</v>
      </c>
      <c r="F994" s="7">
        <f>прил.6!G1510</f>
        <v>18724.900000000001</v>
      </c>
      <c r="G994" s="7">
        <f>прил.6!H1510</f>
        <v>0</v>
      </c>
      <c r="H994" s="35">
        <f t="shared" si="227"/>
        <v>18724.900000000001</v>
      </c>
      <c r="I994" s="7">
        <f>прил.6!J1510</f>
        <v>0</v>
      </c>
      <c r="J994" s="35">
        <f t="shared" si="225"/>
        <v>18724.900000000001</v>
      </c>
      <c r="K994" s="7">
        <f>прил.6!L1510</f>
        <v>0</v>
      </c>
      <c r="L994" s="35">
        <f t="shared" si="219"/>
        <v>18724.900000000001</v>
      </c>
      <c r="M994" s="7">
        <f>прил.6!N1510</f>
        <v>0</v>
      </c>
      <c r="N994" s="35">
        <f t="shared" si="220"/>
        <v>18724.900000000001</v>
      </c>
      <c r="O994" s="7">
        <f>прил.6!P1510</f>
        <v>0</v>
      </c>
      <c r="P994" s="35">
        <f t="shared" si="233"/>
        <v>18724.900000000001</v>
      </c>
      <c r="Q994" s="7">
        <f>прил.6!R1510</f>
        <v>0</v>
      </c>
      <c r="R994" s="35">
        <f t="shared" si="231"/>
        <v>18724.900000000001</v>
      </c>
      <c r="S994" s="7">
        <f>прил.6!T1510</f>
        <v>0</v>
      </c>
      <c r="T994" s="35">
        <f t="shared" si="228"/>
        <v>18724.900000000001</v>
      </c>
    </row>
    <row r="995" spans="1:20" ht="42" customHeight="1">
      <c r="A995" s="61" t="str">
        <f ca="1">IF(ISERROR(MATCH(B995,Код_КЦСР,0)),"",INDIRECT(ADDRESS(MATCH(B995,Код_КЦСР,0)+1,2,,,"КЦСР")))</f>
        <v>Обеспечение равной доступности услуг общественного транспорта по перевозке пассажиров по социально-значимым маршрутам</v>
      </c>
      <c r="B995" s="45" t="s">
        <v>636</v>
      </c>
      <c r="C995" s="8"/>
      <c r="D995" s="1"/>
      <c r="E995" s="104"/>
      <c r="F995" s="7"/>
      <c r="G995" s="7"/>
      <c r="H995" s="35"/>
      <c r="I995" s="7"/>
      <c r="J995" s="35"/>
      <c r="K995" s="7"/>
      <c r="L995" s="35"/>
      <c r="M995" s="7"/>
      <c r="N995" s="35"/>
      <c r="O995" s="7">
        <f>O996</f>
        <v>12800</v>
      </c>
      <c r="P995" s="35">
        <f t="shared" si="233"/>
        <v>12800</v>
      </c>
      <c r="Q995" s="7">
        <f>Q996</f>
        <v>0</v>
      </c>
      <c r="R995" s="35">
        <f t="shared" si="231"/>
        <v>12800</v>
      </c>
      <c r="S995" s="7">
        <f>S996</f>
        <v>0</v>
      </c>
      <c r="T995" s="35">
        <f t="shared" si="228"/>
        <v>12800</v>
      </c>
    </row>
    <row r="996" spans="1:20">
      <c r="A996" s="61" t="str">
        <f ca="1">IF(ISERROR(MATCH(C996,Код_Раздел,0)),"",INDIRECT(ADDRESS(MATCH(C996,Код_Раздел,0)+1,2,,,"Раздел")))</f>
        <v>Национальная экономика</v>
      </c>
      <c r="B996" s="45" t="s">
        <v>636</v>
      </c>
      <c r="C996" s="8" t="s">
        <v>216</v>
      </c>
      <c r="D996" s="1"/>
      <c r="E996" s="104"/>
      <c r="F996" s="7"/>
      <c r="G996" s="7"/>
      <c r="H996" s="35"/>
      <c r="I996" s="7"/>
      <c r="J996" s="35"/>
      <c r="K996" s="7"/>
      <c r="L996" s="35"/>
      <c r="M996" s="7"/>
      <c r="N996" s="35"/>
      <c r="O996" s="7">
        <f>O997</f>
        <v>12800</v>
      </c>
      <c r="P996" s="35">
        <f t="shared" si="233"/>
        <v>12800</v>
      </c>
      <c r="Q996" s="7">
        <f>Q997</f>
        <v>0</v>
      </c>
      <c r="R996" s="35">
        <f t="shared" si="231"/>
        <v>12800</v>
      </c>
      <c r="S996" s="7">
        <f>S997</f>
        <v>0</v>
      </c>
      <c r="T996" s="35">
        <f t="shared" si="228"/>
        <v>12800</v>
      </c>
    </row>
    <row r="997" spans="1:20">
      <c r="A997" s="77" t="s">
        <v>361</v>
      </c>
      <c r="B997" s="45" t="s">
        <v>636</v>
      </c>
      <c r="C997" s="8" t="s">
        <v>216</v>
      </c>
      <c r="D997" s="8" t="s">
        <v>222</v>
      </c>
      <c r="E997" s="104"/>
      <c r="F997" s="7"/>
      <c r="G997" s="7"/>
      <c r="H997" s="35"/>
      <c r="I997" s="7"/>
      <c r="J997" s="35"/>
      <c r="K997" s="7"/>
      <c r="L997" s="35"/>
      <c r="M997" s="7"/>
      <c r="N997" s="35"/>
      <c r="O997" s="7">
        <f>O998</f>
        <v>12800</v>
      </c>
      <c r="P997" s="35">
        <f t="shared" si="233"/>
        <v>12800</v>
      </c>
      <c r="Q997" s="7">
        <f>Q998</f>
        <v>0</v>
      </c>
      <c r="R997" s="35">
        <f t="shared" si="231"/>
        <v>12800</v>
      </c>
      <c r="S997" s="7">
        <f>S998</f>
        <v>0</v>
      </c>
      <c r="T997" s="35">
        <f t="shared" si="228"/>
        <v>12800</v>
      </c>
    </row>
    <row r="998" spans="1:20">
      <c r="A998" s="61" t="str">
        <f ca="1">IF(ISERROR(MATCH(E998,Код_КВР,0)),"",INDIRECT(ADDRESS(MATCH(E998,Код_КВР,0)+1,2,,,"КВР")))</f>
        <v>Иные бюджетные ассигнования</v>
      </c>
      <c r="B998" s="45" t="s">
        <v>636</v>
      </c>
      <c r="C998" s="8" t="s">
        <v>216</v>
      </c>
      <c r="D998" s="8" t="s">
        <v>222</v>
      </c>
      <c r="E998" s="104">
        <v>800</v>
      </c>
      <c r="F998" s="7"/>
      <c r="G998" s="7"/>
      <c r="H998" s="35"/>
      <c r="I998" s="7"/>
      <c r="J998" s="35"/>
      <c r="K998" s="7"/>
      <c r="L998" s="35"/>
      <c r="M998" s="7"/>
      <c r="N998" s="35"/>
      <c r="O998" s="7">
        <f>O999</f>
        <v>12800</v>
      </c>
      <c r="P998" s="35">
        <f t="shared" si="233"/>
        <v>12800</v>
      </c>
      <c r="Q998" s="7">
        <f>Q999</f>
        <v>0</v>
      </c>
      <c r="R998" s="35">
        <f t="shared" si="231"/>
        <v>12800</v>
      </c>
      <c r="S998" s="7">
        <f>S999</f>
        <v>0</v>
      </c>
      <c r="T998" s="35">
        <f t="shared" si="228"/>
        <v>12800</v>
      </c>
    </row>
    <row r="999" spans="1:20" ht="49.5">
      <c r="A999" s="61" t="str">
        <f ca="1">IF(ISERROR(MATCH(E999,Код_КВР,0)),"",INDIRECT(ADDRESS(MATCH(E999,Код_КВР,0)+1,2,,,"КВР")))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999" s="45" t="s">
        <v>636</v>
      </c>
      <c r="C999" s="8" t="s">
        <v>216</v>
      </c>
      <c r="D999" s="8" t="s">
        <v>222</v>
      </c>
      <c r="E999" s="104">
        <v>810</v>
      </c>
      <c r="F999" s="7"/>
      <c r="G999" s="7"/>
      <c r="H999" s="35"/>
      <c r="I999" s="7"/>
      <c r="J999" s="35"/>
      <c r="K999" s="7"/>
      <c r="L999" s="35"/>
      <c r="M999" s="7"/>
      <c r="N999" s="35"/>
      <c r="O999" s="7">
        <f>прил.6!P244</f>
        <v>12800</v>
      </c>
      <c r="P999" s="35">
        <f t="shared" si="233"/>
        <v>12800</v>
      </c>
      <c r="Q999" s="7">
        <f>прил.6!R244</f>
        <v>0</v>
      </c>
      <c r="R999" s="35">
        <f t="shared" si="231"/>
        <v>12800</v>
      </c>
      <c r="S999" s="7">
        <f>прил.6!T244</f>
        <v>0</v>
      </c>
      <c r="T999" s="35">
        <f t="shared" si="228"/>
        <v>12800</v>
      </c>
    </row>
    <row r="1000" spans="1:20" ht="36.75" customHeight="1">
      <c r="A1000" s="61" t="str">
        <f ca="1">IF(ISERROR(MATCH(B1000,Код_КЦСР,0)),"",INDIRECT(ADDRESS(MATCH(B1000,Код_КЦСР,0)+1,2,,,"КЦСР")))</f>
        <v>Муниципальная программа «Реализация градостроительной политики города Череповца» на 2014-2022 годы</v>
      </c>
      <c r="B1000" s="45" t="s">
        <v>42</v>
      </c>
      <c r="C1000" s="8"/>
      <c r="D1000" s="1"/>
      <c r="E1000" s="104"/>
      <c r="F1000" s="7">
        <f>F1001+F1007</f>
        <v>8645.7999999999993</v>
      </c>
      <c r="G1000" s="7">
        <f>G1001+G1007</f>
        <v>0</v>
      </c>
      <c r="H1000" s="35">
        <f t="shared" si="227"/>
        <v>8645.7999999999993</v>
      </c>
      <c r="I1000" s="7">
        <f>I1001+I1007</f>
        <v>0</v>
      </c>
      <c r="J1000" s="35">
        <f t="shared" si="225"/>
        <v>8645.7999999999993</v>
      </c>
      <c r="K1000" s="7">
        <f>K1001+K1007</f>
        <v>-4085.5</v>
      </c>
      <c r="L1000" s="35">
        <f t="shared" si="219"/>
        <v>4560.2999999999993</v>
      </c>
      <c r="M1000" s="7">
        <f>M1001+M1007</f>
        <v>0</v>
      </c>
      <c r="N1000" s="35">
        <f t="shared" si="220"/>
        <v>4560.2999999999993</v>
      </c>
      <c r="O1000" s="7">
        <f>O1001+O1007</f>
        <v>0</v>
      </c>
      <c r="P1000" s="35">
        <f t="shared" si="233"/>
        <v>4560.2999999999993</v>
      </c>
      <c r="Q1000" s="7">
        <f>Q1001+Q1007</f>
        <v>-537.5</v>
      </c>
      <c r="R1000" s="35">
        <f t="shared" si="231"/>
        <v>4022.7999999999993</v>
      </c>
      <c r="S1000" s="7">
        <f>S1001+S1007</f>
        <v>-1245.8</v>
      </c>
      <c r="T1000" s="35">
        <f t="shared" si="228"/>
        <v>2776.9999999999991</v>
      </c>
    </row>
    <row r="1001" spans="1:20" ht="33">
      <c r="A1001" s="61" t="str">
        <f ca="1">IF(ISERROR(MATCH(B1001,Код_КЦСР,0)),"",INDIRECT(ADDRESS(MATCH(B1001,Код_КЦСР,0)+1,2,,,"КЦСР")))</f>
        <v>Обеспечение подготовки градостроительной документации и нормативно-правовых актов</v>
      </c>
      <c r="B1001" s="45" t="s">
        <v>43</v>
      </c>
      <c r="C1001" s="8"/>
      <c r="D1001" s="1"/>
      <c r="E1001" s="104"/>
      <c r="F1001" s="7">
        <f t="shared" ref="F1001:S1005" si="234">F1002</f>
        <v>7401</v>
      </c>
      <c r="G1001" s="7">
        <f t="shared" si="234"/>
        <v>0</v>
      </c>
      <c r="H1001" s="35">
        <f t="shared" si="227"/>
        <v>7401</v>
      </c>
      <c r="I1001" s="7">
        <f t="shared" si="234"/>
        <v>0</v>
      </c>
      <c r="J1001" s="35">
        <f t="shared" si="225"/>
        <v>7401</v>
      </c>
      <c r="K1001" s="7">
        <f t="shared" si="234"/>
        <v>-4085.5</v>
      </c>
      <c r="L1001" s="35">
        <f t="shared" si="219"/>
        <v>3315.5</v>
      </c>
      <c r="M1001" s="7">
        <f t="shared" si="234"/>
        <v>0</v>
      </c>
      <c r="N1001" s="35">
        <f t="shared" si="220"/>
        <v>3315.5</v>
      </c>
      <c r="O1001" s="7">
        <f t="shared" si="234"/>
        <v>0</v>
      </c>
      <c r="P1001" s="35">
        <f t="shared" si="233"/>
        <v>3315.5</v>
      </c>
      <c r="Q1001" s="7">
        <f t="shared" si="234"/>
        <v>-447.5</v>
      </c>
      <c r="R1001" s="35">
        <f t="shared" si="231"/>
        <v>2868</v>
      </c>
      <c r="S1001" s="7">
        <f t="shared" si="234"/>
        <v>-1101</v>
      </c>
      <c r="T1001" s="35">
        <f t="shared" si="228"/>
        <v>1767</v>
      </c>
    </row>
    <row r="1002" spans="1:20">
      <c r="A1002" s="61" t="str">
        <f ca="1">IF(ISERROR(MATCH(C1002,Код_Раздел,0)),"",INDIRECT(ADDRESS(MATCH(C1002,Код_Раздел,0)+1,2,,,"Раздел")))</f>
        <v>Национальная экономика</v>
      </c>
      <c r="B1002" s="45" t="s">
        <v>43</v>
      </c>
      <c r="C1002" s="8" t="s">
        <v>216</v>
      </c>
      <c r="D1002" s="1"/>
      <c r="E1002" s="104"/>
      <c r="F1002" s="7">
        <f t="shared" si="234"/>
        <v>7401</v>
      </c>
      <c r="G1002" s="7">
        <f t="shared" si="234"/>
        <v>0</v>
      </c>
      <c r="H1002" s="35">
        <f t="shared" si="227"/>
        <v>7401</v>
      </c>
      <c r="I1002" s="7">
        <f t="shared" si="234"/>
        <v>0</v>
      </c>
      <c r="J1002" s="35">
        <f t="shared" si="225"/>
        <v>7401</v>
      </c>
      <c r="K1002" s="7">
        <f t="shared" si="234"/>
        <v>-4085.5</v>
      </c>
      <c r="L1002" s="35">
        <f t="shared" si="219"/>
        <v>3315.5</v>
      </c>
      <c r="M1002" s="7">
        <f t="shared" si="234"/>
        <v>0</v>
      </c>
      <c r="N1002" s="35">
        <f t="shared" si="220"/>
        <v>3315.5</v>
      </c>
      <c r="O1002" s="7">
        <f t="shared" si="234"/>
        <v>0</v>
      </c>
      <c r="P1002" s="35">
        <f t="shared" si="233"/>
        <v>3315.5</v>
      </c>
      <c r="Q1002" s="7">
        <f t="shared" si="234"/>
        <v>-447.5</v>
      </c>
      <c r="R1002" s="35">
        <f t="shared" si="231"/>
        <v>2868</v>
      </c>
      <c r="S1002" s="7">
        <f t="shared" si="234"/>
        <v>-1101</v>
      </c>
      <c r="T1002" s="35">
        <f t="shared" si="228"/>
        <v>1767</v>
      </c>
    </row>
    <row r="1003" spans="1:20">
      <c r="A1003" s="12" t="s">
        <v>223</v>
      </c>
      <c r="B1003" s="45" t="s">
        <v>43</v>
      </c>
      <c r="C1003" s="8" t="s">
        <v>216</v>
      </c>
      <c r="D1003" s="8" t="s">
        <v>196</v>
      </c>
      <c r="E1003" s="104"/>
      <c r="F1003" s="7">
        <f t="shared" si="234"/>
        <v>7401</v>
      </c>
      <c r="G1003" s="7">
        <f t="shared" si="234"/>
        <v>0</v>
      </c>
      <c r="H1003" s="35">
        <f t="shared" si="227"/>
        <v>7401</v>
      </c>
      <c r="I1003" s="7">
        <f t="shared" si="234"/>
        <v>0</v>
      </c>
      <c r="J1003" s="35">
        <f t="shared" si="225"/>
        <v>7401</v>
      </c>
      <c r="K1003" s="7">
        <f t="shared" si="234"/>
        <v>-4085.5</v>
      </c>
      <c r="L1003" s="35">
        <f t="shared" si="219"/>
        <v>3315.5</v>
      </c>
      <c r="M1003" s="7">
        <f t="shared" si="234"/>
        <v>0</v>
      </c>
      <c r="N1003" s="35">
        <f t="shared" si="220"/>
        <v>3315.5</v>
      </c>
      <c r="O1003" s="7">
        <f t="shared" si="234"/>
        <v>0</v>
      </c>
      <c r="P1003" s="35">
        <f t="shared" si="233"/>
        <v>3315.5</v>
      </c>
      <c r="Q1003" s="7">
        <f t="shared" si="234"/>
        <v>-447.5</v>
      </c>
      <c r="R1003" s="35">
        <f t="shared" si="231"/>
        <v>2868</v>
      </c>
      <c r="S1003" s="7">
        <f t="shared" si="234"/>
        <v>-1101</v>
      </c>
      <c r="T1003" s="35">
        <f t="shared" si="228"/>
        <v>1767</v>
      </c>
    </row>
    <row r="1004" spans="1:20">
      <c r="A1004" s="61" t="str">
        <f ca="1">IF(ISERROR(MATCH(E1004,Код_КВР,0)),"",INDIRECT(ADDRESS(MATCH(E1004,Код_КВР,0)+1,2,,,"КВР")))</f>
        <v>Закупка товаров, работ и услуг для муниципальных нужд</v>
      </c>
      <c r="B1004" s="45" t="s">
        <v>43</v>
      </c>
      <c r="C1004" s="8" t="s">
        <v>216</v>
      </c>
      <c r="D1004" s="8" t="s">
        <v>196</v>
      </c>
      <c r="E1004" s="104">
        <v>200</v>
      </c>
      <c r="F1004" s="7">
        <f t="shared" si="234"/>
        <v>7401</v>
      </c>
      <c r="G1004" s="7">
        <f t="shared" si="234"/>
        <v>0</v>
      </c>
      <c r="H1004" s="35">
        <f t="shared" si="227"/>
        <v>7401</v>
      </c>
      <c r="I1004" s="7">
        <f t="shared" si="234"/>
        <v>0</v>
      </c>
      <c r="J1004" s="35">
        <f t="shared" si="225"/>
        <v>7401</v>
      </c>
      <c r="K1004" s="7">
        <f t="shared" si="234"/>
        <v>-4085.5</v>
      </c>
      <c r="L1004" s="35">
        <f t="shared" si="219"/>
        <v>3315.5</v>
      </c>
      <c r="M1004" s="7">
        <f t="shared" si="234"/>
        <v>0</v>
      </c>
      <c r="N1004" s="35">
        <f t="shared" si="220"/>
        <v>3315.5</v>
      </c>
      <c r="O1004" s="7">
        <f t="shared" si="234"/>
        <v>0</v>
      </c>
      <c r="P1004" s="35">
        <f t="shared" si="233"/>
        <v>3315.5</v>
      </c>
      <c r="Q1004" s="7">
        <f t="shared" si="234"/>
        <v>-447.5</v>
      </c>
      <c r="R1004" s="35">
        <f t="shared" si="231"/>
        <v>2868</v>
      </c>
      <c r="S1004" s="7">
        <f t="shared" si="234"/>
        <v>-1101</v>
      </c>
      <c r="T1004" s="35">
        <f t="shared" si="228"/>
        <v>1767</v>
      </c>
    </row>
    <row r="1005" spans="1:20" ht="33">
      <c r="A1005" s="61" t="str">
        <f ca="1">IF(ISERROR(MATCH(E1005,Код_КВР,0)),"",INDIRECT(ADDRESS(MATCH(E1005,Код_КВР,0)+1,2,,,"КВР")))</f>
        <v>Иные закупки товаров, работ и услуг для обеспечения муниципальных нужд</v>
      </c>
      <c r="B1005" s="45" t="s">
        <v>43</v>
      </c>
      <c r="C1005" s="8" t="s">
        <v>216</v>
      </c>
      <c r="D1005" s="8" t="s">
        <v>196</v>
      </c>
      <c r="E1005" s="104">
        <v>240</v>
      </c>
      <c r="F1005" s="7">
        <f t="shared" si="234"/>
        <v>7401</v>
      </c>
      <c r="G1005" s="7">
        <f t="shared" si="234"/>
        <v>0</v>
      </c>
      <c r="H1005" s="35">
        <f t="shared" si="227"/>
        <v>7401</v>
      </c>
      <c r="I1005" s="7">
        <f t="shared" si="234"/>
        <v>0</v>
      </c>
      <c r="J1005" s="35">
        <f t="shared" si="225"/>
        <v>7401</v>
      </c>
      <c r="K1005" s="7">
        <f t="shared" si="234"/>
        <v>-4085.5</v>
      </c>
      <c r="L1005" s="35">
        <f t="shared" si="219"/>
        <v>3315.5</v>
      </c>
      <c r="M1005" s="7">
        <f t="shared" si="234"/>
        <v>0</v>
      </c>
      <c r="N1005" s="35">
        <f t="shared" si="220"/>
        <v>3315.5</v>
      </c>
      <c r="O1005" s="7">
        <f t="shared" si="234"/>
        <v>0</v>
      </c>
      <c r="P1005" s="35">
        <f t="shared" si="233"/>
        <v>3315.5</v>
      </c>
      <c r="Q1005" s="7">
        <f t="shared" si="234"/>
        <v>-447.5</v>
      </c>
      <c r="R1005" s="35">
        <f t="shared" si="231"/>
        <v>2868</v>
      </c>
      <c r="S1005" s="7">
        <f t="shared" si="234"/>
        <v>-1101</v>
      </c>
      <c r="T1005" s="35">
        <f t="shared" si="228"/>
        <v>1767</v>
      </c>
    </row>
    <row r="1006" spans="1:20" ht="33">
      <c r="A1006" s="61" t="str">
        <f ca="1">IF(ISERROR(MATCH(E1006,Код_КВР,0)),"",INDIRECT(ADDRESS(MATCH(E1006,Код_КВР,0)+1,2,,,"КВР")))</f>
        <v xml:space="preserve">Прочая закупка товаров, работ и услуг для обеспечения муниципальных нужд         </v>
      </c>
      <c r="B1006" s="45" t="s">
        <v>43</v>
      </c>
      <c r="C1006" s="8" t="s">
        <v>216</v>
      </c>
      <c r="D1006" s="8" t="s">
        <v>196</v>
      </c>
      <c r="E1006" s="104">
        <v>244</v>
      </c>
      <c r="F1006" s="7">
        <f>прил.6!G554</f>
        <v>7401</v>
      </c>
      <c r="G1006" s="7">
        <f>прил.6!H554</f>
        <v>0</v>
      </c>
      <c r="H1006" s="35">
        <f t="shared" si="227"/>
        <v>7401</v>
      </c>
      <c r="I1006" s="7">
        <f>прил.6!J554</f>
        <v>0</v>
      </c>
      <c r="J1006" s="35">
        <f t="shared" si="225"/>
        <v>7401</v>
      </c>
      <c r="K1006" s="7">
        <f>прил.6!L554</f>
        <v>-4085.5</v>
      </c>
      <c r="L1006" s="35">
        <f t="shared" si="219"/>
        <v>3315.5</v>
      </c>
      <c r="M1006" s="7">
        <f>прил.6!N554</f>
        <v>0</v>
      </c>
      <c r="N1006" s="35">
        <f t="shared" si="220"/>
        <v>3315.5</v>
      </c>
      <c r="O1006" s="7">
        <f>прил.6!P554</f>
        <v>0</v>
      </c>
      <c r="P1006" s="35">
        <f t="shared" si="233"/>
        <v>3315.5</v>
      </c>
      <c r="Q1006" s="7">
        <f>прил.6!R554</f>
        <v>-447.5</v>
      </c>
      <c r="R1006" s="35">
        <f t="shared" si="231"/>
        <v>2868</v>
      </c>
      <c r="S1006" s="7">
        <f>прил.6!T554</f>
        <v>-1101</v>
      </c>
      <c r="T1006" s="35">
        <f t="shared" si="228"/>
        <v>1767</v>
      </c>
    </row>
    <row r="1007" spans="1:20" ht="33">
      <c r="A1007" s="61" t="str">
        <f ca="1">IF(ISERROR(MATCH(B1007,Код_КЦСР,0)),"",INDIRECT(ADDRESS(MATCH(B1007,Код_КЦСР,0)+1,2,,,"КЦСР")))</f>
        <v>Создание условий для формирования комфортной городской среды</v>
      </c>
      <c r="B1007" s="45" t="s">
        <v>45</v>
      </c>
      <c r="C1007" s="8"/>
      <c r="D1007" s="1"/>
      <c r="E1007" s="104"/>
      <c r="F1007" s="7">
        <f t="shared" ref="F1007:S1011" si="235">F1008</f>
        <v>1244.8</v>
      </c>
      <c r="G1007" s="7">
        <f t="shared" si="235"/>
        <v>0</v>
      </c>
      <c r="H1007" s="35">
        <f t="shared" si="227"/>
        <v>1244.8</v>
      </c>
      <c r="I1007" s="7">
        <f t="shared" si="235"/>
        <v>0</v>
      </c>
      <c r="J1007" s="35">
        <f t="shared" si="225"/>
        <v>1244.8</v>
      </c>
      <c r="K1007" s="7">
        <f t="shared" si="235"/>
        <v>0</v>
      </c>
      <c r="L1007" s="35">
        <f t="shared" si="219"/>
        <v>1244.8</v>
      </c>
      <c r="M1007" s="7">
        <f t="shared" si="235"/>
        <v>0</v>
      </c>
      <c r="N1007" s="35">
        <f t="shared" si="220"/>
        <v>1244.8</v>
      </c>
      <c r="O1007" s="7">
        <f t="shared" si="235"/>
        <v>0</v>
      </c>
      <c r="P1007" s="35">
        <f t="shared" si="233"/>
        <v>1244.8</v>
      </c>
      <c r="Q1007" s="7">
        <f t="shared" si="235"/>
        <v>-90</v>
      </c>
      <c r="R1007" s="35">
        <f t="shared" si="231"/>
        <v>1154.8</v>
      </c>
      <c r="S1007" s="7">
        <f t="shared" si="235"/>
        <v>-144.80000000000001</v>
      </c>
      <c r="T1007" s="35">
        <f t="shared" si="228"/>
        <v>1010</v>
      </c>
    </row>
    <row r="1008" spans="1:20">
      <c r="A1008" s="61" t="str">
        <f ca="1">IF(ISERROR(MATCH(C1008,Код_Раздел,0)),"",INDIRECT(ADDRESS(MATCH(C1008,Код_Раздел,0)+1,2,,,"Раздел")))</f>
        <v>Национальная экономика</v>
      </c>
      <c r="B1008" s="45" t="s">
        <v>45</v>
      </c>
      <c r="C1008" s="8" t="s">
        <v>216</v>
      </c>
      <c r="D1008" s="1"/>
      <c r="E1008" s="104"/>
      <c r="F1008" s="7">
        <f t="shared" si="235"/>
        <v>1244.8</v>
      </c>
      <c r="G1008" s="7">
        <f t="shared" si="235"/>
        <v>0</v>
      </c>
      <c r="H1008" s="35">
        <f t="shared" si="227"/>
        <v>1244.8</v>
      </c>
      <c r="I1008" s="7">
        <f t="shared" si="235"/>
        <v>0</v>
      </c>
      <c r="J1008" s="35">
        <f t="shared" si="225"/>
        <v>1244.8</v>
      </c>
      <c r="K1008" s="7">
        <f t="shared" si="235"/>
        <v>0</v>
      </c>
      <c r="L1008" s="35">
        <f t="shared" si="219"/>
        <v>1244.8</v>
      </c>
      <c r="M1008" s="7">
        <f t="shared" si="235"/>
        <v>0</v>
      </c>
      <c r="N1008" s="35">
        <f t="shared" si="220"/>
        <v>1244.8</v>
      </c>
      <c r="O1008" s="7">
        <f t="shared" si="235"/>
        <v>0</v>
      </c>
      <c r="P1008" s="35">
        <f t="shared" si="233"/>
        <v>1244.8</v>
      </c>
      <c r="Q1008" s="7">
        <f t="shared" si="235"/>
        <v>-90</v>
      </c>
      <c r="R1008" s="35">
        <f t="shared" si="231"/>
        <v>1154.8</v>
      </c>
      <c r="S1008" s="7">
        <f t="shared" si="235"/>
        <v>-144.80000000000001</v>
      </c>
      <c r="T1008" s="35">
        <f t="shared" si="228"/>
        <v>1010</v>
      </c>
    </row>
    <row r="1009" spans="1:20">
      <c r="A1009" s="12" t="s">
        <v>223</v>
      </c>
      <c r="B1009" s="45" t="s">
        <v>45</v>
      </c>
      <c r="C1009" s="8" t="s">
        <v>216</v>
      </c>
      <c r="D1009" s="8" t="s">
        <v>196</v>
      </c>
      <c r="E1009" s="104"/>
      <c r="F1009" s="7">
        <f t="shared" si="235"/>
        <v>1244.8</v>
      </c>
      <c r="G1009" s="7">
        <f t="shared" si="235"/>
        <v>0</v>
      </c>
      <c r="H1009" s="35">
        <f t="shared" si="227"/>
        <v>1244.8</v>
      </c>
      <c r="I1009" s="7">
        <f t="shared" si="235"/>
        <v>0</v>
      </c>
      <c r="J1009" s="35">
        <f t="shared" si="225"/>
        <v>1244.8</v>
      </c>
      <c r="K1009" s="7">
        <f t="shared" si="235"/>
        <v>0</v>
      </c>
      <c r="L1009" s="35">
        <f t="shared" si="219"/>
        <v>1244.8</v>
      </c>
      <c r="M1009" s="7">
        <f t="shared" si="235"/>
        <v>0</v>
      </c>
      <c r="N1009" s="35">
        <f t="shared" si="220"/>
        <v>1244.8</v>
      </c>
      <c r="O1009" s="7">
        <f t="shared" si="235"/>
        <v>0</v>
      </c>
      <c r="P1009" s="35">
        <f t="shared" si="233"/>
        <v>1244.8</v>
      </c>
      <c r="Q1009" s="7">
        <f t="shared" si="235"/>
        <v>-90</v>
      </c>
      <c r="R1009" s="35">
        <f t="shared" si="231"/>
        <v>1154.8</v>
      </c>
      <c r="S1009" s="7">
        <f t="shared" si="235"/>
        <v>-144.80000000000001</v>
      </c>
      <c r="T1009" s="35">
        <f t="shared" si="228"/>
        <v>1010</v>
      </c>
    </row>
    <row r="1010" spans="1:20">
      <c r="A1010" s="61" t="str">
        <f ca="1">IF(ISERROR(MATCH(E1010,Код_КВР,0)),"",INDIRECT(ADDRESS(MATCH(E1010,Код_КВР,0)+1,2,,,"КВР")))</f>
        <v>Закупка товаров, работ и услуг для муниципальных нужд</v>
      </c>
      <c r="B1010" s="45" t="s">
        <v>45</v>
      </c>
      <c r="C1010" s="8" t="s">
        <v>216</v>
      </c>
      <c r="D1010" s="8" t="s">
        <v>196</v>
      </c>
      <c r="E1010" s="104">
        <v>200</v>
      </c>
      <c r="F1010" s="7">
        <f t="shared" si="235"/>
        <v>1244.8</v>
      </c>
      <c r="G1010" s="7">
        <f t="shared" si="235"/>
        <v>0</v>
      </c>
      <c r="H1010" s="35">
        <f t="shared" si="227"/>
        <v>1244.8</v>
      </c>
      <c r="I1010" s="7">
        <f t="shared" si="235"/>
        <v>0</v>
      </c>
      <c r="J1010" s="35">
        <f t="shared" si="225"/>
        <v>1244.8</v>
      </c>
      <c r="K1010" s="7">
        <f t="shared" si="235"/>
        <v>0</v>
      </c>
      <c r="L1010" s="35">
        <f t="shared" ref="L1010:L1079" si="236">J1010+K1010</f>
        <v>1244.8</v>
      </c>
      <c r="M1010" s="7">
        <f t="shared" si="235"/>
        <v>0</v>
      </c>
      <c r="N1010" s="35">
        <f t="shared" ref="N1010:N1079" si="237">L1010+M1010</f>
        <v>1244.8</v>
      </c>
      <c r="O1010" s="7">
        <f t="shared" si="235"/>
        <v>0</v>
      </c>
      <c r="P1010" s="35">
        <f t="shared" si="233"/>
        <v>1244.8</v>
      </c>
      <c r="Q1010" s="7">
        <f t="shared" si="235"/>
        <v>-90</v>
      </c>
      <c r="R1010" s="35">
        <f t="shared" si="231"/>
        <v>1154.8</v>
      </c>
      <c r="S1010" s="7">
        <f t="shared" si="235"/>
        <v>-144.80000000000001</v>
      </c>
      <c r="T1010" s="35">
        <f t="shared" si="228"/>
        <v>1010</v>
      </c>
    </row>
    <row r="1011" spans="1:20" ht="33">
      <c r="A1011" s="61" t="str">
        <f ca="1">IF(ISERROR(MATCH(E1011,Код_КВР,0)),"",INDIRECT(ADDRESS(MATCH(E1011,Код_КВР,0)+1,2,,,"КВР")))</f>
        <v>Иные закупки товаров, работ и услуг для обеспечения муниципальных нужд</v>
      </c>
      <c r="B1011" s="45" t="s">
        <v>45</v>
      </c>
      <c r="C1011" s="8" t="s">
        <v>216</v>
      </c>
      <c r="D1011" s="8" t="s">
        <v>196</v>
      </c>
      <c r="E1011" s="104">
        <v>240</v>
      </c>
      <c r="F1011" s="7">
        <f t="shared" si="235"/>
        <v>1244.8</v>
      </c>
      <c r="G1011" s="7">
        <f t="shared" si="235"/>
        <v>0</v>
      </c>
      <c r="H1011" s="35">
        <f t="shared" si="227"/>
        <v>1244.8</v>
      </c>
      <c r="I1011" s="7">
        <f t="shared" si="235"/>
        <v>0</v>
      </c>
      <c r="J1011" s="35">
        <f t="shared" si="225"/>
        <v>1244.8</v>
      </c>
      <c r="K1011" s="7">
        <f t="shared" si="235"/>
        <v>0</v>
      </c>
      <c r="L1011" s="35">
        <f t="shared" si="236"/>
        <v>1244.8</v>
      </c>
      <c r="M1011" s="7">
        <f t="shared" si="235"/>
        <v>0</v>
      </c>
      <c r="N1011" s="35">
        <f t="shared" si="237"/>
        <v>1244.8</v>
      </c>
      <c r="O1011" s="7">
        <f t="shared" si="235"/>
        <v>0</v>
      </c>
      <c r="P1011" s="35">
        <f t="shared" si="233"/>
        <v>1244.8</v>
      </c>
      <c r="Q1011" s="7">
        <f t="shared" si="235"/>
        <v>-90</v>
      </c>
      <c r="R1011" s="35">
        <f t="shared" si="231"/>
        <v>1154.8</v>
      </c>
      <c r="S1011" s="7">
        <f t="shared" si="235"/>
        <v>-144.80000000000001</v>
      </c>
      <c r="T1011" s="35">
        <f t="shared" si="228"/>
        <v>1010</v>
      </c>
    </row>
    <row r="1012" spans="1:20" ht="33">
      <c r="A1012" s="61" t="str">
        <f ca="1">IF(ISERROR(MATCH(E1012,Код_КВР,0)),"",INDIRECT(ADDRESS(MATCH(E1012,Код_КВР,0)+1,2,,,"КВР")))</f>
        <v xml:space="preserve">Прочая закупка товаров, работ и услуг для обеспечения муниципальных нужд         </v>
      </c>
      <c r="B1012" s="45" t="s">
        <v>45</v>
      </c>
      <c r="C1012" s="8" t="s">
        <v>216</v>
      </c>
      <c r="D1012" s="8" t="s">
        <v>196</v>
      </c>
      <c r="E1012" s="104">
        <v>244</v>
      </c>
      <c r="F1012" s="7">
        <f>прил.6!G558</f>
        <v>1244.8</v>
      </c>
      <c r="G1012" s="7">
        <f>прил.6!H558</f>
        <v>0</v>
      </c>
      <c r="H1012" s="35">
        <f t="shared" si="227"/>
        <v>1244.8</v>
      </c>
      <c r="I1012" s="7">
        <f>прил.6!J558</f>
        <v>0</v>
      </c>
      <c r="J1012" s="35">
        <f t="shared" si="225"/>
        <v>1244.8</v>
      </c>
      <c r="K1012" s="7">
        <f>прил.6!L558</f>
        <v>0</v>
      </c>
      <c r="L1012" s="35">
        <f t="shared" si="236"/>
        <v>1244.8</v>
      </c>
      <c r="M1012" s="7">
        <f>прил.6!N558</f>
        <v>0</v>
      </c>
      <c r="N1012" s="35">
        <f t="shared" si="237"/>
        <v>1244.8</v>
      </c>
      <c r="O1012" s="7">
        <f>прил.6!P558</f>
        <v>0</v>
      </c>
      <c r="P1012" s="35">
        <f t="shared" si="233"/>
        <v>1244.8</v>
      </c>
      <c r="Q1012" s="7">
        <f>прил.6!R558</f>
        <v>-90</v>
      </c>
      <c r="R1012" s="35">
        <f t="shared" si="231"/>
        <v>1154.8</v>
      </c>
      <c r="S1012" s="7">
        <f>прил.6!T558</f>
        <v>-144.80000000000001</v>
      </c>
      <c r="T1012" s="35">
        <f t="shared" si="228"/>
        <v>1010</v>
      </c>
    </row>
    <row r="1013" spans="1:20" ht="33">
      <c r="A1013" s="61" t="str">
        <f ca="1">IF(ISERROR(MATCH(B1013,Код_КЦСР,0)),"",INDIRECT(ADDRESS(MATCH(B1013,Код_КЦСР,0)+1,2,,,"КЦСР")))</f>
        <v>Муниципальная программа «Развитие жилищно-коммунального хозяйства города Череповца» на 2014-2018 годы</v>
      </c>
      <c r="B1013" s="45" t="s">
        <v>46</v>
      </c>
      <c r="C1013" s="8"/>
      <c r="D1013" s="1"/>
      <c r="E1013" s="104"/>
      <c r="F1013" s="7">
        <f>F1014+F1058</f>
        <v>726507.20000000007</v>
      </c>
      <c r="G1013" s="7">
        <f>G1014+G1058</f>
        <v>51383.6</v>
      </c>
      <c r="H1013" s="35">
        <f t="shared" si="227"/>
        <v>777890.8</v>
      </c>
      <c r="I1013" s="7">
        <f>I1014+I1058</f>
        <v>-898.90000000000009</v>
      </c>
      <c r="J1013" s="35">
        <f t="shared" si="225"/>
        <v>776991.9</v>
      </c>
      <c r="K1013" s="7">
        <f>K1014+K1058</f>
        <v>-6324.4000000000005</v>
      </c>
      <c r="L1013" s="35">
        <f t="shared" si="236"/>
        <v>770667.5</v>
      </c>
      <c r="M1013" s="7">
        <f>M1014+M1058</f>
        <v>-676.69999999999993</v>
      </c>
      <c r="N1013" s="35">
        <f t="shared" si="237"/>
        <v>769990.8</v>
      </c>
      <c r="O1013" s="7">
        <f>O1014+O1058</f>
        <v>-140.19999999999999</v>
      </c>
      <c r="P1013" s="35">
        <f t="shared" si="233"/>
        <v>769850.60000000009</v>
      </c>
      <c r="Q1013" s="7">
        <f>Q1014+Q1058</f>
        <v>549.30000000000109</v>
      </c>
      <c r="R1013" s="35">
        <f t="shared" si="231"/>
        <v>770399.90000000014</v>
      </c>
      <c r="S1013" s="7">
        <f>S1014+S1058</f>
        <v>0</v>
      </c>
      <c r="T1013" s="35">
        <f t="shared" si="228"/>
        <v>770399.90000000014</v>
      </c>
    </row>
    <row r="1014" spans="1:20">
      <c r="A1014" s="61" t="str">
        <f ca="1">IF(ISERROR(MATCH(B1014,Код_КЦСР,0)),"",INDIRECT(ADDRESS(MATCH(B1014,Код_КЦСР,0)+1,2,,,"КЦСР")))</f>
        <v>Развитие благоустройства города</v>
      </c>
      <c r="B1014" s="45" t="s">
        <v>47</v>
      </c>
      <c r="C1014" s="8"/>
      <c r="D1014" s="1"/>
      <c r="E1014" s="104"/>
      <c r="F1014" s="7">
        <f>F1015+F1023+F1035+F1046+F1052</f>
        <v>718826.4</v>
      </c>
      <c r="G1014" s="7">
        <f>G1015+G1023+G1035+G1046+G1052</f>
        <v>51383.6</v>
      </c>
      <c r="H1014" s="35">
        <f t="shared" si="227"/>
        <v>770210</v>
      </c>
      <c r="I1014" s="7">
        <f>I1015+I1023+I1035+I1046+I1052</f>
        <v>-898.90000000000009</v>
      </c>
      <c r="J1014" s="35">
        <f t="shared" si="225"/>
        <v>769311.1</v>
      </c>
      <c r="K1014" s="7">
        <f>K1015+K1023+K1035+K1046+K1052</f>
        <v>-6086.3</v>
      </c>
      <c r="L1014" s="35">
        <f t="shared" si="236"/>
        <v>763224.79999999993</v>
      </c>
      <c r="M1014" s="7">
        <f>M1015+M1023+M1035+M1046+M1052</f>
        <v>-676.69999999999993</v>
      </c>
      <c r="N1014" s="35">
        <f t="shared" si="237"/>
        <v>762548.1</v>
      </c>
      <c r="O1014" s="7">
        <f>O1015+O1023+O1035+O1046+O1052</f>
        <v>-140.19999999999999</v>
      </c>
      <c r="P1014" s="35">
        <f t="shared" si="233"/>
        <v>762407.9</v>
      </c>
      <c r="Q1014" s="7">
        <f>Q1015+Q1023+Q1035+Q1046+Q1052</f>
        <v>-7789.6999999999989</v>
      </c>
      <c r="R1014" s="35">
        <f t="shared" si="231"/>
        <v>754618.20000000007</v>
      </c>
      <c r="S1014" s="7">
        <f>S1015+S1023+S1035+S1046+S1052</f>
        <v>0</v>
      </c>
      <c r="T1014" s="35">
        <f t="shared" si="228"/>
        <v>754618.20000000007</v>
      </c>
    </row>
    <row r="1015" spans="1:20" ht="33">
      <c r="A1015" s="61" t="str">
        <f ca="1">IF(ISERROR(MATCH(B1015,Код_КЦСР,0)),"",INDIRECT(ADDRESS(MATCH(B1015,Код_КЦСР,0)+1,2,,,"КЦСР")))</f>
        <v>Мероприятия по благоустройству и повышению внешней привлекательности города</v>
      </c>
      <c r="B1015" s="45" t="s">
        <v>49</v>
      </c>
      <c r="C1015" s="8"/>
      <c r="D1015" s="1"/>
      <c r="E1015" s="104"/>
      <c r="F1015" s="7">
        <f>F1016</f>
        <v>136626.20000000001</v>
      </c>
      <c r="G1015" s="7">
        <f>G1016</f>
        <v>0</v>
      </c>
      <c r="H1015" s="35">
        <f t="shared" si="227"/>
        <v>136626.20000000001</v>
      </c>
      <c r="I1015" s="7">
        <f>I1016</f>
        <v>-898.90000000000009</v>
      </c>
      <c r="J1015" s="35">
        <f t="shared" si="225"/>
        <v>135727.30000000002</v>
      </c>
      <c r="K1015" s="7">
        <f>K1016</f>
        <v>-2173.1999999999998</v>
      </c>
      <c r="L1015" s="35">
        <f t="shared" si="236"/>
        <v>133554.1</v>
      </c>
      <c r="M1015" s="7">
        <f>M1016</f>
        <v>0</v>
      </c>
      <c r="N1015" s="35">
        <f t="shared" si="237"/>
        <v>133554.1</v>
      </c>
      <c r="O1015" s="7">
        <f>O1016</f>
        <v>-140.19999999999999</v>
      </c>
      <c r="P1015" s="35">
        <f t="shared" si="233"/>
        <v>133413.9</v>
      </c>
      <c r="Q1015" s="7">
        <f>Q1016</f>
        <v>-1759.9</v>
      </c>
      <c r="R1015" s="35">
        <f t="shared" si="231"/>
        <v>131654</v>
      </c>
      <c r="S1015" s="7">
        <f>S1016</f>
        <v>5813.4</v>
      </c>
      <c r="T1015" s="35">
        <f t="shared" si="228"/>
        <v>137467.4</v>
      </c>
    </row>
    <row r="1016" spans="1:20">
      <c r="A1016" s="61" t="str">
        <f ca="1">IF(ISERROR(MATCH(C1016,Код_Раздел,0)),"",INDIRECT(ADDRESS(MATCH(C1016,Код_Раздел,0)+1,2,,,"Раздел")))</f>
        <v>Жилищно-коммунальное хозяйство</v>
      </c>
      <c r="B1016" s="45" t="s">
        <v>49</v>
      </c>
      <c r="C1016" s="8" t="s">
        <v>221</v>
      </c>
      <c r="D1016" s="1"/>
      <c r="E1016" s="104"/>
      <c r="F1016" s="7">
        <f>F1017</f>
        <v>136626.20000000001</v>
      </c>
      <c r="G1016" s="7">
        <f>G1017</f>
        <v>0</v>
      </c>
      <c r="H1016" s="35">
        <f t="shared" si="227"/>
        <v>136626.20000000001</v>
      </c>
      <c r="I1016" s="7">
        <f>I1017</f>
        <v>-898.90000000000009</v>
      </c>
      <c r="J1016" s="35">
        <f t="shared" si="225"/>
        <v>135727.30000000002</v>
      </c>
      <c r="K1016" s="7">
        <f>K1017</f>
        <v>-2173.1999999999998</v>
      </c>
      <c r="L1016" s="35">
        <f t="shared" si="236"/>
        <v>133554.1</v>
      </c>
      <c r="M1016" s="7">
        <f>M1017</f>
        <v>0</v>
      </c>
      <c r="N1016" s="35">
        <f t="shared" si="237"/>
        <v>133554.1</v>
      </c>
      <c r="O1016" s="7">
        <f>O1017</f>
        <v>-140.19999999999999</v>
      </c>
      <c r="P1016" s="35">
        <f t="shared" si="233"/>
        <v>133413.9</v>
      </c>
      <c r="Q1016" s="7">
        <f>Q1017</f>
        <v>-1759.9</v>
      </c>
      <c r="R1016" s="35">
        <f t="shared" si="231"/>
        <v>131654</v>
      </c>
      <c r="S1016" s="7">
        <f>S1017</f>
        <v>5813.4</v>
      </c>
      <c r="T1016" s="35">
        <f t="shared" si="228"/>
        <v>137467.4</v>
      </c>
    </row>
    <row r="1017" spans="1:20">
      <c r="A1017" s="61" t="s">
        <v>252</v>
      </c>
      <c r="B1017" s="45" t="s">
        <v>49</v>
      </c>
      <c r="C1017" s="8" t="s">
        <v>221</v>
      </c>
      <c r="D1017" s="8" t="s">
        <v>215</v>
      </c>
      <c r="E1017" s="104"/>
      <c r="F1017" s="7">
        <f>F1018+F1021</f>
        <v>136626.20000000001</v>
      </c>
      <c r="G1017" s="7">
        <f>G1018+G1021</f>
        <v>0</v>
      </c>
      <c r="H1017" s="35">
        <f t="shared" si="227"/>
        <v>136626.20000000001</v>
      </c>
      <c r="I1017" s="7">
        <f>I1018+I1021</f>
        <v>-898.90000000000009</v>
      </c>
      <c r="J1017" s="35">
        <f t="shared" si="225"/>
        <v>135727.30000000002</v>
      </c>
      <c r="K1017" s="7">
        <f>K1018+K1021</f>
        <v>-2173.1999999999998</v>
      </c>
      <c r="L1017" s="35">
        <f t="shared" si="236"/>
        <v>133554.1</v>
      </c>
      <c r="M1017" s="7">
        <f>M1018+M1021</f>
        <v>0</v>
      </c>
      <c r="N1017" s="35">
        <f t="shared" si="237"/>
        <v>133554.1</v>
      </c>
      <c r="O1017" s="7">
        <f>O1018+O1021</f>
        <v>-140.19999999999999</v>
      </c>
      <c r="P1017" s="35">
        <f t="shared" si="233"/>
        <v>133413.9</v>
      </c>
      <c r="Q1017" s="7">
        <f>Q1018+Q1021</f>
        <v>-1759.9</v>
      </c>
      <c r="R1017" s="35">
        <f t="shared" si="231"/>
        <v>131654</v>
      </c>
      <c r="S1017" s="7">
        <f>S1018+S1021</f>
        <v>5813.4</v>
      </c>
      <c r="T1017" s="35">
        <f t="shared" si="228"/>
        <v>137467.4</v>
      </c>
    </row>
    <row r="1018" spans="1:20">
      <c r="A1018" s="61" t="str">
        <f ca="1">IF(ISERROR(MATCH(E1018,Код_КВР,0)),"",INDIRECT(ADDRESS(MATCH(E1018,Код_КВР,0)+1,2,,,"КВР")))</f>
        <v>Закупка товаров, работ и услуг для муниципальных нужд</v>
      </c>
      <c r="B1018" s="45" t="s">
        <v>49</v>
      </c>
      <c r="C1018" s="8" t="s">
        <v>221</v>
      </c>
      <c r="D1018" s="8" t="s">
        <v>215</v>
      </c>
      <c r="E1018" s="104">
        <v>200</v>
      </c>
      <c r="F1018" s="7">
        <f>F1019</f>
        <v>104444.7</v>
      </c>
      <c r="G1018" s="7">
        <f>G1019</f>
        <v>0</v>
      </c>
      <c r="H1018" s="35">
        <f t="shared" si="227"/>
        <v>104444.7</v>
      </c>
      <c r="I1018" s="7">
        <f>I1019</f>
        <v>286.2</v>
      </c>
      <c r="J1018" s="35">
        <f t="shared" si="225"/>
        <v>104730.9</v>
      </c>
      <c r="K1018" s="7">
        <f>K1019</f>
        <v>-2173.1999999999998</v>
      </c>
      <c r="L1018" s="35">
        <f t="shared" si="236"/>
        <v>102557.7</v>
      </c>
      <c r="M1018" s="7">
        <f>M1019</f>
        <v>0</v>
      </c>
      <c r="N1018" s="35">
        <f t="shared" si="237"/>
        <v>102557.7</v>
      </c>
      <c r="O1018" s="7">
        <f>O1019</f>
        <v>-140.19999999999999</v>
      </c>
      <c r="P1018" s="35">
        <f t="shared" si="233"/>
        <v>102417.5</v>
      </c>
      <c r="Q1018" s="7">
        <f>Q1019</f>
        <v>-1759.9</v>
      </c>
      <c r="R1018" s="35">
        <f t="shared" si="231"/>
        <v>100657.60000000001</v>
      </c>
      <c r="S1018" s="7">
        <f>S1019</f>
        <v>5813.4</v>
      </c>
      <c r="T1018" s="35">
        <f t="shared" si="228"/>
        <v>106471</v>
      </c>
    </row>
    <row r="1019" spans="1:20" ht="33">
      <c r="A1019" s="61" t="str">
        <f ca="1">IF(ISERROR(MATCH(E1019,Код_КВР,0)),"",INDIRECT(ADDRESS(MATCH(E1019,Код_КВР,0)+1,2,,,"КВР")))</f>
        <v>Иные закупки товаров, работ и услуг для обеспечения муниципальных нужд</v>
      </c>
      <c r="B1019" s="45" t="s">
        <v>49</v>
      </c>
      <c r="C1019" s="8" t="s">
        <v>221</v>
      </c>
      <c r="D1019" s="8" t="s">
        <v>215</v>
      </c>
      <c r="E1019" s="104">
        <v>240</v>
      </c>
      <c r="F1019" s="7">
        <f>F1020</f>
        <v>104444.7</v>
      </c>
      <c r="G1019" s="7">
        <f>G1020</f>
        <v>0</v>
      </c>
      <c r="H1019" s="35">
        <f t="shared" si="227"/>
        <v>104444.7</v>
      </c>
      <c r="I1019" s="7">
        <f>I1020</f>
        <v>286.2</v>
      </c>
      <c r="J1019" s="35">
        <f t="shared" si="225"/>
        <v>104730.9</v>
      </c>
      <c r="K1019" s="7">
        <f>K1020</f>
        <v>-2173.1999999999998</v>
      </c>
      <c r="L1019" s="35">
        <f t="shared" si="236"/>
        <v>102557.7</v>
      </c>
      <c r="M1019" s="7">
        <f>M1020</f>
        <v>0</v>
      </c>
      <c r="N1019" s="35">
        <f t="shared" si="237"/>
        <v>102557.7</v>
      </c>
      <c r="O1019" s="7">
        <f>O1020</f>
        <v>-140.19999999999999</v>
      </c>
      <c r="P1019" s="35">
        <f t="shared" si="233"/>
        <v>102417.5</v>
      </c>
      <c r="Q1019" s="7">
        <f>Q1020</f>
        <v>-1759.9</v>
      </c>
      <c r="R1019" s="35">
        <f t="shared" si="231"/>
        <v>100657.60000000001</v>
      </c>
      <c r="S1019" s="7">
        <f>S1020</f>
        <v>5813.4</v>
      </c>
      <c r="T1019" s="35">
        <f t="shared" si="228"/>
        <v>106471</v>
      </c>
    </row>
    <row r="1020" spans="1:20" ht="33">
      <c r="A1020" s="61" t="str">
        <f ca="1">IF(ISERROR(MATCH(E1020,Код_КВР,0)),"",INDIRECT(ADDRESS(MATCH(E1020,Код_КВР,0)+1,2,,,"КВР")))</f>
        <v xml:space="preserve">Прочая закупка товаров, работ и услуг для обеспечения муниципальных нужд         </v>
      </c>
      <c r="B1020" s="45" t="s">
        <v>49</v>
      </c>
      <c r="C1020" s="8" t="s">
        <v>221</v>
      </c>
      <c r="D1020" s="8" t="s">
        <v>215</v>
      </c>
      <c r="E1020" s="104">
        <v>244</v>
      </c>
      <c r="F1020" s="7">
        <f>прил.6!G505</f>
        <v>104444.7</v>
      </c>
      <c r="G1020" s="7">
        <f>прил.6!H505</f>
        <v>0</v>
      </c>
      <c r="H1020" s="35">
        <f t="shared" si="227"/>
        <v>104444.7</v>
      </c>
      <c r="I1020" s="7">
        <f>прил.6!J505</f>
        <v>286.2</v>
      </c>
      <c r="J1020" s="35">
        <f t="shared" si="225"/>
        <v>104730.9</v>
      </c>
      <c r="K1020" s="7">
        <f>прил.6!L505</f>
        <v>-2173.1999999999998</v>
      </c>
      <c r="L1020" s="35">
        <f t="shared" si="236"/>
        <v>102557.7</v>
      </c>
      <c r="M1020" s="7">
        <f>прил.6!N505</f>
        <v>0</v>
      </c>
      <c r="N1020" s="35">
        <f t="shared" si="237"/>
        <v>102557.7</v>
      </c>
      <c r="O1020" s="7">
        <f>прил.6!P505</f>
        <v>-140.19999999999999</v>
      </c>
      <c r="P1020" s="35">
        <f t="shared" si="233"/>
        <v>102417.5</v>
      </c>
      <c r="Q1020" s="7">
        <f>прил.6!R505</f>
        <v>-1759.9</v>
      </c>
      <c r="R1020" s="35">
        <f t="shared" si="231"/>
        <v>100657.60000000001</v>
      </c>
      <c r="S1020" s="7">
        <f>прил.6!T505</f>
        <v>5813.4</v>
      </c>
      <c r="T1020" s="35">
        <f t="shared" si="228"/>
        <v>106471</v>
      </c>
    </row>
    <row r="1021" spans="1:20">
      <c r="A1021" s="61" t="str">
        <f ca="1">IF(ISERROR(MATCH(E1021,Код_КВР,0)),"",INDIRECT(ADDRESS(MATCH(E1021,Код_КВР,0)+1,2,,,"КВР")))</f>
        <v>Иные бюджетные ассигнования</v>
      </c>
      <c r="B1021" s="45" t="s">
        <v>49</v>
      </c>
      <c r="C1021" s="8" t="s">
        <v>221</v>
      </c>
      <c r="D1021" s="8" t="s">
        <v>215</v>
      </c>
      <c r="E1021" s="104">
        <v>800</v>
      </c>
      <c r="F1021" s="7">
        <f>F1022</f>
        <v>32181.5</v>
      </c>
      <c r="G1021" s="7">
        <f>G1022</f>
        <v>0</v>
      </c>
      <c r="H1021" s="35">
        <f t="shared" si="227"/>
        <v>32181.5</v>
      </c>
      <c r="I1021" s="7">
        <f>I1022</f>
        <v>-1185.1000000000001</v>
      </c>
      <c r="J1021" s="35">
        <f t="shared" si="225"/>
        <v>30996.400000000001</v>
      </c>
      <c r="K1021" s="7">
        <f>K1022</f>
        <v>0</v>
      </c>
      <c r="L1021" s="35">
        <f t="shared" si="236"/>
        <v>30996.400000000001</v>
      </c>
      <c r="M1021" s="7">
        <f>M1022</f>
        <v>0</v>
      </c>
      <c r="N1021" s="35">
        <f t="shared" si="237"/>
        <v>30996.400000000001</v>
      </c>
      <c r="O1021" s="7">
        <f>O1022</f>
        <v>0</v>
      </c>
      <c r="P1021" s="35">
        <f t="shared" si="233"/>
        <v>30996.400000000001</v>
      </c>
      <c r="Q1021" s="7">
        <f>Q1022</f>
        <v>0</v>
      </c>
      <c r="R1021" s="35">
        <f t="shared" si="231"/>
        <v>30996.400000000001</v>
      </c>
      <c r="S1021" s="7">
        <f>S1022</f>
        <v>0</v>
      </c>
      <c r="T1021" s="35">
        <f t="shared" si="228"/>
        <v>30996.400000000001</v>
      </c>
    </row>
    <row r="1022" spans="1:20" ht="49.5">
      <c r="A1022" s="61" t="str">
        <f ca="1">IF(ISERROR(MATCH(E1022,Код_КВР,0)),"",INDIRECT(ADDRESS(MATCH(E1022,Код_КВР,0)+1,2,,,"КВР")))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022" s="45" t="s">
        <v>49</v>
      </c>
      <c r="C1022" s="8" t="s">
        <v>221</v>
      </c>
      <c r="D1022" s="8" t="s">
        <v>215</v>
      </c>
      <c r="E1022" s="104">
        <v>810</v>
      </c>
      <c r="F1022" s="7">
        <f>прил.6!G507</f>
        <v>32181.5</v>
      </c>
      <c r="G1022" s="7">
        <f>прил.6!H507</f>
        <v>0</v>
      </c>
      <c r="H1022" s="35">
        <f t="shared" si="227"/>
        <v>32181.5</v>
      </c>
      <c r="I1022" s="7">
        <f>прил.6!J507</f>
        <v>-1185.1000000000001</v>
      </c>
      <c r="J1022" s="35">
        <f t="shared" si="225"/>
        <v>30996.400000000001</v>
      </c>
      <c r="K1022" s="7">
        <f>прил.6!L507</f>
        <v>0</v>
      </c>
      <c r="L1022" s="35">
        <f t="shared" si="236"/>
        <v>30996.400000000001</v>
      </c>
      <c r="M1022" s="7">
        <f>прил.6!N507</f>
        <v>0</v>
      </c>
      <c r="N1022" s="35">
        <f t="shared" si="237"/>
        <v>30996.400000000001</v>
      </c>
      <c r="O1022" s="7">
        <f>прил.6!P507</f>
        <v>0</v>
      </c>
      <c r="P1022" s="35">
        <f t="shared" si="233"/>
        <v>30996.400000000001</v>
      </c>
      <c r="Q1022" s="7">
        <f>прил.6!R507</f>
        <v>0</v>
      </c>
      <c r="R1022" s="35">
        <f t="shared" si="231"/>
        <v>30996.400000000001</v>
      </c>
      <c r="S1022" s="7">
        <f>прил.6!T507</f>
        <v>0</v>
      </c>
      <c r="T1022" s="35">
        <f t="shared" si="228"/>
        <v>30996.400000000001</v>
      </c>
    </row>
    <row r="1023" spans="1:20" ht="33">
      <c r="A1023" s="61" t="str">
        <f ca="1">IF(ISERROR(MATCH(B1023,Код_КЦСР,0)),"",INDIRECT(ADDRESS(MATCH(B1023,Код_КЦСР,0)+1,2,,,"КЦСР")))</f>
        <v>Мероприятия по содержанию и ремонту улично-дорожной  сети города</v>
      </c>
      <c r="B1023" s="45" t="s">
        <v>51</v>
      </c>
      <c r="C1023" s="8"/>
      <c r="D1023" s="1"/>
      <c r="E1023" s="104"/>
      <c r="F1023" s="7">
        <f>F1024</f>
        <v>352239.7</v>
      </c>
      <c r="G1023" s="7">
        <f>G1024</f>
        <v>51383.6</v>
      </c>
      <c r="H1023" s="35">
        <f t="shared" si="227"/>
        <v>403623.3</v>
      </c>
      <c r="I1023" s="7">
        <f>I1024</f>
        <v>0</v>
      </c>
      <c r="J1023" s="35">
        <f t="shared" ref="J1023:J1092" si="238">H1023+I1023</f>
        <v>403623.3</v>
      </c>
      <c r="K1023" s="7">
        <f>K1024</f>
        <v>-3913.1000000000004</v>
      </c>
      <c r="L1023" s="35">
        <f t="shared" si="236"/>
        <v>399710.2</v>
      </c>
      <c r="M1023" s="7">
        <f>M1024</f>
        <v>-676.69999999999993</v>
      </c>
      <c r="N1023" s="35">
        <f t="shared" si="237"/>
        <v>399033.5</v>
      </c>
      <c r="O1023" s="7">
        <f>O1024</f>
        <v>0</v>
      </c>
      <c r="P1023" s="35">
        <f t="shared" si="233"/>
        <v>399033.5</v>
      </c>
      <c r="Q1023" s="7">
        <f>Q1024</f>
        <v>-6029.7999999999993</v>
      </c>
      <c r="R1023" s="35">
        <f t="shared" si="231"/>
        <v>393003.7</v>
      </c>
      <c r="S1023" s="7">
        <f>S1024</f>
        <v>-5813.4</v>
      </c>
      <c r="T1023" s="35">
        <f t="shared" si="228"/>
        <v>387190.3</v>
      </c>
    </row>
    <row r="1024" spans="1:20">
      <c r="A1024" s="61" t="str">
        <f ca="1">IF(ISERROR(MATCH(C1024,Код_Раздел,0)),"",INDIRECT(ADDRESS(MATCH(C1024,Код_Раздел,0)+1,2,,,"Раздел")))</f>
        <v>Национальная экономика</v>
      </c>
      <c r="B1024" s="45" t="s">
        <v>51</v>
      </c>
      <c r="C1024" s="8" t="s">
        <v>216</v>
      </c>
      <c r="D1024" s="1"/>
      <c r="E1024" s="104"/>
      <c r="F1024" s="7">
        <f>F1025</f>
        <v>352239.7</v>
      </c>
      <c r="G1024" s="7">
        <f>G1025</f>
        <v>51383.6</v>
      </c>
      <c r="H1024" s="35">
        <f t="shared" si="227"/>
        <v>403623.3</v>
      </c>
      <c r="I1024" s="7">
        <f>I1025</f>
        <v>0</v>
      </c>
      <c r="J1024" s="35">
        <f t="shared" si="238"/>
        <v>403623.3</v>
      </c>
      <c r="K1024" s="7">
        <f>K1025</f>
        <v>-3913.1000000000004</v>
      </c>
      <c r="L1024" s="35">
        <f t="shared" si="236"/>
        <v>399710.2</v>
      </c>
      <c r="M1024" s="7">
        <f>M1025</f>
        <v>-676.69999999999993</v>
      </c>
      <c r="N1024" s="35">
        <f t="shared" si="237"/>
        <v>399033.5</v>
      </c>
      <c r="O1024" s="7">
        <f>O1025</f>
        <v>0</v>
      </c>
      <c r="P1024" s="35">
        <f t="shared" si="233"/>
        <v>399033.5</v>
      </c>
      <c r="Q1024" s="7">
        <f>Q1025</f>
        <v>-6029.7999999999993</v>
      </c>
      <c r="R1024" s="35">
        <f t="shared" si="231"/>
        <v>393003.7</v>
      </c>
      <c r="S1024" s="7">
        <f>S1025</f>
        <v>-5813.4</v>
      </c>
      <c r="T1024" s="35">
        <f t="shared" si="228"/>
        <v>387190.3</v>
      </c>
    </row>
    <row r="1025" spans="1:20">
      <c r="A1025" s="77" t="s">
        <v>180</v>
      </c>
      <c r="B1025" s="45" t="s">
        <v>51</v>
      </c>
      <c r="C1025" s="8" t="s">
        <v>216</v>
      </c>
      <c r="D1025" s="8" t="s">
        <v>219</v>
      </c>
      <c r="E1025" s="104"/>
      <c r="F1025" s="7">
        <f>F1026+F1028+F1032</f>
        <v>352239.7</v>
      </c>
      <c r="G1025" s="7">
        <f>G1026+G1028+G1032</f>
        <v>51383.6</v>
      </c>
      <c r="H1025" s="35">
        <f t="shared" si="227"/>
        <v>403623.3</v>
      </c>
      <c r="I1025" s="7">
        <f>I1026+I1028+I1032</f>
        <v>0</v>
      </c>
      <c r="J1025" s="35">
        <f t="shared" si="238"/>
        <v>403623.3</v>
      </c>
      <c r="K1025" s="7">
        <f>K1026+K1028+K1032</f>
        <v>-3913.1000000000004</v>
      </c>
      <c r="L1025" s="35">
        <f t="shared" si="236"/>
        <v>399710.2</v>
      </c>
      <c r="M1025" s="7">
        <f>M1026+M1028+M1032</f>
        <v>-676.69999999999993</v>
      </c>
      <c r="N1025" s="35">
        <f t="shared" si="237"/>
        <v>399033.5</v>
      </c>
      <c r="O1025" s="7">
        <f>O1026+O1028+O1032</f>
        <v>0</v>
      </c>
      <c r="P1025" s="35">
        <f t="shared" si="233"/>
        <v>399033.5</v>
      </c>
      <c r="Q1025" s="7">
        <f>Q1026+Q1028+Q1032</f>
        <v>-6029.7999999999993</v>
      </c>
      <c r="R1025" s="35">
        <f t="shared" si="231"/>
        <v>393003.7</v>
      </c>
      <c r="S1025" s="7">
        <f>S1026+S1028+S1032</f>
        <v>-5813.4</v>
      </c>
      <c r="T1025" s="35">
        <f t="shared" ref="T1025:T1088" si="239">R1025+S1025</f>
        <v>387190.3</v>
      </c>
    </row>
    <row r="1026" spans="1:20" ht="33">
      <c r="A1026" s="61" t="str">
        <f t="shared" ref="A1026:A1034" ca="1" si="240">IF(ISERROR(MATCH(E1026,Код_КВР,0)),"",INDIRECT(ADDRESS(MATCH(E1026,Код_КВР,0)+1,2,,,"КВР")))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026" s="45" t="s">
        <v>51</v>
      </c>
      <c r="C1026" s="8" t="s">
        <v>216</v>
      </c>
      <c r="D1026" s="8" t="s">
        <v>219</v>
      </c>
      <c r="E1026" s="104">
        <v>100</v>
      </c>
      <c r="F1026" s="7">
        <f>F1027</f>
        <v>10425.9</v>
      </c>
      <c r="G1026" s="7">
        <f>G1027</f>
        <v>0</v>
      </c>
      <c r="H1026" s="35">
        <f t="shared" si="227"/>
        <v>10425.9</v>
      </c>
      <c r="I1026" s="7">
        <f>I1027</f>
        <v>0</v>
      </c>
      <c r="J1026" s="35">
        <f t="shared" si="238"/>
        <v>10425.9</v>
      </c>
      <c r="K1026" s="7">
        <f>K1027</f>
        <v>0</v>
      </c>
      <c r="L1026" s="35">
        <f t="shared" si="236"/>
        <v>10425.9</v>
      </c>
      <c r="M1026" s="7">
        <f>M1027</f>
        <v>0</v>
      </c>
      <c r="N1026" s="35">
        <f t="shared" si="237"/>
        <v>10425.9</v>
      </c>
      <c r="O1026" s="7">
        <f>O1027</f>
        <v>0</v>
      </c>
      <c r="P1026" s="35">
        <f t="shared" si="233"/>
        <v>10425.9</v>
      </c>
      <c r="Q1026" s="7">
        <f>Q1027</f>
        <v>0</v>
      </c>
      <c r="R1026" s="35">
        <f t="shared" si="231"/>
        <v>10425.9</v>
      </c>
      <c r="S1026" s="7">
        <f>S1027</f>
        <v>0</v>
      </c>
      <c r="T1026" s="35">
        <f t="shared" si="239"/>
        <v>10425.9</v>
      </c>
    </row>
    <row r="1027" spans="1:20">
      <c r="A1027" s="61" t="str">
        <f t="shared" ca="1" si="240"/>
        <v>Расходы на выплаты персоналу казенных учреждений</v>
      </c>
      <c r="B1027" s="45" t="s">
        <v>51</v>
      </c>
      <c r="C1027" s="8" t="s">
        <v>216</v>
      </c>
      <c r="D1027" s="8" t="s">
        <v>219</v>
      </c>
      <c r="E1027" s="104">
        <v>110</v>
      </c>
      <c r="F1027" s="7">
        <f>прил.6!G444</f>
        <v>10425.9</v>
      </c>
      <c r="G1027" s="7">
        <f>прил.6!H444</f>
        <v>0</v>
      </c>
      <c r="H1027" s="35">
        <f t="shared" si="227"/>
        <v>10425.9</v>
      </c>
      <c r="I1027" s="7">
        <f>прил.6!J444</f>
        <v>0</v>
      </c>
      <c r="J1027" s="35">
        <f t="shared" si="238"/>
        <v>10425.9</v>
      </c>
      <c r="K1027" s="7">
        <f>прил.6!L444</f>
        <v>0</v>
      </c>
      <c r="L1027" s="35">
        <f t="shared" si="236"/>
        <v>10425.9</v>
      </c>
      <c r="M1027" s="7">
        <f>прил.6!N444</f>
        <v>0</v>
      </c>
      <c r="N1027" s="35">
        <f t="shared" si="237"/>
        <v>10425.9</v>
      </c>
      <c r="O1027" s="7">
        <f>прил.6!P444</f>
        <v>0</v>
      </c>
      <c r="P1027" s="35">
        <f t="shared" si="233"/>
        <v>10425.9</v>
      </c>
      <c r="Q1027" s="7">
        <f>прил.6!R444</f>
        <v>0</v>
      </c>
      <c r="R1027" s="35">
        <f t="shared" si="231"/>
        <v>10425.9</v>
      </c>
      <c r="S1027" s="7">
        <f>прил.6!T444</f>
        <v>0</v>
      </c>
      <c r="T1027" s="35">
        <f t="shared" si="239"/>
        <v>10425.9</v>
      </c>
    </row>
    <row r="1028" spans="1:20">
      <c r="A1028" s="61" t="str">
        <f t="shared" ca="1" si="240"/>
        <v>Закупка товаров, работ и услуг для муниципальных нужд</v>
      </c>
      <c r="B1028" s="45" t="s">
        <v>51</v>
      </c>
      <c r="C1028" s="8" t="s">
        <v>216</v>
      </c>
      <c r="D1028" s="8" t="s">
        <v>219</v>
      </c>
      <c r="E1028" s="104">
        <v>200</v>
      </c>
      <c r="F1028" s="7">
        <f>F1029</f>
        <v>341812.2</v>
      </c>
      <c r="G1028" s="7">
        <f>G1029</f>
        <v>51383.6</v>
      </c>
      <c r="H1028" s="35">
        <f t="shared" si="227"/>
        <v>393195.8</v>
      </c>
      <c r="I1028" s="7">
        <f>I1029</f>
        <v>0</v>
      </c>
      <c r="J1028" s="35">
        <f t="shared" si="238"/>
        <v>393195.8</v>
      </c>
      <c r="K1028" s="7">
        <f>K1029</f>
        <v>-3913.1000000000004</v>
      </c>
      <c r="L1028" s="35">
        <f t="shared" si="236"/>
        <v>389282.7</v>
      </c>
      <c r="M1028" s="7">
        <f>M1029</f>
        <v>-676.69999999999993</v>
      </c>
      <c r="N1028" s="35">
        <f t="shared" si="237"/>
        <v>388606</v>
      </c>
      <c r="O1028" s="7">
        <f>O1029</f>
        <v>0</v>
      </c>
      <c r="P1028" s="35">
        <f t="shared" si="233"/>
        <v>388606</v>
      </c>
      <c r="Q1028" s="7">
        <f>Q1029</f>
        <v>-6029.7999999999993</v>
      </c>
      <c r="R1028" s="35">
        <f t="shared" si="231"/>
        <v>382576.2</v>
      </c>
      <c r="S1028" s="7">
        <f>S1029</f>
        <v>-5813.4</v>
      </c>
      <c r="T1028" s="35">
        <f t="shared" si="239"/>
        <v>376762.8</v>
      </c>
    </row>
    <row r="1029" spans="1:20" ht="33">
      <c r="A1029" s="61" t="str">
        <f t="shared" ca="1" si="240"/>
        <v>Иные закупки товаров, работ и услуг для обеспечения муниципальных нужд</v>
      </c>
      <c r="B1029" s="45" t="s">
        <v>51</v>
      </c>
      <c r="C1029" s="8" t="s">
        <v>216</v>
      </c>
      <c r="D1029" s="8" t="s">
        <v>219</v>
      </c>
      <c r="E1029" s="104">
        <v>240</v>
      </c>
      <c r="F1029" s="7">
        <f>SUM(F1030:F1031)</f>
        <v>341812.2</v>
      </c>
      <c r="G1029" s="7">
        <f>SUM(G1030:G1031)</f>
        <v>51383.6</v>
      </c>
      <c r="H1029" s="35">
        <f t="shared" si="227"/>
        <v>393195.8</v>
      </c>
      <c r="I1029" s="7">
        <f>SUM(I1030:I1031)</f>
        <v>0</v>
      </c>
      <c r="J1029" s="35">
        <f t="shared" si="238"/>
        <v>393195.8</v>
      </c>
      <c r="K1029" s="7">
        <f>SUM(K1030:K1031)</f>
        <v>-3913.1000000000004</v>
      </c>
      <c r="L1029" s="35">
        <f t="shared" si="236"/>
        <v>389282.7</v>
      </c>
      <c r="M1029" s="7">
        <f>SUM(M1030:M1031)</f>
        <v>-676.69999999999993</v>
      </c>
      <c r="N1029" s="35">
        <f t="shared" si="237"/>
        <v>388606</v>
      </c>
      <c r="O1029" s="7">
        <f>SUM(O1030:O1031)</f>
        <v>0</v>
      </c>
      <c r="P1029" s="35">
        <f t="shared" si="233"/>
        <v>388606</v>
      </c>
      <c r="Q1029" s="7">
        <f>SUM(Q1030:Q1031)</f>
        <v>-6029.7999999999993</v>
      </c>
      <c r="R1029" s="35">
        <f t="shared" si="231"/>
        <v>382576.2</v>
      </c>
      <c r="S1029" s="7">
        <f>SUM(S1030:S1031)</f>
        <v>-5813.4</v>
      </c>
      <c r="T1029" s="35">
        <f t="shared" si="239"/>
        <v>376762.8</v>
      </c>
    </row>
    <row r="1030" spans="1:20" ht="33" hidden="1">
      <c r="A1030" s="61" t="str">
        <f t="shared" ca="1" si="240"/>
        <v>Закупка товаров, работ, услуг в сфере информационно-коммуникационных технологий</v>
      </c>
      <c r="B1030" s="45" t="s">
        <v>51</v>
      </c>
      <c r="C1030" s="8" t="s">
        <v>216</v>
      </c>
      <c r="D1030" s="8" t="s">
        <v>219</v>
      </c>
      <c r="E1030" s="104">
        <v>242</v>
      </c>
      <c r="F1030" s="7">
        <f>прил.6!G447</f>
        <v>665.5</v>
      </c>
      <c r="G1030" s="7">
        <f>прил.6!H447</f>
        <v>0</v>
      </c>
      <c r="H1030" s="35">
        <f t="shared" si="227"/>
        <v>665.5</v>
      </c>
      <c r="I1030" s="7">
        <f>прил.6!J447</f>
        <v>-665.5</v>
      </c>
      <c r="J1030" s="35">
        <f t="shared" si="238"/>
        <v>0</v>
      </c>
      <c r="K1030" s="7">
        <f>прил.6!L447</f>
        <v>0</v>
      </c>
      <c r="L1030" s="35">
        <f t="shared" si="236"/>
        <v>0</v>
      </c>
      <c r="M1030" s="7">
        <f>прил.6!N447</f>
        <v>0</v>
      </c>
      <c r="N1030" s="35">
        <f t="shared" si="237"/>
        <v>0</v>
      </c>
      <c r="O1030" s="7">
        <f>прил.6!P447</f>
        <v>0</v>
      </c>
      <c r="P1030" s="35">
        <f t="shared" si="233"/>
        <v>0</v>
      </c>
      <c r="Q1030" s="7">
        <f>прил.6!R447</f>
        <v>0</v>
      </c>
      <c r="R1030" s="35">
        <f t="shared" si="231"/>
        <v>0</v>
      </c>
      <c r="S1030" s="7">
        <f>прил.6!T447</f>
        <v>0</v>
      </c>
      <c r="T1030" s="35">
        <f t="shared" si="239"/>
        <v>0</v>
      </c>
    </row>
    <row r="1031" spans="1:20" ht="33">
      <c r="A1031" s="61" t="str">
        <f t="shared" ca="1" si="240"/>
        <v xml:space="preserve">Прочая закупка товаров, работ и услуг для обеспечения муниципальных нужд         </v>
      </c>
      <c r="B1031" s="45" t="s">
        <v>51</v>
      </c>
      <c r="C1031" s="8" t="s">
        <v>216</v>
      </c>
      <c r="D1031" s="8" t="s">
        <v>219</v>
      </c>
      <c r="E1031" s="104">
        <v>244</v>
      </c>
      <c r="F1031" s="7">
        <f>прил.6!G448</f>
        <v>341146.7</v>
      </c>
      <c r="G1031" s="7">
        <f>прил.6!H448</f>
        <v>51383.6</v>
      </c>
      <c r="H1031" s="35">
        <f t="shared" ref="H1031:H1100" si="241">F1031+G1031</f>
        <v>392530.3</v>
      </c>
      <c r="I1031" s="7">
        <f>прил.6!J448</f>
        <v>665.5</v>
      </c>
      <c r="J1031" s="35">
        <f t="shared" si="238"/>
        <v>393195.8</v>
      </c>
      <c r="K1031" s="7">
        <f>прил.6!L448</f>
        <v>-3913.1000000000004</v>
      </c>
      <c r="L1031" s="35">
        <f t="shared" si="236"/>
        <v>389282.7</v>
      </c>
      <c r="M1031" s="7">
        <f>прил.6!N448</f>
        <v>-676.69999999999993</v>
      </c>
      <c r="N1031" s="35">
        <f t="shared" si="237"/>
        <v>388606</v>
      </c>
      <c r="O1031" s="7">
        <f>прил.6!P448</f>
        <v>0</v>
      </c>
      <c r="P1031" s="35">
        <f t="shared" si="233"/>
        <v>388606</v>
      </c>
      <c r="Q1031" s="7">
        <f>прил.6!R448</f>
        <v>-6029.7999999999993</v>
      </c>
      <c r="R1031" s="35">
        <f t="shared" si="231"/>
        <v>382576.2</v>
      </c>
      <c r="S1031" s="7">
        <f>прил.6!T448</f>
        <v>-5813.4</v>
      </c>
      <c r="T1031" s="35">
        <f t="shared" si="239"/>
        <v>376762.8</v>
      </c>
    </row>
    <row r="1032" spans="1:20">
      <c r="A1032" s="61" t="str">
        <f t="shared" ca="1" si="240"/>
        <v>Иные бюджетные ассигнования</v>
      </c>
      <c r="B1032" s="45" t="s">
        <v>51</v>
      </c>
      <c r="C1032" s="8" t="s">
        <v>216</v>
      </c>
      <c r="D1032" s="8" t="s">
        <v>219</v>
      </c>
      <c r="E1032" s="104">
        <v>800</v>
      </c>
      <c r="F1032" s="7">
        <f>F1033</f>
        <v>1.6</v>
      </c>
      <c r="G1032" s="7">
        <f>G1033</f>
        <v>0</v>
      </c>
      <c r="H1032" s="35">
        <f t="shared" si="241"/>
        <v>1.6</v>
      </c>
      <c r="I1032" s="7">
        <f>I1033</f>
        <v>0</v>
      </c>
      <c r="J1032" s="35">
        <f t="shared" si="238"/>
        <v>1.6</v>
      </c>
      <c r="K1032" s="7">
        <f>K1033</f>
        <v>0</v>
      </c>
      <c r="L1032" s="35">
        <f t="shared" si="236"/>
        <v>1.6</v>
      </c>
      <c r="M1032" s="7">
        <f>M1033</f>
        <v>0</v>
      </c>
      <c r="N1032" s="35">
        <f t="shared" si="237"/>
        <v>1.6</v>
      </c>
      <c r="O1032" s="7">
        <f>O1033</f>
        <v>0</v>
      </c>
      <c r="P1032" s="35">
        <f t="shared" si="233"/>
        <v>1.6</v>
      </c>
      <c r="Q1032" s="7">
        <f>Q1033</f>
        <v>0</v>
      </c>
      <c r="R1032" s="35">
        <f t="shared" si="231"/>
        <v>1.6</v>
      </c>
      <c r="S1032" s="7">
        <f>S1033</f>
        <v>0</v>
      </c>
      <c r="T1032" s="35">
        <f t="shared" si="239"/>
        <v>1.6</v>
      </c>
    </row>
    <row r="1033" spans="1:20">
      <c r="A1033" s="61" t="str">
        <f t="shared" ca="1" si="240"/>
        <v>Уплата налогов, сборов и иных платежей</v>
      </c>
      <c r="B1033" s="45" t="s">
        <v>51</v>
      </c>
      <c r="C1033" s="8" t="s">
        <v>216</v>
      </c>
      <c r="D1033" s="8" t="s">
        <v>219</v>
      </c>
      <c r="E1033" s="104">
        <v>850</v>
      </c>
      <c r="F1033" s="7">
        <f>F1034</f>
        <v>1.6</v>
      </c>
      <c r="G1033" s="7">
        <f>G1034</f>
        <v>0</v>
      </c>
      <c r="H1033" s="35">
        <f t="shared" si="241"/>
        <v>1.6</v>
      </c>
      <c r="I1033" s="7">
        <f>I1034</f>
        <v>0</v>
      </c>
      <c r="J1033" s="35">
        <f t="shared" si="238"/>
        <v>1.6</v>
      </c>
      <c r="K1033" s="7">
        <f>K1034</f>
        <v>0</v>
      </c>
      <c r="L1033" s="35">
        <f t="shared" si="236"/>
        <v>1.6</v>
      </c>
      <c r="M1033" s="7">
        <f>M1034</f>
        <v>0</v>
      </c>
      <c r="N1033" s="35">
        <f t="shared" si="237"/>
        <v>1.6</v>
      </c>
      <c r="O1033" s="7">
        <f>O1034</f>
        <v>0</v>
      </c>
      <c r="P1033" s="35">
        <f t="shared" si="233"/>
        <v>1.6</v>
      </c>
      <c r="Q1033" s="7">
        <f>Q1034</f>
        <v>0</v>
      </c>
      <c r="R1033" s="35">
        <f t="shared" si="231"/>
        <v>1.6</v>
      </c>
      <c r="S1033" s="7">
        <f>S1034</f>
        <v>0</v>
      </c>
      <c r="T1033" s="35">
        <f t="shared" si="239"/>
        <v>1.6</v>
      </c>
    </row>
    <row r="1034" spans="1:20">
      <c r="A1034" s="61" t="str">
        <f t="shared" ca="1" si="240"/>
        <v>Уплата прочих налогов, сборов и иных платежей</v>
      </c>
      <c r="B1034" s="45" t="s">
        <v>51</v>
      </c>
      <c r="C1034" s="8" t="s">
        <v>216</v>
      </c>
      <c r="D1034" s="8" t="s">
        <v>219</v>
      </c>
      <c r="E1034" s="104">
        <v>852</v>
      </c>
      <c r="F1034" s="7">
        <f>прил.6!G451</f>
        <v>1.6</v>
      </c>
      <c r="G1034" s="7">
        <f>прил.6!H451</f>
        <v>0</v>
      </c>
      <c r="H1034" s="35">
        <f t="shared" si="241"/>
        <v>1.6</v>
      </c>
      <c r="I1034" s="7">
        <f>прил.6!J451</f>
        <v>0</v>
      </c>
      <c r="J1034" s="35">
        <f t="shared" si="238"/>
        <v>1.6</v>
      </c>
      <c r="K1034" s="7">
        <f>прил.6!L451</f>
        <v>0</v>
      </c>
      <c r="L1034" s="35">
        <f t="shared" si="236"/>
        <v>1.6</v>
      </c>
      <c r="M1034" s="7">
        <f>прил.6!N451</f>
        <v>0</v>
      </c>
      <c r="N1034" s="35">
        <f t="shared" si="237"/>
        <v>1.6</v>
      </c>
      <c r="O1034" s="7">
        <f>прил.6!P451</f>
        <v>0</v>
      </c>
      <c r="P1034" s="35">
        <f t="shared" si="233"/>
        <v>1.6</v>
      </c>
      <c r="Q1034" s="7">
        <f>прил.6!R451</f>
        <v>0</v>
      </c>
      <c r="R1034" s="35">
        <f t="shared" si="231"/>
        <v>1.6</v>
      </c>
      <c r="S1034" s="7">
        <f>прил.6!T451</f>
        <v>0</v>
      </c>
      <c r="T1034" s="35">
        <f t="shared" si="239"/>
        <v>1.6</v>
      </c>
    </row>
    <row r="1035" spans="1:20" ht="33">
      <c r="A1035" s="61" t="str">
        <f ca="1">IF(ISERROR(MATCH(B1035,Код_КЦСР,0)),"",INDIRECT(ADDRESS(MATCH(B1035,Код_КЦСР,0)+1,2,,,"КЦСР")))</f>
        <v>Мероприятия по решению общегосударственных вопросов и вопросов в области национальной политики</v>
      </c>
      <c r="B1035" s="45" t="s">
        <v>53</v>
      </c>
      <c r="C1035" s="8"/>
      <c r="D1035" s="1"/>
      <c r="E1035" s="104"/>
      <c r="F1035" s="7">
        <f>F1036+F1041</f>
        <v>240</v>
      </c>
      <c r="G1035" s="7">
        <f>G1036+G1041</f>
        <v>0</v>
      </c>
      <c r="H1035" s="35">
        <f t="shared" si="241"/>
        <v>240</v>
      </c>
      <c r="I1035" s="7">
        <f>I1036+I1041</f>
        <v>0</v>
      </c>
      <c r="J1035" s="35">
        <f t="shared" si="238"/>
        <v>240</v>
      </c>
      <c r="K1035" s="7">
        <f>K1036+K1041</f>
        <v>0</v>
      </c>
      <c r="L1035" s="35">
        <f t="shared" si="236"/>
        <v>240</v>
      </c>
      <c r="M1035" s="7">
        <f>M1036+M1041</f>
        <v>0</v>
      </c>
      <c r="N1035" s="35">
        <f t="shared" si="237"/>
        <v>240</v>
      </c>
      <c r="O1035" s="7">
        <f>O1036+O1041</f>
        <v>0</v>
      </c>
      <c r="P1035" s="35">
        <f t="shared" si="233"/>
        <v>240</v>
      </c>
      <c r="Q1035" s="7">
        <f>Q1036+Q1041</f>
        <v>0</v>
      </c>
      <c r="R1035" s="35">
        <f t="shared" si="231"/>
        <v>240</v>
      </c>
      <c r="S1035" s="7">
        <f>S1036+S1041</f>
        <v>0</v>
      </c>
      <c r="T1035" s="35">
        <f t="shared" si="239"/>
        <v>240</v>
      </c>
    </row>
    <row r="1036" spans="1:20">
      <c r="A1036" s="61" t="str">
        <f ca="1">IF(ISERROR(MATCH(C1036,Код_Раздел,0)),"",INDIRECT(ADDRESS(MATCH(C1036,Код_Раздел,0)+1,2,,,"Раздел")))</f>
        <v>Общегосударственные  вопросы</v>
      </c>
      <c r="B1036" s="45" t="s">
        <v>53</v>
      </c>
      <c r="C1036" s="8" t="s">
        <v>213</v>
      </c>
      <c r="D1036" s="1"/>
      <c r="E1036" s="104"/>
      <c r="F1036" s="7">
        <f t="shared" ref="F1036:S1039" si="242">F1037</f>
        <v>160</v>
      </c>
      <c r="G1036" s="7">
        <f t="shared" si="242"/>
        <v>0</v>
      </c>
      <c r="H1036" s="35">
        <f t="shared" si="241"/>
        <v>160</v>
      </c>
      <c r="I1036" s="7">
        <f t="shared" si="242"/>
        <v>0</v>
      </c>
      <c r="J1036" s="35">
        <f t="shared" si="238"/>
        <v>160</v>
      </c>
      <c r="K1036" s="7">
        <f t="shared" si="242"/>
        <v>0</v>
      </c>
      <c r="L1036" s="35">
        <f t="shared" si="236"/>
        <v>160</v>
      </c>
      <c r="M1036" s="7">
        <f t="shared" si="242"/>
        <v>0</v>
      </c>
      <c r="N1036" s="35">
        <f t="shared" si="237"/>
        <v>160</v>
      </c>
      <c r="O1036" s="7">
        <f t="shared" si="242"/>
        <v>0</v>
      </c>
      <c r="P1036" s="35">
        <f t="shared" si="233"/>
        <v>160</v>
      </c>
      <c r="Q1036" s="7">
        <f t="shared" si="242"/>
        <v>0</v>
      </c>
      <c r="R1036" s="35">
        <f t="shared" si="231"/>
        <v>160</v>
      </c>
      <c r="S1036" s="7">
        <f t="shared" si="242"/>
        <v>0</v>
      </c>
      <c r="T1036" s="35">
        <f t="shared" si="239"/>
        <v>160</v>
      </c>
    </row>
    <row r="1037" spans="1:20">
      <c r="A1037" s="12" t="s">
        <v>237</v>
      </c>
      <c r="B1037" s="45" t="s">
        <v>53</v>
      </c>
      <c r="C1037" s="8" t="s">
        <v>213</v>
      </c>
      <c r="D1037" s="1" t="s">
        <v>190</v>
      </c>
      <c r="E1037" s="104"/>
      <c r="F1037" s="7">
        <f t="shared" si="242"/>
        <v>160</v>
      </c>
      <c r="G1037" s="7">
        <f t="shared" si="242"/>
        <v>0</v>
      </c>
      <c r="H1037" s="35">
        <f t="shared" si="241"/>
        <v>160</v>
      </c>
      <c r="I1037" s="7">
        <f t="shared" si="242"/>
        <v>0</v>
      </c>
      <c r="J1037" s="35">
        <f t="shared" si="238"/>
        <v>160</v>
      </c>
      <c r="K1037" s="7">
        <f t="shared" si="242"/>
        <v>0</v>
      </c>
      <c r="L1037" s="35">
        <f t="shared" si="236"/>
        <v>160</v>
      </c>
      <c r="M1037" s="7">
        <f t="shared" si="242"/>
        <v>0</v>
      </c>
      <c r="N1037" s="35">
        <f t="shared" si="237"/>
        <v>160</v>
      </c>
      <c r="O1037" s="7">
        <f t="shared" si="242"/>
        <v>0</v>
      </c>
      <c r="P1037" s="35">
        <f t="shared" si="233"/>
        <v>160</v>
      </c>
      <c r="Q1037" s="7">
        <f t="shared" si="242"/>
        <v>0</v>
      </c>
      <c r="R1037" s="35">
        <f t="shared" si="231"/>
        <v>160</v>
      </c>
      <c r="S1037" s="7">
        <f t="shared" si="242"/>
        <v>0</v>
      </c>
      <c r="T1037" s="35">
        <f t="shared" si="239"/>
        <v>160</v>
      </c>
    </row>
    <row r="1038" spans="1:20">
      <c r="A1038" s="61" t="str">
        <f ca="1">IF(ISERROR(MATCH(E1038,Код_КВР,0)),"",INDIRECT(ADDRESS(MATCH(E1038,Код_КВР,0)+1,2,,,"КВР")))</f>
        <v>Закупка товаров, работ и услуг для муниципальных нужд</v>
      </c>
      <c r="B1038" s="45" t="s">
        <v>53</v>
      </c>
      <c r="C1038" s="8" t="s">
        <v>213</v>
      </c>
      <c r="D1038" s="1" t="s">
        <v>190</v>
      </c>
      <c r="E1038" s="104">
        <v>200</v>
      </c>
      <c r="F1038" s="7">
        <f t="shared" si="242"/>
        <v>160</v>
      </c>
      <c r="G1038" s="7">
        <f t="shared" si="242"/>
        <v>0</v>
      </c>
      <c r="H1038" s="35">
        <f t="shared" si="241"/>
        <v>160</v>
      </c>
      <c r="I1038" s="7">
        <f t="shared" si="242"/>
        <v>0</v>
      </c>
      <c r="J1038" s="35">
        <f t="shared" si="238"/>
        <v>160</v>
      </c>
      <c r="K1038" s="7">
        <f t="shared" si="242"/>
        <v>0</v>
      </c>
      <c r="L1038" s="35">
        <f t="shared" si="236"/>
        <v>160</v>
      </c>
      <c r="M1038" s="7">
        <f t="shared" si="242"/>
        <v>0</v>
      </c>
      <c r="N1038" s="35">
        <f t="shared" si="237"/>
        <v>160</v>
      </c>
      <c r="O1038" s="7">
        <f t="shared" si="242"/>
        <v>0</v>
      </c>
      <c r="P1038" s="35">
        <f t="shared" si="233"/>
        <v>160</v>
      </c>
      <c r="Q1038" s="7">
        <f t="shared" si="242"/>
        <v>0</v>
      </c>
      <c r="R1038" s="35">
        <f t="shared" si="231"/>
        <v>160</v>
      </c>
      <c r="S1038" s="7">
        <f t="shared" si="242"/>
        <v>0</v>
      </c>
      <c r="T1038" s="35">
        <f t="shared" si="239"/>
        <v>160</v>
      </c>
    </row>
    <row r="1039" spans="1:20" ht="33">
      <c r="A1039" s="61" t="str">
        <f ca="1">IF(ISERROR(MATCH(E1039,Код_КВР,0)),"",INDIRECT(ADDRESS(MATCH(E1039,Код_КВР,0)+1,2,,,"КВР")))</f>
        <v>Иные закупки товаров, работ и услуг для обеспечения муниципальных нужд</v>
      </c>
      <c r="B1039" s="45" t="s">
        <v>53</v>
      </c>
      <c r="C1039" s="8" t="s">
        <v>213</v>
      </c>
      <c r="D1039" s="1" t="s">
        <v>190</v>
      </c>
      <c r="E1039" s="104">
        <v>240</v>
      </c>
      <c r="F1039" s="7">
        <f t="shared" si="242"/>
        <v>160</v>
      </c>
      <c r="G1039" s="7">
        <f t="shared" si="242"/>
        <v>0</v>
      </c>
      <c r="H1039" s="35">
        <f t="shared" si="241"/>
        <v>160</v>
      </c>
      <c r="I1039" s="7">
        <f t="shared" si="242"/>
        <v>0</v>
      </c>
      <c r="J1039" s="35">
        <f t="shared" si="238"/>
        <v>160</v>
      </c>
      <c r="K1039" s="7">
        <f t="shared" si="242"/>
        <v>0</v>
      </c>
      <c r="L1039" s="35">
        <f t="shared" si="236"/>
        <v>160</v>
      </c>
      <c r="M1039" s="7">
        <f t="shared" si="242"/>
        <v>0</v>
      </c>
      <c r="N1039" s="35">
        <f t="shared" si="237"/>
        <v>160</v>
      </c>
      <c r="O1039" s="7">
        <f t="shared" si="242"/>
        <v>0</v>
      </c>
      <c r="P1039" s="35">
        <f t="shared" si="233"/>
        <v>160</v>
      </c>
      <c r="Q1039" s="7">
        <f t="shared" si="242"/>
        <v>0</v>
      </c>
      <c r="R1039" s="35">
        <f t="shared" si="231"/>
        <v>160</v>
      </c>
      <c r="S1039" s="7">
        <f t="shared" si="242"/>
        <v>0</v>
      </c>
      <c r="T1039" s="35">
        <f t="shared" si="239"/>
        <v>160</v>
      </c>
    </row>
    <row r="1040" spans="1:20" ht="33">
      <c r="A1040" s="61" t="str">
        <f ca="1">IF(ISERROR(MATCH(E1040,Код_КВР,0)),"",INDIRECT(ADDRESS(MATCH(E1040,Код_КВР,0)+1,2,,,"КВР")))</f>
        <v xml:space="preserve">Прочая закупка товаров, работ и услуг для обеспечения муниципальных нужд         </v>
      </c>
      <c r="B1040" s="45" t="s">
        <v>53</v>
      </c>
      <c r="C1040" s="8" t="s">
        <v>213</v>
      </c>
      <c r="D1040" s="1" t="s">
        <v>190</v>
      </c>
      <c r="E1040" s="104">
        <v>244</v>
      </c>
      <c r="F1040" s="7">
        <f>прил.6!G422</f>
        <v>160</v>
      </c>
      <c r="G1040" s="7">
        <f>прил.6!H422</f>
        <v>0</v>
      </c>
      <c r="H1040" s="35">
        <f t="shared" si="241"/>
        <v>160</v>
      </c>
      <c r="I1040" s="7">
        <f>прил.6!J422</f>
        <v>0</v>
      </c>
      <c r="J1040" s="35">
        <f t="shared" si="238"/>
        <v>160</v>
      </c>
      <c r="K1040" s="7">
        <f>прил.6!L422</f>
        <v>0</v>
      </c>
      <c r="L1040" s="35">
        <f t="shared" si="236"/>
        <v>160</v>
      </c>
      <c r="M1040" s="7">
        <f>прил.6!N422</f>
        <v>0</v>
      </c>
      <c r="N1040" s="35">
        <f t="shared" si="237"/>
        <v>160</v>
      </c>
      <c r="O1040" s="7">
        <f>прил.6!P422</f>
        <v>0</v>
      </c>
      <c r="P1040" s="35">
        <f t="shared" si="233"/>
        <v>160</v>
      </c>
      <c r="Q1040" s="7">
        <f>прил.6!R422</f>
        <v>0</v>
      </c>
      <c r="R1040" s="35">
        <f t="shared" si="231"/>
        <v>160</v>
      </c>
      <c r="S1040" s="7">
        <f>прил.6!T422</f>
        <v>0</v>
      </c>
      <c r="T1040" s="35">
        <f t="shared" si="239"/>
        <v>160</v>
      </c>
    </row>
    <row r="1041" spans="1:20">
      <c r="A1041" s="61" t="str">
        <f ca="1">IF(ISERROR(MATCH(C1041,Код_Раздел,0)),"",INDIRECT(ADDRESS(MATCH(C1041,Код_Раздел,0)+1,2,,,"Раздел")))</f>
        <v>Национальная экономика</v>
      </c>
      <c r="B1041" s="45" t="s">
        <v>53</v>
      </c>
      <c r="C1041" s="8" t="s">
        <v>216</v>
      </c>
      <c r="D1041" s="1"/>
      <c r="E1041" s="104"/>
      <c r="F1041" s="7">
        <f t="shared" ref="F1041:S1044" si="243">F1042</f>
        <v>80</v>
      </c>
      <c r="G1041" s="7">
        <f t="shared" si="243"/>
        <v>0</v>
      </c>
      <c r="H1041" s="35">
        <f t="shared" si="241"/>
        <v>80</v>
      </c>
      <c r="I1041" s="7">
        <f t="shared" si="243"/>
        <v>0</v>
      </c>
      <c r="J1041" s="35">
        <f t="shared" si="238"/>
        <v>80</v>
      </c>
      <c r="K1041" s="7">
        <f t="shared" si="243"/>
        <v>0</v>
      </c>
      <c r="L1041" s="35">
        <f t="shared" si="236"/>
        <v>80</v>
      </c>
      <c r="M1041" s="7">
        <f t="shared" si="243"/>
        <v>0</v>
      </c>
      <c r="N1041" s="35">
        <f t="shared" si="237"/>
        <v>80</v>
      </c>
      <c r="O1041" s="7">
        <f t="shared" si="243"/>
        <v>0</v>
      </c>
      <c r="P1041" s="35">
        <f t="shared" si="233"/>
        <v>80</v>
      </c>
      <c r="Q1041" s="7">
        <f t="shared" si="243"/>
        <v>0</v>
      </c>
      <c r="R1041" s="35">
        <f t="shared" si="231"/>
        <v>80</v>
      </c>
      <c r="S1041" s="7">
        <f t="shared" si="243"/>
        <v>0</v>
      </c>
      <c r="T1041" s="35">
        <f t="shared" si="239"/>
        <v>80</v>
      </c>
    </row>
    <row r="1042" spans="1:20">
      <c r="A1042" s="12" t="s">
        <v>223</v>
      </c>
      <c r="B1042" s="45" t="s">
        <v>53</v>
      </c>
      <c r="C1042" s="8" t="s">
        <v>216</v>
      </c>
      <c r="D1042" s="8" t="s">
        <v>196</v>
      </c>
      <c r="E1042" s="104"/>
      <c r="F1042" s="7">
        <f t="shared" si="243"/>
        <v>80</v>
      </c>
      <c r="G1042" s="7">
        <f t="shared" si="243"/>
        <v>0</v>
      </c>
      <c r="H1042" s="35">
        <f t="shared" si="241"/>
        <v>80</v>
      </c>
      <c r="I1042" s="7">
        <f t="shared" si="243"/>
        <v>0</v>
      </c>
      <c r="J1042" s="35">
        <f t="shared" si="238"/>
        <v>80</v>
      </c>
      <c r="K1042" s="7">
        <f t="shared" si="243"/>
        <v>0</v>
      </c>
      <c r="L1042" s="35">
        <f t="shared" si="236"/>
        <v>80</v>
      </c>
      <c r="M1042" s="7">
        <f t="shared" si="243"/>
        <v>0</v>
      </c>
      <c r="N1042" s="35">
        <f t="shared" si="237"/>
        <v>80</v>
      </c>
      <c r="O1042" s="7">
        <f t="shared" si="243"/>
        <v>0</v>
      </c>
      <c r="P1042" s="35">
        <f t="shared" si="233"/>
        <v>80</v>
      </c>
      <c r="Q1042" s="7">
        <f t="shared" si="243"/>
        <v>0</v>
      </c>
      <c r="R1042" s="35">
        <f t="shared" si="231"/>
        <v>80</v>
      </c>
      <c r="S1042" s="7">
        <f t="shared" si="243"/>
        <v>0</v>
      </c>
      <c r="T1042" s="35">
        <f t="shared" si="239"/>
        <v>80</v>
      </c>
    </row>
    <row r="1043" spans="1:20">
      <c r="A1043" s="61" t="str">
        <f ca="1">IF(ISERROR(MATCH(E1043,Код_КВР,0)),"",INDIRECT(ADDRESS(MATCH(E1043,Код_КВР,0)+1,2,,,"КВР")))</f>
        <v>Закупка товаров, работ и услуг для муниципальных нужд</v>
      </c>
      <c r="B1043" s="45" t="s">
        <v>53</v>
      </c>
      <c r="C1043" s="8" t="s">
        <v>216</v>
      </c>
      <c r="D1043" s="8" t="s">
        <v>196</v>
      </c>
      <c r="E1043" s="104">
        <v>200</v>
      </c>
      <c r="F1043" s="7">
        <f t="shared" si="243"/>
        <v>80</v>
      </c>
      <c r="G1043" s="7">
        <f t="shared" si="243"/>
        <v>0</v>
      </c>
      <c r="H1043" s="35">
        <f t="shared" si="241"/>
        <v>80</v>
      </c>
      <c r="I1043" s="7">
        <f t="shared" si="243"/>
        <v>0</v>
      </c>
      <c r="J1043" s="35">
        <f t="shared" si="238"/>
        <v>80</v>
      </c>
      <c r="K1043" s="7">
        <f t="shared" si="243"/>
        <v>0</v>
      </c>
      <c r="L1043" s="35">
        <f t="shared" si="236"/>
        <v>80</v>
      </c>
      <c r="M1043" s="7">
        <f t="shared" si="243"/>
        <v>0</v>
      </c>
      <c r="N1043" s="35">
        <f t="shared" si="237"/>
        <v>80</v>
      </c>
      <c r="O1043" s="7">
        <f t="shared" si="243"/>
        <v>0</v>
      </c>
      <c r="P1043" s="35">
        <f t="shared" si="233"/>
        <v>80</v>
      </c>
      <c r="Q1043" s="7">
        <f t="shared" si="243"/>
        <v>0</v>
      </c>
      <c r="R1043" s="35">
        <f t="shared" si="231"/>
        <v>80</v>
      </c>
      <c r="S1043" s="7">
        <f t="shared" si="243"/>
        <v>0</v>
      </c>
      <c r="T1043" s="35">
        <f t="shared" si="239"/>
        <v>80</v>
      </c>
    </row>
    <row r="1044" spans="1:20" ht="33">
      <c r="A1044" s="61" t="str">
        <f ca="1">IF(ISERROR(MATCH(E1044,Код_КВР,0)),"",INDIRECT(ADDRESS(MATCH(E1044,Код_КВР,0)+1,2,,,"КВР")))</f>
        <v>Иные закупки товаров, работ и услуг для обеспечения муниципальных нужд</v>
      </c>
      <c r="B1044" s="45" t="s">
        <v>53</v>
      </c>
      <c r="C1044" s="8" t="s">
        <v>216</v>
      </c>
      <c r="D1044" s="8" t="s">
        <v>196</v>
      </c>
      <c r="E1044" s="104">
        <v>240</v>
      </c>
      <c r="F1044" s="7">
        <f t="shared" si="243"/>
        <v>80</v>
      </c>
      <c r="G1044" s="7">
        <f t="shared" si="243"/>
        <v>0</v>
      </c>
      <c r="H1044" s="35">
        <f t="shared" si="241"/>
        <v>80</v>
      </c>
      <c r="I1044" s="7">
        <f t="shared" si="243"/>
        <v>0</v>
      </c>
      <c r="J1044" s="35">
        <f t="shared" si="238"/>
        <v>80</v>
      </c>
      <c r="K1044" s="7">
        <f t="shared" si="243"/>
        <v>0</v>
      </c>
      <c r="L1044" s="35">
        <f t="shared" si="236"/>
        <v>80</v>
      </c>
      <c r="M1044" s="7">
        <f t="shared" si="243"/>
        <v>0</v>
      </c>
      <c r="N1044" s="35">
        <f t="shared" si="237"/>
        <v>80</v>
      </c>
      <c r="O1044" s="7">
        <f t="shared" si="243"/>
        <v>0</v>
      </c>
      <c r="P1044" s="35">
        <f t="shared" si="233"/>
        <v>80</v>
      </c>
      <c r="Q1044" s="7">
        <f t="shared" si="243"/>
        <v>0</v>
      </c>
      <c r="R1044" s="35">
        <f t="shared" si="231"/>
        <v>80</v>
      </c>
      <c r="S1044" s="7">
        <f t="shared" si="243"/>
        <v>0</v>
      </c>
      <c r="T1044" s="35">
        <f t="shared" si="239"/>
        <v>80</v>
      </c>
    </row>
    <row r="1045" spans="1:20" ht="33">
      <c r="A1045" s="61" t="str">
        <f ca="1">IF(ISERROR(MATCH(E1045,Код_КВР,0)),"",INDIRECT(ADDRESS(MATCH(E1045,Код_КВР,0)+1,2,,,"КВР")))</f>
        <v xml:space="preserve">Прочая закупка товаров, работ и услуг для обеспечения муниципальных нужд         </v>
      </c>
      <c r="B1045" s="45" t="s">
        <v>53</v>
      </c>
      <c r="C1045" s="8" t="s">
        <v>216</v>
      </c>
      <c r="D1045" s="8" t="s">
        <v>196</v>
      </c>
      <c r="E1045" s="104">
        <v>244</v>
      </c>
      <c r="F1045" s="7">
        <f>прил.6!G476</f>
        <v>80</v>
      </c>
      <c r="G1045" s="7">
        <f>прил.6!H476</f>
        <v>0</v>
      </c>
      <c r="H1045" s="35">
        <f t="shared" si="241"/>
        <v>80</v>
      </c>
      <c r="I1045" s="7">
        <f>прил.6!J476</f>
        <v>0</v>
      </c>
      <c r="J1045" s="35">
        <f t="shared" si="238"/>
        <v>80</v>
      </c>
      <c r="K1045" s="7">
        <f>прил.6!L476</f>
        <v>0</v>
      </c>
      <c r="L1045" s="35">
        <f t="shared" si="236"/>
        <v>80</v>
      </c>
      <c r="M1045" s="7">
        <f>прил.6!N476</f>
        <v>0</v>
      </c>
      <c r="N1045" s="35">
        <f t="shared" si="237"/>
        <v>80</v>
      </c>
      <c r="O1045" s="7">
        <f>прил.6!P476</f>
        <v>0</v>
      </c>
      <c r="P1045" s="35">
        <f t="shared" si="233"/>
        <v>80</v>
      </c>
      <c r="Q1045" s="7">
        <f>прил.6!R476</f>
        <v>0</v>
      </c>
      <c r="R1045" s="35">
        <f t="shared" si="231"/>
        <v>80</v>
      </c>
      <c r="S1045" s="7">
        <f>прил.6!T476</f>
        <v>0</v>
      </c>
      <c r="T1045" s="35">
        <f t="shared" si="239"/>
        <v>80</v>
      </c>
    </row>
    <row r="1046" spans="1:20" ht="49.5">
      <c r="A1046" s="61" t="str">
        <f ca="1">IF(ISERROR(MATCH(B1046,Код_КЦСР,0)),"",INDIRECT(ADDRESS(MATCH(B1046,Код_КЦСР,0)+1,2,,,"КЦСР")))</f>
        <v>Осуществление дорожной деятельности в отношении автомобильных дорог общего пользования местного значения за счет субсидий из областного бюджета</v>
      </c>
      <c r="B1046" s="45" t="s">
        <v>431</v>
      </c>
      <c r="C1046" s="8"/>
      <c r="D1046" s="1"/>
      <c r="E1046" s="104"/>
      <c r="F1046" s="7">
        <f t="shared" ref="F1046:S1050" si="244">F1047</f>
        <v>227763</v>
      </c>
      <c r="G1046" s="7">
        <f t="shared" si="244"/>
        <v>0</v>
      </c>
      <c r="H1046" s="35">
        <f t="shared" si="241"/>
        <v>227763</v>
      </c>
      <c r="I1046" s="7">
        <f t="shared" si="244"/>
        <v>0</v>
      </c>
      <c r="J1046" s="35">
        <f t="shared" si="238"/>
        <v>227763</v>
      </c>
      <c r="K1046" s="7">
        <f t="shared" si="244"/>
        <v>0</v>
      </c>
      <c r="L1046" s="35">
        <f t="shared" si="236"/>
        <v>227763</v>
      </c>
      <c r="M1046" s="7">
        <f t="shared" si="244"/>
        <v>0</v>
      </c>
      <c r="N1046" s="35">
        <f t="shared" si="237"/>
        <v>227763</v>
      </c>
      <c r="O1046" s="7">
        <f t="shared" si="244"/>
        <v>0</v>
      </c>
      <c r="P1046" s="35">
        <f t="shared" si="233"/>
        <v>227763</v>
      </c>
      <c r="Q1046" s="7">
        <f t="shared" si="244"/>
        <v>0</v>
      </c>
      <c r="R1046" s="35">
        <f t="shared" si="231"/>
        <v>227763</v>
      </c>
      <c r="S1046" s="7">
        <f t="shared" si="244"/>
        <v>0</v>
      </c>
      <c r="T1046" s="35">
        <f t="shared" si="239"/>
        <v>227763</v>
      </c>
    </row>
    <row r="1047" spans="1:20">
      <c r="A1047" s="61" t="str">
        <f ca="1">IF(ISERROR(MATCH(C1047,Код_Раздел,0)),"",INDIRECT(ADDRESS(MATCH(C1047,Код_Раздел,0)+1,2,,,"Раздел")))</f>
        <v>Национальная экономика</v>
      </c>
      <c r="B1047" s="45" t="s">
        <v>431</v>
      </c>
      <c r="C1047" s="8" t="s">
        <v>216</v>
      </c>
      <c r="D1047" s="1"/>
      <c r="E1047" s="104"/>
      <c r="F1047" s="7">
        <f t="shared" si="244"/>
        <v>227763</v>
      </c>
      <c r="G1047" s="7">
        <f t="shared" si="244"/>
        <v>0</v>
      </c>
      <c r="H1047" s="35">
        <f t="shared" si="241"/>
        <v>227763</v>
      </c>
      <c r="I1047" s="7">
        <f t="shared" si="244"/>
        <v>0</v>
      </c>
      <c r="J1047" s="35">
        <f t="shared" si="238"/>
        <v>227763</v>
      </c>
      <c r="K1047" s="7">
        <f t="shared" si="244"/>
        <v>0</v>
      </c>
      <c r="L1047" s="35">
        <f t="shared" si="236"/>
        <v>227763</v>
      </c>
      <c r="M1047" s="7">
        <f t="shared" si="244"/>
        <v>0</v>
      </c>
      <c r="N1047" s="35">
        <f t="shared" si="237"/>
        <v>227763</v>
      </c>
      <c r="O1047" s="7">
        <f t="shared" si="244"/>
        <v>0</v>
      </c>
      <c r="P1047" s="35">
        <f t="shared" si="233"/>
        <v>227763</v>
      </c>
      <c r="Q1047" s="7">
        <f t="shared" si="244"/>
        <v>0</v>
      </c>
      <c r="R1047" s="35">
        <f t="shared" si="231"/>
        <v>227763</v>
      </c>
      <c r="S1047" s="7">
        <f t="shared" si="244"/>
        <v>0</v>
      </c>
      <c r="T1047" s="35">
        <f t="shared" si="239"/>
        <v>227763</v>
      </c>
    </row>
    <row r="1048" spans="1:20">
      <c r="A1048" s="77" t="s">
        <v>180</v>
      </c>
      <c r="B1048" s="45" t="s">
        <v>431</v>
      </c>
      <c r="C1048" s="8" t="s">
        <v>216</v>
      </c>
      <c r="D1048" s="1" t="s">
        <v>219</v>
      </c>
      <c r="E1048" s="104"/>
      <c r="F1048" s="7">
        <f t="shared" si="244"/>
        <v>227763</v>
      </c>
      <c r="G1048" s="7">
        <f t="shared" si="244"/>
        <v>0</v>
      </c>
      <c r="H1048" s="35">
        <f t="shared" si="241"/>
        <v>227763</v>
      </c>
      <c r="I1048" s="7">
        <f t="shared" si="244"/>
        <v>0</v>
      </c>
      <c r="J1048" s="35">
        <f t="shared" si="238"/>
        <v>227763</v>
      </c>
      <c r="K1048" s="7">
        <f t="shared" si="244"/>
        <v>0</v>
      </c>
      <c r="L1048" s="35">
        <f t="shared" si="236"/>
        <v>227763</v>
      </c>
      <c r="M1048" s="7">
        <f t="shared" si="244"/>
        <v>0</v>
      </c>
      <c r="N1048" s="35">
        <f t="shared" si="237"/>
        <v>227763</v>
      </c>
      <c r="O1048" s="7">
        <f t="shared" si="244"/>
        <v>0</v>
      </c>
      <c r="P1048" s="35">
        <f t="shared" si="233"/>
        <v>227763</v>
      </c>
      <c r="Q1048" s="7">
        <f t="shared" si="244"/>
        <v>0</v>
      </c>
      <c r="R1048" s="35">
        <f t="shared" si="231"/>
        <v>227763</v>
      </c>
      <c r="S1048" s="7">
        <f t="shared" si="244"/>
        <v>0</v>
      </c>
      <c r="T1048" s="35">
        <f t="shared" si="239"/>
        <v>227763</v>
      </c>
    </row>
    <row r="1049" spans="1:20">
      <c r="A1049" s="61" t="str">
        <f ca="1">IF(ISERROR(MATCH(E1049,Код_КВР,0)),"",INDIRECT(ADDRESS(MATCH(E1049,Код_КВР,0)+1,2,,,"КВР")))</f>
        <v>Закупка товаров, работ и услуг для муниципальных нужд</v>
      </c>
      <c r="B1049" s="45" t="s">
        <v>431</v>
      </c>
      <c r="C1049" s="8" t="s">
        <v>216</v>
      </c>
      <c r="D1049" s="1" t="s">
        <v>219</v>
      </c>
      <c r="E1049" s="104">
        <v>200</v>
      </c>
      <c r="F1049" s="7">
        <f t="shared" si="244"/>
        <v>227763</v>
      </c>
      <c r="G1049" s="7">
        <f t="shared" si="244"/>
        <v>0</v>
      </c>
      <c r="H1049" s="35">
        <f t="shared" si="241"/>
        <v>227763</v>
      </c>
      <c r="I1049" s="7">
        <f t="shared" si="244"/>
        <v>0</v>
      </c>
      <c r="J1049" s="35">
        <f t="shared" si="238"/>
        <v>227763</v>
      </c>
      <c r="K1049" s="7">
        <f t="shared" si="244"/>
        <v>0</v>
      </c>
      <c r="L1049" s="35">
        <f t="shared" si="236"/>
        <v>227763</v>
      </c>
      <c r="M1049" s="7">
        <f t="shared" si="244"/>
        <v>0</v>
      </c>
      <c r="N1049" s="35">
        <f t="shared" si="237"/>
        <v>227763</v>
      </c>
      <c r="O1049" s="7">
        <f t="shared" si="244"/>
        <v>0</v>
      </c>
      <c r="P1049" s="35">
        <f t="shared" si="233"/>
        <v>227763</v>
      </c>
      <c r="Q1049" s="7">
        <f t="shared" si="244"/>
        <v>0</v>
      </c>
      <c r="R1049" s="35">
        <f t="shared" si="231"/>
        <v>227763</v>
      </c>
      <c r="S1049" s="7">
        <f t="shared" si="244"/>
        <v>0</v>
      </c>
      <c r="T1049" s="35">
        <f t="shared" si="239"/>
        <v>227763</v>
      </c>
    </row>
    <row r="1050" spans="1:20" ht="33">
      <c r="A1050" s="61" t="str">
        <f ca="1">IF(ISERROR(MATCH(E1050,Код_КВР,0)),"",INDIRECT(ADDRESS(MATCH(E1050,Код_КВР,0)+1,2,,,"КВР")))</f>
        <v>Иные закупки товаров, работ и услуг для обеспечения муниципальных нужд</v>
      </c>
      <c r="B1050" s="45" t="s">
        <v>431</v>
      </c>
      <c r="C1050" s="8" t="s">
        <v>216</v>
      </c>
      <c r="D1050" s="1" t="s">
        <v>219</v>
      </c>
      <c r="E1050" s="104">
        <v>240</v>
      </c>
      <c r="F1050" s="7">
        <f t="shared" si="244"/>
        <v>227763</v>
      </c>
      <c r="G1050" s="7">
        <f t="shared" si="244"/>
        <v>0</v>
      </c>
      <c r="H1050" s="35">
        <f t="shared" si="241"/>
        <v>227763</v>
      </c>
      <c r="I1050" s="7">
        <f t="shared" si="244"/>
        <v>0</v>
      </c>
      <c r="J1050" s="35">
        <f t="shared" si="238"/>
        <v>227763</v>
      </c>
      <c r="K1050" s="7">
        <f t="shared" si="244"/>
        <v>0</v>
      </c>
      <c r="L1050" s="35">
        <f t="shared" si="236"/>
        <v>227763</v>
      </c>
      <c r="M1050" s="7">
        <f t="shared" si="244"/>
        <v>0</v>
      </c>
      <c r="N1050" s="35">
        <f t="shared" si="237"/>
        <v>227763</v>
      </c>
      <c r="O1050" s="7">
        <f t="shared" si="244"/>
        <v>0</v>
      </c>
      <c r="P1050" s="35">
        <f t="shared" si="233"/>
        <v>227763</v>
      </c>
      <c r="Q1050" s="7">
        <f t="shared" si="244"/>
        <v>0</v>
      </c>
      <c r="R1050" s="35">
        <f t="shared" si="231"/>
        <v>227763</v>
      </c>
      <c r="S1050" s="7">
        <f t="shared" si="244"/>
        <v>0</v>
      </c>
      <c r="T1050" s="35">
        <f t="shared" si="239"/>
        <v>227763</v>
      </c>
    </row>
    <row r="1051" spans="1:20" ht="33">
      <c r="A1051" s="61" t="str">
        <f ca="1">IF(ISERROR(MATCH(E1051,Код_КВР,0)),"",INDIRECT(ADDRESS(MATCH(E1051,Код_КВР,0)+1,2,,,"КВР")))</f>
        <v xml:space="preserve">Прочая закупка товаров, работ и услуг для обеспечения муниципальных нужд         </v>
      </c>
      <c r="B1051" s="45" t="s">
        <v>431</v>
      </c>
      <c r="C1051" s="8" t="s">
        <v>216</v>
      </c>
      <c r="D1051" s="1" t="s">
        <v>219</v>
      </c>
      <c r="E1051" s="104">
        <v>244</v>
      </c>
      <c r="F1051" s="7">
        <f>прил.6!G455</f>
        <v>227763</v>
      </c>
      <c r="G1051" s="7">
        <f>прил.6!H455</f>
        <v>0</v>
      </c>
      <c r="H1051" s="35">
        <f t="shared" si="241"/>
        <v>227763</v>
      </c>
      <c r="I1051" s="7">
        <f>прил.6!J455</f>
        <v>0</v>
      </c>
      <c r="J1051" s="35">
        <f t="shared" si="238"/>
        <v>227763</v>
      </c>
      <c r="K1051" s="7">
        <f>прил.6!L455</f>
        <v>0</v>
      </c>
      <c r="L1051" s="35">
        <f t="shared" si="236"/>
        <v>227763</v>
      </c>
      <c r="M1051" s="7">
        <f>прил.6!N455</f>
        <v>0</v>
      </c>
      <c r="N1051" s="35">
        <f t="shared" si="237"/>
        <v>227763</v>
      </c>
      <c r="O1051" s="7">
        <f>прил.6!P455</f>
        <v>0</v>
      </c>
      <c r="P1051" s="35">
        <f t="shared" si="233"/>
        <v>227763</v>
      </c>
      <c r="Q1051" s="7">
        <f>прил.6!R455</f>
        <v>0</v>
      </c>
      <c r="R1051" s="35">
        <f t="shared" ref="R1051:R1124" si="245">P1051+Q1051</f>
        <v>227763</v>
      </c>
      <c r="S1051" s="7">
        <f>прил.6!T455</f>
        <v>0</v>
      </c>
      <c r="T1051" s="35">
        <f t="shared" si="239"/>
        <v>227763</v>
      </c>
    </row>
    <row r="1052" spans="1:20" ht="105.75" customHeight="1">
      <c r="A1052" s="61" t="str">
        <f ca="1">IF(ISERROR(MATCH(B1052,Код_КЦСР,0)),"",INDIRECT(ADDRESS(MATCH(B1052,Код_КЦСР,0)+1,2,,,"КЦСР")))</f>
        <v>Субвенции на осуществление отдельных государственных полномочий в соответствии с законом области от 15 января 2013 года № 2966-ОЗ «О наделении органов местного самоуправления отдельными государственными полномочиями в сфере обеспечения санитарно-эпидемиологического благополучия населения» за счет субвенций из областного бюджета</v>
      </c>
      <c r="B1052" s="104" t="s">
        <v>416</v>
      </c>
      <c r="C1052" s="8"/>
      <c r="D1052" s="8"/>
      <c r="E1052" s="104"/>
      <c r="F1052" s="7">
        <f t="shared" ref="F1052:S1056" si="246">F1053</f>
        <v>1957.5</v>
      </c>
      <c r="G1052" s="7">
        <f t="shared" si="246"/>
        <v>0</v>
      </c>
      <c r="H1052" s="35">
        <f t="shared" si="241"/>
        <v>1957.5</v>
      </c>
      <c r="I1052" s="7">
        <f t="shared" si="246"/>
        <v>0</v>
      </c>
      <c r="J1052" s="35">
        <f t="shared" si="238"/>
        <v>1957.5</v>
      </c>
      <c r="K1052" s="7">
        <f t="shared" si="246"/>
        <v>0</v>
      </c>
      <c r="L1052" s="35">
        <f t="shared" si="236"/>
        <v>1957.5</v>
      </c>
      <c r="M1052" s="7">
        <f t="shared" si="246"/>
        <v>0</v>
      </c>
      <c r="N1052" s="35">
        <f t="shared" si="237"/>
        <v>1957.5</v>
      </c>
      <c r="O1052" s="7">
        <f t="shared" si="246"/>
        <v>0</v>
      </c>
      <c r="P1052" s="35">
        <f t="shared" si="233"/>
        <v>1957.5</v>
      </c>
      <c r="Q1052" s="7">
        <f t="shared" si="246"/>
        <v>0</v>
      </c>
      <c r="R1052" s="35">
        <f t="shared" si="245"/>
        <v>1957.5</v>
      </c>
      <c r="S1052" s="7">
        <f t="shared" si="246"/>
        <v>0</v>
      </c>
      <c r="T1052" s="35">
        <f t="shared" si="239"/>
        <v>1957.5</v>
      </c>
    </row>
    <row r="1053" spans="1:20">
      <c r="A1053" s="61" t="str">
        <f ca="1">IF(ISERROR(MATCH(C1053,Код_Раздел,0)),"",INDIRECT(ADDRESS(MATCH(C1053,Код_Раздел,0)+1,2,,,"Раздел")))</f>
        <v>Здравоохранение</v>
      </c>
      <c r="B1053" s="104" t="s">
        <v>416</v>
      </c>
      <c r="C1053" s="8" t="s">
        <v>219</v>
      </c>
      <c r="D1053" s="8"/>
      <c r="E1053" s="104"/>
      <c r="F1053" s="7">
        <f t="shared" si="246"/>
        <v>1957.5</v>
      </c>
      <c r="G1053" s="7">
        <f t="shared" si="246"/>
        <v>0</v>
      </c>
      <c r="H1053" s="35">
        <f t="shared" si="241"/>
        <v>1957.5</v>
      </c>
      <c r="I1053" s="7">
        <f t="shared" si="246"/>
        <v>0</v>
      </c>
      <c r="J1053" s="35">
        <f t="shared" si="238"/>
        <v>1957.5</v>
      </c>
      <c r="K1053" s="7">
        <f t="shared" si="246"/>
        <v>0</v>
      </c>
      <c r="L1053" s="35">
        <f t="shared" si="236"/>
        <v>1957.5</v>
      </c>
      <c r="M1053" s="7">
        <f t="shared" si="246"/>
        <v>0</v>
      </c>
      <c r="N1053" s="35">
        <f t="shared" si="237"/>
        <v>1957.5</v>
      </c>
      <c r="O1053" s="7">
        <f t="shared" si="246"/>
        <v>0</v>
      </c>
      <c r="P1053" s="35">
        <f t="shared" si="233"/>
        <v>1957.5</v>
      </c>
      <c r="Q1053" s="7">
        <f t="shared" si="246"/>
        <v>0</v>
      </c>
      <c r="R1053" s="35">
        <f t="shared" si="245"/>
        <v>1957.5</v>
      </c>
      <c r="S1053" s="7">
        <f t="shared" si="246"/>
        <v>0</v>
      </c>
      <c r="T1053" s="35">
        <f t="shared" si="239"/>
        <v>1957.5</v>
      </c>
    </row>
    <row r="1054" spans="1:20">
      <c r="A1054" s="77" t="s">
        <v>265</v>
      </c>
      <c r="B1054" s="104" t="s">
        <v>416</v>
      </c>
      <c r="C1054" s="8" t="s">
        <v>219</v>
      </c>
      <c r="D1054" s="8" t="s">
        <v>195</v>
      </c>
      <c r="E1054" s="104"/>
      <c r="F1054" s="7">
        <f t="shared" si="246"/>
        <v>1957.5</v>
      </c>
      <c r="G1054" s="7">
        <f t="shared" si="246"/>
        <v>0</v>
      </c>
      <c r="H1054" s="35">
        <f t="shared" si="241"/>
        <v>1957.5</v>
      </c>
      <c r="I1054" s="7">
        <f t="shared" si="246"/>
        <v>0</v>
      </c>
      <c r="J1054" s="35">
        <f t="shared" si="238"/>
        <v>1957.5</v>
      </c>
      <c r="K1054" s="7">
        <f t="shared" si="246"/>
        <v>0</v>
      </c>
      <c r="L1054" s="35">
        <f t="shared" si="236"/>
        <v>1957.5</v>
      </c>
      <c r="M1054" s="7">
        <f t="shared" si="246"/>
        <v>0</v>
      </c>
      <c r="N1054" s="35">
        <f t="shared" si="237"/>
        <v>1957.5</v>
      </c>
      <c r="O1054" s="7">
        <f t="shared" si="246"/>
        <v>0</v>
      </c>
      <c r="P1054" s="35">
        <f t="shared" si="233"/>
        <v>1957.5</v>
      </c>
      <c r="Q1054" s="7">
        <f t="shared" si="246"/>
        <v>0</v>
      </c>
      <c r="R1054" s="35">
        <f t="shared" si="245"/>
        <v>1957.5</v>
      </c>
      <c r="S1054" s="7">
        <f t="shared" si="246"/>
        <v>0</v>
      </c>
      <c r="T1054" s="35">
        <f t="shared" si="239"/>
        <v>1957.5</v>
      </c>
    </row>
    <row r="1055" spans="1:20">
      <c r="A1055" s="61" t="str">
        <f ca="1">IF(ISERROR(MATCH(E1055,Код_КВР,0)),"",INDIRECT(ADDRESS(MATCH(E1055,Код_КВР,0)+1,2,,,"КВР")))</f>
        <v>Закупка товаров, работ и услуг для муниципальных нужд</v>
      </c>
      <c r="B1055" s="104" t="s">
        <v>416</v>
      </c>
      <c r="C1055" s="8" t="s">
        <v>219</v>
      </c>
      <c r="D1055" s="8" t="s">
        <v>195</v>
      </c>
      <c r="E1055" s="104">
        <v>200</v>
      </c>
      <c r="F1055" s="7">
        <f t="shared" si="246"/>
        <v>1957.5</v>
      </c>
      <c r="G1055" s="7">
        <f t="shared" si="246"/>
        <v>0</v>
      </c>
      <c r="H1055" s="35">
        <f t="shared" si="241"/>
        <v>1957.5</v>
      </c>
      <c r="I1055" s="7">
        <f t="shared" si="246"/>
        <v>0</v>
      </c>
      <c r="J1055" s="35">
        <f t="shared" si="238"/>
        <v>1957.5</v>
      </c>
      <c r="K1055" s="7">
        <f t="shared" si="246"/>
        <v>0</v>
      </c>
      <c r="L1055" s="35">
        <f t="shared" si="236"/>
        <v>1957.5</v>
      </c>
      <c r="M1055" s="7">
        <f t="shared" si="246"/>
        <v>0</v>
      </c>
      <c r="N1055" s="35">
        <f t="shared" si="237"/>
        <v>1957.5</v>
      </c>
      <c r="O1055" s="7">
        <f t="shared" si="246"/>
        <v>0</v>
      </c>
      <c r="P1055" s="35">
        <f t="shared" si="233"/>
        <v>1957.5</v>
      </c>
      <c r="Q1055" s="7">
        <f t="shared" si="246"/>
        <v>0</v>
      </c>
      <c r="R1055" s="35">
        <f t="shared" si="245"/>
        <v>1957.5</v>
      </c>
      <c r="S1055" s="7">
        <f t="shared" si="246"/>
        <v>0</v>
      </c>
      <c r="T1055" s="35">
        <f t="shared" si="239"/>
        <v>1957.5</v>
      </c>
    </row>
    <row r="1056" spans="1:20" ht="33">
      <c r="A1056" s="61" t="str">
        <f ca="1">IF(ISERROR(MATCH(E1056,Код_КВР,0)),"",INDIRECT(ADDRESS(MATCH(E1056,Код_КВР,0)+1,2,,,"КВР")))</f>
        <v>Иные закупки товаров, работ и услуг для обеспечения муниципальных нужд</v>
      </c>
      <c r="B1056" s="104" t="s">
        <v>416</v>
      </c>
      <c r="C1056" s="8" t="s">
        <v>219</v>
      </c>
      <c r="D1056" s="8" t="s">
        <v>195</v>
      </c>
      <c r="E1056" s="104">
        <v>240</v>
      </c>
      <c r="F1056" s="7">
        <f t="shared" si="246"/>
        <v>1957.5</v>
      </c>
      <c r="G1056" s="7">
        <f t="shared" si="246"/>
        <v>0</v>
      </c>
      <c r="H1056" s="35">
        <f t="shared" si="241"/>
        <v>1957.5</v>
      </c>
      <c r="I1056" s="7">
        <f t="shared" si="246"/>
        <v>0</v>
      </c>
      <c r="J1056" s="35">
        <f t="shared" si="238"/>
        <v>1957.5</v>
      </c>
      <c r="K1056" s="7">
        <f t="shared" si="246"/>
        <v>0</v>
      </c>
      <c r="L1056" s="35">
        <f t="shared" si="236"/>
        <v>1957.5</v>
      </c>
      <c r="M1056" s="7">
        <f t="shared" si="246"/>
        <v>0</v>
      </c>
      <c r="N1056" s="35">
        <f t="shared" si="237"/>
        <v>1957.5</v>
      </c>
      <c r="O1056" s="7">
        <f t="shared" si="246"/>
        <v>0</v>
      </c>
      <c r="P1056" s="35">
        <f t="shared" si="233"/>
        <v>1957.5</v>
      </c>
      <c r="Q1056" s="7">
        <f t="shared" si="246"/>
        <v>0</v>
      </c>
      <c r="R1056" s="35">
        <f t="shared" si="245"/>
        <v>1957.5</v>
      </c>
      <c r="S1056" s="7">
        <f t="shared" si="246"/>
        <v>0</v>
      </c>
      <c r="T1056" s="35">
        <f t="shared" si="239"/>
        <v>1957.5</v>
      </c>
    </row>
    <row r="1057" spans="1:20" ht="33">
      <c r="A1057" s="61" t="str">
        <f ca="1">IF(ISERROR(MATCH(E1057,Код_КВР,0)),"",INDIRECT(ADDRESS(MATCH(E1057,Код_КВР,0)+1,2,,,"КВР")))</f>
        <v xml:space="preserve">Прочая закупка товаров, работ и услуг для обеспечения муниципальных нужд         </v>
      </c>
      <c r="B1057" s="104" t="s">
        <v>416</v>
      </c>
      <c r="C1057" s="8" t="s">
        <v>219</v>
      </c>
      <c r="D1057" s="8" t="s">
        <v>195</v>
      </c>
      <c r="E1057" s="104">
        <v>244</v>
      </c>
      <c r="F1057" s="7">
        <f>прил.6!G539</f>
        <v>1957.5</v>
      </c>
      <c r="G1057" s="7">
        <f>прил.6!H539</f>
        <v>0</v>
      </c>
      <c r="H1057" s="35">
        <f t="shared" si="241"/>
        <v>1957.5</v>
      </c>
      <c r="I1057" s="7">
        <f>прил.6!J539</f>
        <v>0</v>
      </c>
      <c r="J1057" s="35">
        <f t="shared" si="238"/>
        <v>1957.5</v>
      </c>
      <c r="K1057" s="7">
        <f>прил.6!L539</f>
        <v>0</v>
      </c>
      <c r="L1057" s="35">
        <f t="shared" si="236"/>
        <v>1957.5</v>
      </c>
      <c r="M1057" s="7">
        <f>прил.6!N539</f>
        <v>0</v>
      </c>
      <c r="N1057" s="35">
        <f t="shared" si="237"/>
        <v>1957.5</v>
      </c>
      <c r="O1057" s="7">
        <f>прил.6!P539</f>
        <v>0</v>
      </c>
      <c r="P1057" s="35">
        <f t="shared" si="233"/>
        <v>1957.5</v>
      </c>
      <c r="Q1057" s="7">
        <f>прил.6!R539</f>
        <v>0</v>
      </c>
      <c r="R1057" s="35">
        <f t="shared" si="245"/>
        <v>1957.5</v>
      </c>
      <c r="S1057" s="7">
        <f>прил.6!T539</f>
        <v>0</v>
      </c>
      <c r="T1057" s="35">
        <f t="shared" si="239"/>
        <v>1957.5</v>
      </c>
    </row>
    <row r="1058" spans="1:20">
      <c r="A1058" s="61" t="str">
        <f ca="1">IF(ISERROR(MATCH(B1058,Код_КЦСР,0)),"",INDIRECT(ADDRESS(MATCH(B1058,Код_КЦСР,0)+1,2,,,"КЦСР")))</f>
        <v>Содержание и ремонт жилищного фонда</v>
      </c>
      <c r="B1058" s="45" t="s">
        <v>55</v>
      </c>
      <c r="C1058" s="8"/>
      <c r="D1058" s="1"/>
      <c r="E1058" s="104"/>
      <c r="F1058" s="7">
        <f>F1059+F1065</f>
        <v>7680.8</v>
      </c>
      <c r="G1058" s="7">
        <f>G1059+G1065</f>
        <v>0</v>
      </c>
      <c r="H1058" s="35">
        <f t="shared" si="241"/>
        <v>7680.8</v>
      </c>
      <c r="I1058" s="7">
        <f>I1059+I1065</f>
        <v>0</v>
      </c>
      <c r="J1058" s="35">
        <f t="shared" si="238"/>
        <v>7680.8</v>
      </c>
      <c r="K1058" s="7">
        <f>K1059+K1065</f>
        <v>-238.1</v>
      </c>
      <c r="L1058" s="35">
        <f t="shared" si="236"/>
        <v>7442.7</v>
      </c>
      <c r="M1058" s="7">
        <f>M1059+M1065</f>
        <v>0</v>
      </c>
      <c r="N1058" s="35">
        <f t="shared" si="237"/>
        <v>7442.7</v>
      </c>
      <c r="O1058" s="7">
        <f>O1059+O1065</f>
        <v>0</v>
      </c>
      <c r="P1058" s="35">
        <f t="shared" si="233"/>
        <v>7442.7</v>
      </c>
      <c r="Q1058" s="7">
        <f>Q1059+Q1065+Q1071</f>
        <v>8339</v>
      </c>
      <c r="R1058" s="35">
        <f t="shared" si="245"/>
        <v>15781.7</v>
      </c>
      <c r="S1058" s="7">
        <f>S1059+S1065+S1071</f>
        <v>0</v>
      </c>
      <c r="T1058" s="35">
        <f t="shared" si="239"/>
        <v>15781.7</v>
      </c>
    </row>
    <row r="1059" spans="1:20">
      <c r="A1059" s="61" t="str">
        <f ca="1">IF(ISERROR(MATCH(B1059,Код_КЦСР,0)),"",INDIRECT(ADDRESS(MATCH(B1059,Код_КЦСР,0)+1,2,,,"КЦСР")))</f>
        <v>Капитальный ремонт жилищного фонда</v>
      </c>
      <c r="B1059" s="45" t="s">
        <v>57</v>
      </c>
      <c r="C1059" s="8"/>
      <c r="D1059" s="1"/>
      <c r="E1059" s="104"/>
      <c r="F1059" s="7">
        <f t="shared" ref="F1059:S1063" si="247">F1060</f>
        <v>2288.3000000000002</v>
      </c>
      <c r="G1059" s="7">
        <f t="shared" si="247"/>
        <v>0</v>
      </c>
      <c r="H1059" s="35">
        <f t="shared" si="241"/>
        <v>2288.3000000000002</v>
      </c>
      <c r="I1059" s="7">
        <f t="shared" si="247"/>
        <v>0</v>
      </c>
      <c r="J1059" s="35">
        <f t="shared" si="238"/>
        <v>2288.3000000000002</v>
      </c>
      <c r="K1059" s="7">
        <f t="shared" si="247"/>
        <v>0</v>
      </c>
      <c r="L1059" s="35">
        <f t="shared" si="236"/>
        <v>2288.3000000000002</v>
      </c>
      <c r="M1059" s="7">
        <f t="shared" si="247"/>
        <v>0</v>
      </c>
      <c r="N1059" s="35">
        <f t="shared" si="237"/>
        <v>2288.3000000000002</v>
      </c>
      <c r="O1059" s="7">
        <f t="shared" si="247"/>
        <v>0</v>
      </c>
      <c r="P1059" s="35">
        <f t="shared" ref="P1059:P1137" si="248">N1059+O1059</f>
        <v>2288.3000000000002</v>
      </c>
      <c r="Q1059" s="7">
        <f t="shared" si="247"/>
        <v>0</v>
      </c>
      <c r="R1059" s="35">
        <f t="shared" si="245"/>
        <v>2288.3000000000002</v>
      </c>
      <c r="S1059" s="7">
        <f t="shared" si="247"/>
        <v>0</v>
      </c>
      <c r="T1059" s="35">
        <f t="shared" si="239"/>
        <v>2288.3000000000002</v>
      </c>
    </row>
    <row r="1060" spans="1:20">
      <c r="A1060" s="61" t="str">
        <f ca="1">IF(ISERROR(MATCH(C1060,Код_Раздел,0)),"",INDIRECT(ADDRESS(MATCH(C1060,Код_Раздел,0)+1,2,,,"Раздел")))</f>
        <v>Жилищно-коммунальное хозяйство</v>
      </c>
      <c r="B1060" s="45" t="s">
        <v>57</v>
      </c>
      <c r="C1060" s="8" t="s">
        <v>221</v>
      </c>
      <c r="D1060" s="1"/>
      <c r="E1060" s="104"/>
      <c r="F1060" s="7">
        <f t="shared" si="247"/>
        <v>2288.3000000000002</v>
      </c>
      <c r="G1060" s="7">
        <f t="shared" si="247"/>
        <v>0</v>
      </c>
      <c r="H1060" s="35">
        <f t="shared" si="241"/>
        <v>2288.3000000000002</v>
      </c>
      <c r="I1060" s="7">
        <f t="shared" si="247"/>
        <v>0</v>
      </c>
      <c r="J1060" s="35">
        <f t="shared" si="238"/>
        <v>2288.3000000000002</v>
      </c>
      <c r="K1060" s="7">
        <f t="shared" si="247"/>
        <v>0</v>
      </c>
      <c r="L1060" s="35">
        <f t="shared" si="236"/>
        <v>2288.3000000000002</v>
      </c>
      <c r="M1060" s="7">
        <f t="shared" si="247"/>
        <v>0</v>
      </c>
      <c r="N1060" s="35">
        <f t="shared" si="237"/>
        <v>2288.3000000000002</v>
      </c>
      <c r="O1060" s="7">
        <f t="shared" si="247"/>
        <v>0</v>
      </c>
      <c r="P1060" s="35">
        <f t="shared" si="248"/>
        <v>2288.3000000000002</v>
      </c>
      <c r="Q1060" s="7">
        <f t="shared" si="247"/>
        <v>0</v>
      </c>
      <c r="R1060" s="35">
        <f t="shared" si="245"/>
        <v>2288.3000000000002</v>
      </c>
      <c r="S1060" s="7">
        <f t="shared" si="247"/>
        <v>0</v>
      </c>
      <c r="T1060" s="35">
        <f t="shared" si="239"/>
        <v>2288.3000000000002</v>
      </c>
    </row>
    <row r="1061" spans="1:20">
      <c r="A1061" s="12" t="s">
        <v>226</v>
      </c>
      <c r="B1061" s="45" t="s">
        <v>57</v>
      </c>
      <c r="C1061" s="8" t="s">
        <v>221</v>
      </c>
      <c r="D1061" s="8" t="s">
        <v>213</v>
      </c>
      <c r="E1061" s="104"/>
      <c r="F1061" s="7">
        <f t="shared" si="247"/>
        <v>2288.3000000000002</v>
      </c>
      <c r="G1061" s="7">
        <f t="shared" si="247"/>
        <v>0</v>
      </c>
      <c r="H1061" s="35">
        <f t="shared" si="241"/>
        <v>2288.3000000000002</v>
      </c>
      <c r="I1061" s="7">
        <f t="shared" si="247"/>
        <v>0</v>
      </c>
      <c r="J1061" s="35">
        <f t="shared" si="238"/>
        <v>2288.3000000000002</v>
      </c>
      <c r="K1061" s="7">
        <f t="shared" si="247"/>
        <v>0</v>
      </c>
      <c r="L1061" s="35">
        <f t="shared" si="236"/>
        <v>2288.3000000000002</v>
      </c>
      <c r="M1061" s="7">
        <f t="shared" si="247"/>
        <v>0</v>
      </c>
      <c r="N1061" s="35">
        <f t="shared" si="237"/>
        <v>2288.3000000000002</v>
      </c>
      <c r="O1061" s="7">
        <f t="shared" si="247"/>
        <v>0</v>
      </c>
      <c r="P1061" s="35">
        <f t="shared" si="248"/>
        <v>2288.3000000000002</v>
      </c>
      <c r="Q1061" s="7">
        <f t="shared" si="247"/>
        <v>0</v>
      </c>
      <c r="R1061" s="35">
        <f t="shared" si="245"/>
        <v>2288.3000000000002</v>
      </c>
      <c r="S1061" s="7">
        <f t="shared" si="247"/>
        <v>0</v>
      </c>
      <c r="T1061" s="35">
        <f t="shared" si="239"/>
        <v>2288.3000000000002</v>
      </c>
    </row>
    <row r="1062" spans="1:20">
      <c r="A1062" s="61" t="str">
        <f ca="1">IF(ISERROR(MATCH(E1062,Код_КВР,0)),"",INDIRECT(ADDRESS(MATCH(E1062,Код_КВР,0)+1,2,,,"КВР")))</f>
        <v>Закупка товаров, работ и услуг для муниципальных нужд</v>
      </c>
      <c r="B1062" s="45" t="s">
        <v>57</v>
      </c>
      <c r="C1062" s="8" t="s">
        <v>221</v>
      </c>
      <c r="D1062" s="8" t="s">
        <v>213</v>
      </c>
      <c r="E1062" s="104">
        <v>200</v>
      </c>
      <c r="F1062" s="7">
        <f t="shared" si="247"/>
        <v>2288.3000000000002</v>
      </c>
      <c r="G1062" s="7">
        <f t="shared" si="247"/>
        <v>0</v>
      </c>
      <c r="H1062" s="35">
        <f t="shared" si="241"/>
        <v>2288.3000000000002</v>
      </c>
      <c r="I1062" s="7">
        <f t="shared" si="247"/>
        <v>0</v>
      </c>
      <c r="J1062" s="35">
        <f t="shared" si="238"/>
        <v>2288.3000000000002</v>
      </c>
      <c r="K1062" s="7">
        <f t="shared" si="247"/>
        <v>0</v>
      </c>
      <c r="L1062" s="35">
        <f t="shared" si="236"/>
        <v>2288.3000000000002</v>
      </c>
      <c r="M1062" s="7">
        <f t="shared" si="247"/>
        <v>0</v>
      </c>
      <c r="N1062" s="35">
        <f t="shared" si="237"/>
        <v>2288.3000000000002</v>
      </c>
      <c r="O1062" s="7">
        <f t="shared" si="247"/>
        <v>0</v>
      </c>
      <c r="P1062" s="35">
        <f t="shared" si="248"/>
        <v>2288.3000000000002</v>
      </c>
      <c r="Q1062" s="7">
        <f t="shared" si="247"/>
        <v>0</v>
      </c>
      <c r="R1062" s="35">
        <f t="shared" si="245"/>
        <v>2288.3000000000002</v>
      </c>
      <c r="S1062" s="7">
        <f t="shared" si="247"/>
        <v>0</v>
      </c>
      <c r="T1062" s="35">
        <f t="shared" si="239"/>
        <v>2288.3000000000002</v>
      </c>
    </row>
    <row r="1063" spans="1:20" ht="33">
      <c r="A1063" s="61" t="str">
        <f ca="1">IF(ISERROR(MATCH(E1063,Код_КВР,0)),"",INDIRECT(ADDRESS(MATCH(E1063,Код_КВР,0)+1,2,,,"КВР")))</f>
        <v>Иные закупки товаров, работ и услуг для обеспечения муниципальных нужд</v>
      </c>
      <c r="B1063" s="45" t="s">
        <v>57</v>
      </c>
      <c r="C1063" s="8" t="s">
        <v>221</v>
      </c>
      <c r="D1063" s="8" t="s">
        <v>213</v>
      </c>
      <c r="E1063" s="104">
        <v>240</v>
      </c>
      <c r="F1063" s="7">
        <f t="shared" si="247"/>
        <v>2288.3000000000002</v>
      </c>
      <c r="G1063" s="7">
        <f t="shared" si="247"/>
        <v>0</v>
      </c>
      <c r="H1063" s="35">
        <f t="shared" si="241"/>
        <v>2288.3000000000002</v>
      </c>
      <c r="I1063" s="7">
        <f t="shared" si="247"/>
        <v>0</v>
      </c>
      <c r="J1063" s="35">
        <f t="shared" si="238"/>
        <v>2288.3000000000002</v>
      </c>
      <c r="K1063" s="7">
        <f t="shared" si="247"/>
        <v>0</v>
      </c>
      <c r="L1063" s="35">
        <f t="shared" si="236"/>
        <v>2288.3000000000002</v>
      </c>
      <c r="M1063" s="7">
        <f t="shared" si="247"/>
        <v>0</v>
      </c>
      <c r="N1063" s="35">
        <f t="shared" si="237"/>
        <v>2288.3000000000002</v>
      </c>
      <c r="O1063" s="7">
        <f t="shared" si="247"/>
        <v>0</v>
      </c>
      <c r="P1063" s="35">
        <f t="shared" si="248"/>
        <v>2288.3000000000002</v>
      </c>
      <c r="Q1063" s="7">
        <f t="shared" si="247"/>
        <v>0</v>
      </c>
      <c r="R1063" s="35">
        <f t="shared" si="245"/>
        <v>2288.3000000000002</v>
      </c>
      <c r="S1063" s="7">
        <f t="shared" si="247"/>
        <v>0</v>
      </c>
      <c r="T1063" s="35">
        <f t="shared" si="239"/>
        <v>2288.3000000000002</v>
      </c>
    </row>
    <row r="1064" spans="1:20" ht="33">
      <c r="A1064" s="61" t="str">
        <f ca="1">IF(ISERROR(MATCH(E1064,Код_КВР,0)),"",INDIRECT(ADDRESS(MATCH(E1064,Код_КВР,0)+1,2,,,"КВР")))</f>
        <v xml:space="preserve">Прочая закупка товаров, работ и услуг для обеспечения муниципальных нужд         </v>
      </c>
      <c r="B1064" s="45" t="s">
        <v>57</v>
      </c>
      <c r="C1064" s="8" t="s">
        <v>221</v>
      </c>
      <c r="D1064" s="8" t="s">
        <v>213</v>
      </c>
      <c r="E1064" s="104">
        <v>244</v>
      </c>
      <c r="F1064" s="7">
        <f>прил.6!G490</f>
        <v>2288.3000000000002</v>
      </c>
      <c r="G1064" s="7">
        <f>прил.6!H490</f>
        <v>0</v>
      </c>
      <c r="H1064" s="35">
        <f t="shared" si="241"/>
        <v>2288.3000000000002</v>
      </c>
      <c r="I1064" s="7">
        <f>прил.6!J490</f>
        <v>0</v>
      </c>
      <c r="J1064" s="35">
        <f t="shared" si="238"/>
        <v>2288.3000000000002</v>
      </c>
      <c r="K1064" s="7">
        <f>прил.6!L490</f>
        <v>0</v>
      </c>
      <c r="L1064" s="35">
        <f t="shared" si="236"/>
        <v>2288.3000000000002</v>
      </c>
      <c r="M1064" s="7">
        <f>прил.6!N490</f>
        <v>0</v>
      </c>
      <c r="N1064" s="35">
        <f t="shared" si="237"/>
        <v>2288.3000000000002</v>
      </c>
      <c r="O1064" s="7">
        <f>прил.6!P490</f>
        <v>0</v>
      </c>
      <c r="P1064" s="35">
        <f t="shared" si="248"/>
        <v>2288.3000000000002</v>
      </c>
      <c r="Q1064" s="7">
        <f>прил.6!R490</f>
        <v>0</v>
      </c>
      <c r="R1064" s="35">
        <f t="shared" si="245"/>
        <v>2288.3000000000002</v>
      </c>
      <c r="S1064" s="7">
        <f>прил.6!T490</f>
        <v>0</v>
      </c>
      <c r="T1064" s="35">
        <f t="shared" si="239"/>
        <v>2288.3000000000002</v>
      </c>
    </row>
    <row r="1065" spans="1:20" ht="33">
      <c r="A1065" s="61" t="str">
        <f ca="1">IF(ISERROR(MATCH(B1065,Код_КЦСР,0)),"",INDIRECT(ADDRESS(MATCH(B1065,Код_КЦСР,0)+1,2,,,"КЦСР")))</f>
        <v>Содержание и ремонт временно незаселенных жилых помещений муниципального жилищного фонда</v>
      </c>
      <c r="B1065" s="45" t="s">
        <v>59</v>
      </c>
      <c r="C1065" s="8"/>
      <c r="D1065" s="8"/>
      <c r="E1065" s="104"/>
      <c r="F1065" s="7">
        <f t="shared" ref="F1065:S1069" si="249">F1066</f>
        <v>5392.5</v>
      </c>
      <c r="G1065" s="7">
        <f t="shared" si="249"/>
        <v>0</v>
      </c>
      <c r="H1065" s="35">
        <f t="shared" si="241"/>
        <v>5392.5</v>
      </c>
      <c r="I1065" s="7">
        <f t="shared" si="249"/>
        <v>0</v>
      </c>
      <c r="J1065" s="35">
        <f t="shared" si="238"/>
        <v>5392.5</v>
      </c>
      <c r="K1065" s="7">
        <f t="shared" si="249"/>
        <v>-238.1</v>
      </c>
      <c r="L1065" s="35">
        <f t="shared" si="236"/>
        <v>5154.3999999999996</v>
      </c>
      <c r="M1065" s="7">
        <f t="shared" si="249"/>
        <v>0</v>
      </c>
      <c r="N1065" s="35">
        <f t="shared" si="237"/>
        <v>5154.3999999999996</v>
      </c>
      <c r="O1065" s="7">
        <f t="shared" si="249"/>
        <v>0</v>
      </c>
      <c r="P1065" s="35">
        <f t="shared" si="248"/>
        <v>5154.3999999999996</v>
      </c>
      <c r="Q1065" s="7">
        <f t="shared" si="249"/>
        <v>-180.39999999999998</v>
      </c>
      <c r="R1065" s="35">
        <f t="shared" si="245"/>
        <v>4974</v>
      </c>
      <c r="S1065" s="7">
        <f t="shared" si="249"/>
        <v>0</v>
      </c>
      <c r="T1065" s="35">
        <f t="shared" si="239"/>
        <v>4974</v>
      </c>
    </row>
    <row r="1066" spans="1:20">
      <c r="A1066" s="61" t="str">
        <f ca="1">IF(ISERROR(MATCH(C1066,Код_Раздел,0)),"",INDIRECT(ADDRESS(MATCH(C1066,Код_Раздел,0)+1,2,,,"Раздел")))</f>
        <v>Жилищно-коммунальное хозяйство</v>
      </c>
      <c r="B1066" s="45" t="s">
        <v>59</v>
      </c>
      <c r="C1066" s="8" t="s">
        <v>221</v>
      </c>
      <c r="D1066" s="1"/>
      <c r="E1066" s="104"/>
      <c r="F1066" s="7">
        <f t="shared" si="249"/>
        <v>5392.5</v>
      </c>
      <c r="G1066" s="7">
        <f t="shared" si="249"/>
        <v>0</v>
      </c>
      <c r="H1066" s="35">
        <f t="shared" si="241"/>
        <v>5392.5</v>
      </c>
      <c r="I1066" s="7">
        <f t="shared" si="249"/>
        <v>0</v>
      </c>
      <c r="J1066" s="35">
        <f t="shared" si="238"/>
        <v>5392.5</v>
      </c>
      <c r="K1066" s="7">
        <f t="shared" si="249"/>
        <v>-238.1</v>
      </c>
      <c r="L1066" s="35">
        <f t="shared" si="236"/>
        <v>5154.3999999999996</v>
      </c>
      <c r="M1066" s="7">
        <f t="shared" si="249"/>
        <v>0</v>
      </c>
      <c r="N1066" s="35">
        <f t="shared" si="237"/>
        <v>5154.3999999999996</v>
      </c>
      <c r="O1066" s="7">
        <f t="shared" si="249"/>
        <v>0</v>
      </c>
      <c r="P1066" s="35">
        <f t="shared" si="248"/>
        <v>5154.3999999999996</v>
      </c>
      <c r="Q1066" s="7">
        <f t="shared" si="249"/>
        <v>-180.39999999999998</v>
      </c>
      <c r="R1066" s="35">
        <f t="shared" si="245"/>
        <v>4974</v>
      </c>
      <c r="S1066" s="7">
        <f t="shared" si="249"/>
        <v>0</v>
      </c>
      <c r="T1066" s="35">
        <f t="shared" si="239"/>
        <v>4974</v>
      </c>
    </row>
    <row r="1067" spans="1:20">
      <c r="A1067" s="12" t="s">
        <v>226</v>
      </c>
      <c r="B1067" s="45" t="s">
        <v>59</v>
      </c>
      <c r="C1067" s="8" t="s">
        <v>221</v>
      </c>
      <c r="D1067" s="8" t="s">
        <v>213</v>
      </c>
      <c r="E1067" s="104"/>
      <c r="F1067" s="7">
        <f t="shared" si="249"/>
        <v>5392.5</v>
      </c>
      <c r="G1067" s="7">
        <f t="shared" si="249"/>
        <v>0</v>
      </c>
      <c r="H1067" s="35">
        <f t="shared" si="241"/>
        <v>5392.5</v>
      </c>
      <c r="I1067" s="7">
        <f t="shared" si="249"/>
        <v>0</v>
      </c>
      <c r="J1067" s="35">
        <f t="shared" si="238"/>
        <v>5392.5</v>
      </c>
      <c r="K1067" s="7">
        <f t="shared" si="249"/>
        <v>-238.1</v>
      </c>
      <c r="L1067" s="35">
        <f t="shared" si="236"/>
        <v>5154.3999999999996</v>
      </c>
      <c r="M1067" s="7">
        <f t="shared" si="249"/>
        <v>0</v>
      </c>
      <c r="N1067" s="35">
        <f t="shared" si="237"/>
        <v>5154.3999999999996</v>
      </c>
      <c r="O1067" s="7">
        <f t="shared" si="249"/>
        <v>0</v>
      </c>
      <c r="P1067" s="35">
        <f t="shared" si="248"/>
        <v>5154.3999999999996</v>
      </c>
      <c r="Q1067" s="7">
        <f t="shared" si="249"/>
        <v>-180.39999999999998</v>
      </c>
      <c r="R1067" s="35">
        <f t="shared" si="245"/>
        <v>4974</v>
      </c>
      <c r="S1067" s="7">
        <f t="shared" si="249"/>
        <v>0</v>
      </c>
      <c r="T1067" s="35">
        <f t="shared" si="239"/>
        <v>4974</v>
      </c>
    </row>
    <row r="1068" spans="1:20">
      <c r="A1068" s="61" t="str">
        <f ca="1">IF(ISERROR(MATCH(E1068,Код_КВР,0)),"",INDIRECT(ADDRESS(MATCH(E1068,Код_КВР,0)+1,2,,,"КВР")))</f>
        <v>Закупка товаров, работ и услуг для муниципальных нужд</v>
      </c>
      <c r="B1068" s="45" t="s">
        <v>59</v>
      </c>
      <c r="C1068" s="8" t="s">
        <v>221</v>
      </c>
      <c r="D1068" s="8" t="s">
        <v>213</v>
      </c>
      <c r="E1068" s="104">
        <v>200</v>
      </c>
      <c r="F1068" s="7">
        <f t="shared" si="249"/>
        <v>5392.5</v>
      </c>
      <c r="G1068" s="7">
        <f t="shared" si="249"/>
        <v>0</v>
      </c>
      <c r="H1068" s="35">
        <f t="shared" si="241"/>
        <v>5392.5</v>
      </c>
      <c r="I1068" s="7">
        <f t="shared" si="249"/>
        <v>0</v>
      </c>
      <c r="J1068" s="35">
        <f t="shared" si="238"/>
        <v>5392.5</v>
      </c>
      <c r="K1068" s="7">
        <f t="shared" si="249"/>
        <v>-238.1</v>
      </c>
      <c r="L1068" s="35">
        <f t="shared" si="236"/>
        <v>5154.3999999999996</v>
      </c>
      <c r="M1068" s="7">
        <f t="shared" si="249"/>
        <v>0</v>
      </c>
      <c r="N1068" s="35">
        <f t="shared" si="237"/>
        <v>5154.3999999999996</v>
      </c>
      <c r="O1068" s="7">
        <f t="shared" si="249"/>
        <v>0</v>
      </c>
      <c r="P1068" s="35">
        <f t="shared" si="248"/>
        <v>5154.3999999999996</v>
      </c>
      <c r="Q1068" s="7">
        <f t="shared" si="249"/>
        <v>-180.39999999999998</v>
      </c>
      <c r="R1068" s="35">
        <f t="shared" si="245"/>
        <v>4974</v>
      </c>
      <c r="S1068" s="7">
        <f t="shared" si="249"/>
        <v>0</v>
      </c>
      <c r="T1068" s="35">
        <f t="shared" si="239"/>
        <v>4974</v>
      </c>
    </row>
    <row r="1069" spans="1:20" ht="33">
      <c r="A1069" s="61" t="str">
        <f ca="1">IF(ISERROR(MATCH(E1069,Код_КВР,0)),"",INDIRECT(ADDRESS(MATCH(E1069,Код_КВР,0)+1,2,,,"КВР")))</f>
        <v>Иные закупки товаров, работ и услуг для обеспечения муниципальных нужд</v>
      </c>
      <c r="B1069" s="45" t="s">
        <v>59</v>
      </c>
      <c r="C1069" s="8" t="s">
        <v>221</v>
      </c>
      <c r="D1069" s="8" t="s">
        <v>213</v>
      </c>
      <c r="E1069" s="104">
        <v>240</v>
      </c>
      <c r="F1069" s="7">
        <f t="shared" si="249"/>
        <v>5392.5</v>
      </c>
      <c r="G1069" s="7">
        <f t="shared" si="249"/>
        <v>0</v>
      </c>
      <c r="H1069" s="35">
        <f t="shared" si="241"/>
        <v>5392.5</v>
      </c>
      <c r="I1069" s="7">
        <f t="shared" si="249"/>
        <v>0</v>
      </c>
      <c r="J1069" s="35">
        <f t="shared" si="238"/>
        <v>5392.5</v>
      </c>
      <c r="K1069" s="7">
        <f t="shared" si="249"/>
        <v>-238.1</v>
      </c>
      <c r="L1069" s="35">
        <f t="shared" si="236"/>
        <v>5154.3999999999996</v>
      </c>
      <c r="M1069" s="7">
        <f t="shared" si="249"/>
        <v>0</v>
      </c>
      <c r="N1069" s="35">
        <f t="shared" si="237"/>
        <v>5154.3999999999996</v>
      </c>
      <c r="O1069" s="7">
        <f t="shared" si="249"/>
        <v>0</v>
      </c>
      <c r="P1069" s="35">
        <f t="shared" si="248"/>
        <v>5154.3999999999996</v>
      </c>
      <c r="Q1069" s="7">
        <f t="shared" si="249"/>
        <v>-180.39999999999998</v>
      </c>
      <c r="R1069" s="35">
        <f t="shared" si="245"/>
        <v>4974</v>
      </c>
      <c r="S1069" s="7">
        <f t="shared" si="249"/>
        <v>0</v>
      </c>
      <c r="T1069" s="35">
        <f t="shared" si="239"/>
        <v>4974</v>
      </c>
    </row>
    <row r="1070" spans="1:20" ht="33">
      <c r="A1070" s="61" t="str">
        <f ca="1">IF(ISERROR(MATCH(E1070,Код_КВР,0)),"",INDIRECT(ADDRESS(MATCH(E1070,Код_КВР,0)+1,2,,,"КВР")))</f>
        <v xml:space="preserve">Прочая закупка товаров, работ и услуг для обеспечения муниципальных нужд         </v>
      </c>
      <c r="B1070" s="45" t="s">
        <v>59</v>
      </c>
      <c r="C1070" s="8" t="s">
        <v>221</v>
      </c>
      <c r="D1070" s="8" t="s">
        <v>213</v>
      </c>
      <c r="E1070" s="104">
        <v>244</v>
      </c>
      <c r="F1070" s="7">
        <f>прил.6!G494</f>
        <v>5392.5</v>
      </c>
      <c r="G1070" s="7">
        <f>прил.6!H494</f>
        <v>0</v>
      </c>
      <c r="H1070" s="35">
        <f t="shared" si="241"/>
        <v>5392.5</v>
      </c>
      <c r="I1070" s="7">
        <f>прил.6!J494</f>
        <v>0</v>
      </c>
      <c r="J1070" s="35">
        <f t="shared" si="238"/>
        <v>5392.5</v>
      </c>
      <c r="K1070" s="7">
        <f>прил.6!L494</f>
        <v>-238.1</v>
      </c>
      <c r="L1070" s="35">
        <f t="shared" si="236"/>
        <v>5154.3999999999996</v>
      </c>
      <c r="M1070" s="7">
        <f>прил.6!N494</f>
        <v>0</v>
      </c>
      <c r="N1070" s="35">
        <f t="shared" si="237"/>
        <v>5154.3999999999996</v>
      </c>
      <c r="O1070" s="7">
        <f>прил.6!P494</f>
        <v>0</v>
      </c>
      <c r="P1070" s="35">
        <f t="shared" si="248"/>
        <v>5154.3999999999996</v>
      </c>
      <c r="Q1070" s="7">
        <f>прил.6!R494</f>
        <v>-180.39999999999998</v>
      </c>
      <c r="R1070" s="35">
        <f t="shared" si="245"/>
        <v>4974</v>
      </c>
      <c r="S1070" s="7">
        <f>прил.6!T494</f>
        <v>0</v>
      </c>
      <c r="T1070" s="35">
        <f t="shared" si="239"/>
        <v>4974</v>
      </c>
    </row>
    <row r="1071" spans="1:20" ht="59.25" customHeight="1">
      <c r="A1071" s="61" t="str">
        <f ca="1">IF(ISERROR(MATCH(B1071,Код_КЦСР,0)),"",INDIRECT(ADDRESS(MATCH(B1071,Код_КЦСР,0)+1,2,,,"КЦСР")))</f>
        <v>Осуществление полномочий собственника муниципального жилищного фонда городского округа в части внесения взносов в фонд капитального ремонта</v>
      </c>
      <c r="B1071" s="45" t="s">
        <v>658</v>
      </c>
      <c r="C1071" s="8"/>
      <c r="D1071" s="8"/>
      <c r="E1071" s="117"/>
      <c r="F1071" s="7"/>
      <c r="G1071" s="7"/>
      <c r="H1071" s="35"/>
      <c r="I1071" s="7"/>
      <c r="J1071" s="35"/>
      <c r="K1071" s="7"/>
      <c r="L1071" s="35"/>
      <c r="M1071" s="7"/>
      <c r="N1071" s="35"/>
      <c r="O1071" s="7"/>
      <c r="P1071" s="35"/>
      <c r="Q1071" s="7">
        <f>Q1072</f>
        <v>8519.4</v>
      </c>
      <c r="R1071" s="35">
        <f t="shared" si="245"/>
        <v>8519.4</v>
      </c>
      <c r="S1071" s="7">
        <f>S1072</f>
        <v>0</v>
      </c>
      <c r="T1071" s="35">
        <f t="shared" si="239"/>
        <v>8519.4</v>
      </c>
    </row>
    <row r="1072" spans="1:20">
      <c r="A1072" s="61" t="str">
        <f ca="1">IF(ISERROR(MATCH(C1072,Код_Раздел,0)),"",INDIRECT(ADDRESS(MATCH(C1072,Код_Раздел,0)+1,2,,,"Раздел")))</f>
        <v>Жилищно-коммунальное хозяйство</v>
      </c>
      <c r="B1072" s="45" t="s">
        <v>658</v>
      </c>
      <c r="C1072" s="8" t="s">
        <v>221</v>
      </c>
      <c r="D1072" s="1"/>
      <c r="E1072" s="117"/>
      <c r="F1072" s="7"/>
      <c r="G1072" s="7"/>
      <c r="H1072" s="35"/>
      <c r="I1072" s="7"/>
      <c r="J1072" s="35"/>
      <c r="K1072" s="7"/>
      <c r="L1072" s="35"/>
      <c r="M1072" s="7"/>
      <c r="N1072" s="35"/>
      <c r="O1072" s="7"/>
      <c r="P1072" s="35"/>
      <c r="Q1072" s="7">
        <f>Q1073</f>
        <v>8519.4</v>
      </c>
      <c r="R1072" s="35">
        <f t="shared" si="245"/>
        <v>8519.4</v>
      </c>
      <c r="S1072" s="7">
        <f>S1073</f>
        <v>0</v>
      </c>
      <c r="T1072" s="35">
        <f t="shared" si="239"/>
        <v>8519.4</v>
      </c>
    </row>
    <row r="1073" spans="1:20">
      <c r="A1073" s="12" t="s">
        <v>226</v>
      </c>
      <c r="B1073" s="45" t="s">
        <v>658</v>
      </c>
      <c r="C1073" s="8" t="s">
        <v>221</v>
      </c>
      <c r="D1073" s="8" t="s">
        <v>213</v>
      </c>
      <c r="E1073" s="117"/>
      <c r="F1073" s="7"/>
      <c r="G1073" s="7"/>
      <c r="H1073" s="35"/>
      <c r="I1073" s="7"/>
      <c r="J1073" s="35"/>
      <c r="K1073" s="7"/>
      <c r="L1073" s="35"/>
      <c r="M1073" s="7"/>
      <c r="N1073" s="35"/>
      <c r="O1073" s="7"/>
      <c r="P1073" s="35"/>
      <c r="Q1073" s="7">
        <f>Q1074</f>
        <v>8519.4</v>
      </c>
      <c r="R1073" s="35">
        <f t="shared" si="245"/>
        <v>8519.4</v>
      </c>
      <c r="S1073" s="7">
        <f>S1074</f>
        <v>0</v>
      </c>
      <c r="T1073" s="35">
        <f t="shared" si="239"/>
        <v>8519.4</v>
      </c>
    </row>
    <row r="1074" spans="1:20" ht="19.5" customHeight="1">
      <c r="A1074" s="61" t="str">
        <f ca="1">IF(ISERROR(MATCH(E1074,Код_КВР,0)),"",INDIRECT(ADDRESS(MATCH(E1074,Код_КВР,0)+1,2,,,"КВР")))</f>
        <v>Закупка товаров, работ и услуг для муниципальных нужд</v>
      </c>
      <c r="B1074" s="45" t="s">
        <v>658</v>
      </c>
      <c r="C1074" s="8" t="s">
        <v>221</v>
      </c>
      <c r="D1074" s="8" t="s">
        <v>213</v>
      </c>
      <c r="E1074" s="117">
        <v>200</v>
      </c>
      <c r="F1074" s="7"/>
      <c r="G1074" s="7"/>
      <c r="H1074" s="35"/>
      <c r="I1074" s="7"/>
      <c r="J1074" s="35"/>
      <c r="K1074" s="7"/>
      <c r="L1074" s="35"/>
      <c r="M1074" s="7"/>
      <c r="N1074" s="35"/>
      <c r="O1074" s="7"/>
      <c r="P1074" s="35"/>
      <c r="Q1074" s="7">
        <f>Q1075</f>
        <v>8519.4</v>
      </c>
      <c r="R1074" s="35">
        <f t="shared" si="245"/>
        <v>8519.4</v>
      </c>
      <c r="S1074" s="7">
        <f>S1075</f>
        <v>0</v>
      </c>
      <c r="T1074" s="35">
        <f t="shared" si="239"/>
        <v>8519.4</v>
      </c>
    </row>
    <row r="1075" spans="1:20" ht="33">
      <c r="A1075" s="61" t="str">
        <f ca="1">IF(ISERROR(MATCH(E1075,Код_КВР,0)),"",INDIRECT(ADDRESS(MATCH(E1075,Код_КВР,0)+1,2,,,"КВР")))</f>
        <v>Иные закупки товаров, работ и услуг для обеспечения муниципальных нужд</v>
      </c>
      <c r="B1075" s="45" t="s">
        <v>658</v>
      </c>
      <c r="C1075" s="8" t="s">
        <v>221</v>
      </c>
      <c r="D1075" s="8" t="s">
        <v>213</v>
      </c>
      <c r="E1075" s="117">
        <v>240</v>
      </c>
      <c r="F1075" s="7"/>
      <c r="G1075" s="7"/>
      <c r="H1075" s="35"/>
      <c r="I1075" s="7"/>
      <c r="J1075" s="35"/>
      <c r="K1075" s="7"/>
      <c r="L1075" s="35"/>
      <c r="M1075" s="7"/>
      <c r="N1075" s="35"/>
      <c r="O1075" s="7"/>
      <c r="P1075" s="35"/>
      <c r="Q1075" s="7">
        <f>Q1076</f>
        <v>8519.4</v>
      </c>
      <c r="R1075" s="35">
        <f t="shared" si="245"/>
        <v>8519.4</v>
      </c>
      <c r="S1075" s="7">
        <f>S1076</f>
        <v>0</v>
      </c>
      <c r="T1075" s="35">
        <f t="shared" si="239"/>
        <v>8519.4</v>
      </c>
    </row>
    <row r="1076" spans="1:20" ht="33">
      <c r="A1076" s="61" t="str">
        <f ca="1">IF(ISERROR(MATCH(E1076,Код_КВР,0)),"",INDIRECT(ADDRESS(MATCH(E1076,Код_КВР,0)+1,2,,,"КВР")))</f>
        <v xml:space="preserve">Прочая закупка товаров, работ и услуг для обеспечения муниципальных нужд         </v>
      </c>
      <c r="B1076" s="45" t="s">
        <v>658</v>
      </c>
      <c r="C1076" s="8" t="s">
        <v>221</v>
      </c>
      <c r="D1076" s="8" t="s">
        <v>213</v>
      </c>
      <c r="E1076" s="117">
        <v>244</v>
      </c>
      <c r="F1076" s="7"/>
      <c r="G1076" s="7"/>
      <c r="H1076" s="35"/>
      <c r="I1076" s="7"/>
      <c r="J1076" s="35"/>
      <c r="K1076" s="7"/>
      <c r="L1076" s="35"/>
      <c r="M1076" s="7"/>
      <c r="N1076" s="35"/>
      <c r="O1076" s="7"/>
      <c r="P1076" s="35"/>
      <c r="Q1076" s="7">
        <f>прил.6!R498</f>
        <v>8519.4</v>
      </c>
      <c r="R1076" s="35">
        <f t="shared" si="245"/>
        <v>8519.4</v>
      </c>
      <c r="S1076" s="7">
        <f>прил.6!T498</f>
        <v>0</v>
      </c>
      <c r="T1076" s="35">
        <f t="shared" si="239"/>
        <v>8519.4</v>
      </c>
    </row>
    <row r="1077" spans="1:20" ht="33">
      <c r="A1077" s="61" t="str">
        <f ca="1">IF(ISERROR(MATCH(B1077,Код_КЦСР,0)),"",INDIRECT(ADDRESS(MATCH(B1077,Код_КЦСР,0)+1,2,,,"КЦСР")))</f>
        <v>Муниципальная программа «Развитие земельно-имущественного комплекса  города Череповца» на 2014-2018 годы</v>
      </c>
      <c r="B1077" s="45" t="s">
        <v>61</v>
      </c>
      <c r="C1077" s="8"/>
      <c r="D1077" s="1"/>
      <c r="E1077" s="104"/>
      <c r="F1077" s="7">
        <f>F1078+F1089+F1095</f>
        <v>79861.8</v>
      </c>
      <c r="G1077" s="7">
        <f>G1078+G1089+G1095</f>
        <v>0</v>
      </c>
      <c r="H1077" s="35">
        <f t="shared" si="241"/>
        <v>79861.8</v>
      </c>
      <c r="I1077" s="7">
        <f>I1078+I1089+I1095</f>
        <v>-83.699999999999818</v>
      </c>
      <c r="J1077" s="35">
        <f t="shared" si="238"/>
        <v>79778.100000000006</v>
      </c>
      <c r="K1077" s="7">
        <f>K1078+K1089+K1095</f>
        <v>351.79999999999995</v>
      </c>
      <c r="L1077" s="35">
        <f t="shared" si="236"/>
        <v>80129.900000000009</v>
      </c>
      <c r="M1077" s="7">
        <f>M1078+M1089+M1095</f>
        <v>-3001.2</v>
      </c>
      <c r="N1077" s="35">
        <f t="shared" si="237"/>
        <v>77128.700000000012</v>
      </c>
      <c r="O1077" s="7">
        <f>O1078+O1089+O1095</f>
        <v>0</v>
      </c>
      <c r="P1077" s="35">
        <f t="shared" si="248"/>
        <v>77128.700000000012</v>
      </c>
      <c r="Q1077" s="7">
        <f>Q1078+Q1089+Q1095</f>
        <v>-1292.4000000000001</v>
      </c>
      <c r="R1077" s="35">
        <f t="shared" si="245"/>
        <v>75836.300000000017</v>
      </c>
      <c r="S1077" s="7">
        <f>S1078+S1089+S1095</f>
        <v>0</v>
      </c>
      <c r="T1077" s="35">
        <f t="shared" si="239"/>
        <v>75836.300000000017</v>
      </c>
    </row>
    <row r="1078" spans="1:20" ht="33">
      <c r="A1078" s="61" t="str">
        <f ca="1">IF(ISERROR(MATCH(B1078,Код_КЦСР,0)),"",INDIRECT(ADDRESS(MATCH(B1078,Код_КЦСР,0)+1,2,,,"КЦСР")))</f>
        <v>Формирование и обеспечение сохранности муниципального земельно-имущественного комплекса</v>
      </c>
      <c r="B1078" s="45" t="s">
        <v>63</v>
      </c>
      <c r="C1078" s="8"/>
      <c r="D1078" s="1"/>
      <c r="E1078" s="104"/>
      <c r="F1078" s="7">
        <f>F1079+F1084</f>
        <v>74338.5</v>
      </c>
      <c r="G1078" s="7">
        <f>G1079+G1084</f>
        <v>0</v>
      </c>
      <c r="H1078" s="35">
        <f t="shared" si="241"/>
        <v>74338.5</v>
      </c>
      <c r="I1078" s="7">
        <f>I1079+I1084</f>
        <v>-83.699999999999818</v>
      </c>
      <c r="J1078" s="35">
        <f t="shared" si="238"/>
        <v>74254.8</v>
      </c>
      <c r="K1078" s="7">
        <f>K1079+K1084</f>
        <v>1130</v>
      </c>
      <c r="L1078" s="35">
        <f t="shared" si="236"/>
        <v>75384.800000000003</v>
      </c>
      <c r="M1078" s="7">
        <f>M1079+M1084</f>
        <v>-2931</v>
      </c>
      <c r="N1078" s="35">
        <f t="shared" si="237"/>
        <v>72453.8</v>
      </c>
      <c r="O1078" s="7">
        <f>O1079+O1084</f>
        <v>0</v>
      </c>
      <c r="P1078" s="35">
        <f t="shared" si="248"/>
        <v>72453.8</v>
      </c>
      <c r="Q1078" s="7">
        <f>Q1079+Q1084</f>
        <v>-1342.3000000000002</v>
      </c>
      <c r="R1078" s="35">
        <f t="shared" si="245"/>
        <v>71111.5</v>
      </c>
      <c r="S1078" s="7">
        <f>S1079+S1084</f>
        <v>0</v>
      </c>
      <c r="T1078" s="35">
        <f t="shared" si="239"/>
        <v>71111.5</v>
      </c>
    </row>
    <row r="1079" spans="1:20">
      <c r="A1079" s="61" t="str">
        <f ca="1">IF(ISERROR(MATCH(C1079,Код_Раздел,0)),"",INDIRECT(ADDRESS(MATCH(C1079,Код_Раздел,0)+1,2,,,"Раздел")))</f>
        <v>Общегосударственные  вопросы</v>
      </c>
      <c r="B1079" s="45" t="s">
        <v>63</v>
      </c>
      <c r="C1079" s="8" t="s">
        <v>213</v>
      </c>
      <c r="D1079" s="1"/>
      <c r="E1079" s="104"/>
      <c r="F1079" s="7">
        <f t="shared" ref="F1079:S1082" si="250">F1080</f>
        <v>10109.5</v>
      </c>
      <c r="G1079" s="7">
        <f t="shared" si="250"/>
        <v>0</v>
      </c>
      <c r="H1079" s="35">
        <f t="shared" si="241"/>
        <v>10109.5</v>
      </c>
      <c r="I1079" s="7">
        <f t="shared" si="250"/>
        <v>-83.699999999999818</v>
      </c>
      <c r="J1079" s="35">
        <f t="shared" si="238"/>
        <v>10025.799999999999</v>
      </c>
      <c r="K1079" s="7">
        <f t="shared" si="250"/>
        <v>1130</v>
      </c>
      <c r="L1079" s="35">
        <f t="shared" si="236"/>
        <v>11155.8</v>
      </c>
      <c r="M1079" s="7">
        <f t="shared" si="250"/>
        <v>-365.3</v>
      </c>
      <c r="N1079" s="35">
        <f t="shared" si="237"/>
        <v>10790.5</v>
      </c>
      <c r="O1079" s="7">
        <f t="shared" si="250"/>
        <v>0</v>
      </c>
      <c r="P1079" s="35">
        <f t="shared" si="248"/>
        <v>10790.5</v>
      </c>
      <c r="Q1079" s="7">
        <f t="shared" si="250"/>
        <v>-1292.4000000000001</v>
      </c>
      <c r="R1079" s="35">
        <f t="shared" si="245"/>
        <v>9498.1</v>
      </c>
      <c r="S1079" s="7">
        <f t="shared" si="250"/>
        <v>0</v>
      </c>
      <c r="T1079" s="35">
        <f t="shared" si="239"/>
        <v>9498.1</v>
      </c>
    </row>
    <row r="1080" spans="1:20">
      <c r="A1080" s="12" t="s">
        <v>237</v>
      </c>
      <c r="B1080" s="45" t="s">
        <v>63</v>
      </c>
      <c r="C1080" s="8" t="s">
        <v>213</v>
      </c>
      <c r="D1080" s="1" t="s">
        <v>190</v>
      </c>
      <c r="E1080" s="104"/>
      <c r="F1080" s="7">
        <f t="shared" si="250"/>
        <v>10109.5</v>
      </c>
      <c r="G1080" s="7">
        <f t="shared" si="250"/>
        <v>0</v>
      </c>
      <c r="H1080" s="35">
        <f t="shared" si="241"/>
        <v>10109.5</v>
      </c>
      <c r="I1080" s="7">
        <f t="shared" si="250"/>
        <v>-83.699999999999818</v>
      </c>
      <c r="J1080" s="35">
        <f t="shared" si="238"/>
        <v>10025.799999999999</v>
      </c>
      <c r="K1080" s="7">
        <f t="shared" si="250"/>
        <v>1130</v>
      </c>
      <c r="L1080" s="35">
        <f t="shared" ref="L1080:L1156" si="251">J1080+K1080</f>
        <v>11155.8</v>
      </c>
      <c r="M1080" s="7">
        <f t="shared" si="250"/>
        <v>-365.3</v>
      </c>
      <c r="N1080" s="35">
        <f t="shared" ref="N1080:N1156" si="252">L1080+M1080</f>
        <v>10790.5</v>
      </c>
      <c r="O1080" s="7">
        <f t="shared" si="250"/>
        <v>0</v>
      </c>
      <c r="P1080" s="35">
        <f t="shared" si="248"/>
        <v>10790.5</v>
      </c>
      <c r="Q1080" s="7">
        <f t="shared" si="250"/>
        <v>-1292.4000000000001</v>
      </c>
      <c r="R1080" s="35">
        <f t="shared" si="245"/>
        <v>9498.1</v>
      </c>
      <c r="S1080" s="7">
        <f t="shared" si="250"/>
        <v>0</v>
      </c>
      <c r="T1080" s="35">
        <f t="shared" si="239"/>
        <v>9498.1</v>
      </c>
    </row>
    <row r="1081" spans="1:20">
      <c r="A1081" s="61" t="str">
        <f ca="1">IF(ISERROR(MATCH(E1081,Код_КВР,0)),"",INDIRECT(ADDRESS(MATCH(E1081,Код_КВР,0)+1,2,,,"КВР")))</f>
        <v>Закупка товаров, работ и услуг для муниципальных нужд</v>
      </c>
      <c r="B1081" s="45" t="s">
        <v>63</v>
      </c>
      <c r="C1081" s="8" t="s">
        <v>213</v>
      </c>
      <c r="D1081" s="1" t="s">
        <v>190</v>
      </c>
      <c r="E1081" s="104">
        <v>200</v>
      </c>
      <c r="F1081" s="7">
        <f t="shared" si="250"/>
        <v>10109.5</v>
      </c>
      <c r="G1081" s="7">
        <f t="shared" si="250"/>
        <v>0</v>
      </c>
      <c r="H1081" s="35">
        <f t="shared" si="241"/>
        <v>10109.5</v>
      </c>
      <c r="I1081" s="7">
        <f t="shared" si="250"/>
        <v>-83.699999999999818</v>
      </c>
      <c r="J1081" s="35">
        <f t="shared" si="238"/>
        <v>10025.799999999999</v>
      </c>
      <c r="K1081" s="7">
        <f t="shared" si="250"/>
        <v>1130</v>
      </c>
      <c r="L1081" s="35">
        <f t="shared" si="251"/>
        <v>11155.8</v>
      </c>
      <c r="M1081" s="7">
        <f t="shared" si="250"/>
        <v>-365.3</v>
      </c>
      <c r="N1081" s="35">
        <f t="shared" si="252"/>
        <v>10790.5</v>
      </c>
      <c r="O1081" s="7">
        <f t="shared" si="250"/>
        <v>0</v>
      </c>
      <c r="P1081" s="35">
        <f t="shared" si="248"/>
        <v>10790.5</v>
      </c>
      <c r="Q1081" s="7">
        <f t="shared" si="250"/>
        <v>-1292.4000000000001</v>
      </c>
      <c r="R1081" s="35">
        <f t="shared" si="245"/>
        <v>9498.1</v>
      </c>
      <c r="S1081" s="7">
        <f t="shared" si="250"/>
        <v>0</v>
      </c>
      <c r="T1081" s="35">
        <f t="shared" si="239"/>
        <v>9498.1</v>
      </c>
    </row>
    <row r="1082" spans="1:20" ht="33">
      <c r="A1082" s="61" t="str">
        <f ca="1">IF(ISERROR(MATCH(E1082,Код_КВР,0)),"",INDIRECT(ADDRESS(MATCH(E1082,Код_КВР,0)+1,2,,,"КВР")))</f>
        <v>Иные закупки товаров, работ и услуг для обеспечения муниципальных нужд</v>
      </c>
      <c r="B1082" s="45" t="s">
        <v>63</v>
      </c>
      <c r="C1082" s="8" t="s">
        <v>213</v>
      </c>
      <c r="D1082" s="1" t="s">
        <v>190</v>
      </c>
      <c r="E1082" s="104">
        <v>240</v>
      </c>
      <c r="F1082" s="7">
        <f t="shared" si="250"/>
        <v>10109.5</v>
      </c>
      <c r="G1082" s="7">
        <f t="shared" si="250"/>
        <v>0</v>
      </c>
      <c r="H1082" s="35">
        <f t="shared" si="241"/>
        <v>10109.5</v>
      </c>
      <c r="I1082" s="7">
        <f t="shared" si="250"/>
        <v>-83.699999999999818</v>
      </c>
      <c r="J1082" s="35">
        <f t="shared" si="238"/>
        <v>10025.799999999999</v>
      </c>
      <c r="K1082" s="7">
        <f t="shared" si="250"/>
        <v>1130</v>
      </c>
      <c r="L1082" s="35">
        <f t="shared" si="251"/>
        <v>11155.8</v>
      </c>
      <c r="M1082" s="7">
        <f t="shared" si="250"/>
        <v>-365.3</v>
      </c>
      <c r="N1082" s="35">
        <f t="shared" si="252"/>
        <v>10790.5</v>
      </c>
      <c r="O1082" s="7">
        <f t="shared" si="250"/>
        <v>0</v>
      </c>
      <c r="P1082" s="35">
        <f t="shared" si="248"/>
        <v>10790.5</v>
      </c>
      <c r="Q1082" s="7">
        <f t="shared" si="250"/>
        <v>-1292.4000000000001</v>
      </c>
      <c r="R1082" s="35">
        <f t="shared" si="245"/>
        <v>9498.1</v>
      </c>
      <c r="S1082" s="7">
        <f t="shared" si="250"/>
        <v>0</v>
      </c>
      <c r="T1082" s="35">
        <f t="shared" si="239"/>
        <v>9498.1</v>
      </c>
    </row>
    <row r="1083" spans="1:20" ht="33">
      <c r="A1083" s="61" t="str">
        <f ca="1">IF(ISERROR(MATCH(E1083,Код_КВР,0)),"",INDIRECT(ADDRESS(MATCH(E1083,Код_КВР,0)+1,2,,,"КВР")))</f>
        <v xml:space="preserve">Прочая закупка товаров, работ и услуг для обеспечения муниципальных нужд         </v>
      </c>
      <c r="B1083" s="45" t="s">
        <v>63</v>
      </c>
      <c r="C1083" s="8" t="s">
        <v>213</v>
      </c>
      <c r="D1083" s="1" t="s">
        <v>190</v>
      </c>
      <c r="E1083" s="104">
        <v>244</v>
      </c>
      <c r="F1083" s="7">
        <f>прил.6!G1490</f>
        <v>10109.5</v>
      </c>
      <c r="G1083" s="7">
        <f>прил.6!H1490</f>
        <v>0</v>
      </c>
      <c r="H1083" s="35">
        <f t="shared" si="241"/>
        <v>10109.5</v>
      </c>
      <c r="I1083" s="7">
        <f>прил.6!J1490+прил.6!J113</f>
        <v>-83.699999999999818</v>
      </c>
      <c r="J1083" s="35">
        <f t="shared" si="238"/>
        <v>10025.799999999999</v>
      </c>
      <c r="K1083" s="7">
        <f>прил.6!L1490+прил.6!L113</f>
        <v>1130</v>
      </c>
      <c r="L1083" s="35">
        <f t="shared" si="251"/>
        <v>11155.8</v>
      </c>
      <c r="M1083" s="7">
        <f>прил.6!N1490+прил.6!N113</f>
        <v>-365.3</v>
      </c>
      <c r="N1083" s="35">
        <f t="shared" si="252"/>
        <v>10790.5</v>
      </c>
      <c r="O1083" s="7">
        <f>прил.6!P1490+прил.6!P113</f>
        <v>0</v>
      </c>
      <c r="P1083" s="35">
        <f t="shared" si="248"/>
        <v>10790.5</v>
      </c>
      <c r="Q1083" s="7">
        <f>прил.6!R1490+прил.6!R113</f>
        <v>-1292.4000000000001</v>
      </c>
      <c r="R1083" s="35">
        <f t="shared" si="245"/>
        <v>9498.1</v>
      </c>
      <c r="S1083" s="7">
        <f>прил.6!T1490+прил.6!T113</f>
        <v>0</v>
      </c>
      <c r="T1083" s="35">
        <f t="shared" si="239"/>
        <v>9498.1</v>
      </c>
    </row>
    <row r="1084" spans="1:20">
      <c r="A1084" s="61" t="str">
        <f ca="1">IF(ISERROR(MATCH(C1084,Код_Раздел,0)),"",INDIRECT(ADDRESS(MATCH(C1084,Код_Раздел,0)+1,2,,,"Раздел")))</f>
        <v>Национальная экономика</v>
      </c>
      <c r="B1084" s="45" t="s">
        <v>63</v>
      </c>
      <c r="C1084" s="8" t="s">
        <v>216</v>
      </c>
      <c r="D1084" s="1"/>
      <c r="E1084" s="104"/>
      <c r="F1084" s="7">
        <f t="shared" ref="F1084:S1087" si="253">F1085</f>
        <v>64229</v>
      </c>
      <c r="G1084" s="7">
        <f t="shared" si="253"/>
        <v>0</v>
      </c>
      <c r="H1084" s="35">
        <f t="shared" si="241"/>
        <v>64229</v>
      </c>
      <c r="I1084" s="7">
        <f t="shared" si="253"/>
        <v>0</v>
      </c>
      <c r="J1084" s="35">
        <f t="shared" si="238"/>
        <v>64229</v>
      </c>
      <c r="K1084" s="7">
        <f t="shared" si="253"/>
        <v>0</v>
      </c>
      <c r="L1084" s="35">
        <f t="shared" si="251"/>
        <v>64229</v>
      </c>
      <c r="M1084" s="7">
        <f t="shared" si="253"/>
        <v>-2565.6999999999998</v>
      </c>
      <c r="N1084" s="35">
        <f t="shared" si="252"/>
        <v>61663.3</v>
      </c>
      <c r="O1084" s="7">
        <f t="shared" si="253"/>
        <v>0</v>
      </c>
      <c r="P1084" s="35">
        <f t="shared" si="248"/>
        <v>61663.3</v>
      </c>
      <c r="Q1084" s="7">
        <f t="shared" si="253"/>
        <v>-49.9</v>
      </c>
      <c r="R1084" s="35">
        <f t="shared" si="245"/>
        <v>61613.4</v>
      </c>
      <c r="S1084" s="7">
        <f t="shared" si="253"/>
        <v>0</v>
      </c>
      <c r="T1084" s="35">
        <f t="shared" si="239"/>
        <v>61613.4</v>
      </c>
    </row>
    <row r="1085" spans="1:20">
      <c r="A1085" s="77" t="s">
        <v>361</v>
      </c>
      <c r="B1085" s="45" t="s">
        <v>63</v>
      </c>
      <c r="C1085" s="8" t="s">
        <v>216</v>
      </c>
      <c r="D1085" s="8" t="s">
        <v>222</v>
      </c>
      <c r="E1085" s="104"/>
      <c r="F1085" s="7">
        <f t="shared" si="253"/>
        <v>64229</v>
      </c>
      <c r="G1085" s="7">
        <f t="shared" si="253"/>
        <v>0</v>
      </c>
      <c r="H1085" s="35">
        <f t="shared" si="241"/>
        <v>64229</v>
      </c>
      <c r="I1085" s="7">
        <f t="shared" si="253"/>
        <v>0</v>
      </c>
      <c r="J1085" s="35">
        <f t="shared" si="238"/>
        <v>64229</v>
      </c>
      <c r="K1085" s="7">
        <f t="shared" si="253"/>
        <v>0</v>
      </c>
      <c r="L1085" s="35">
        <f t="shared" si="251"/>
        <v>64229</v>
      </c>
      <c r="M1085" s="7">
        <f t="shared" si="253"/>
        <v>-2565.6999999999998</v>
      </c>
      <c r="N1085" s="35">
        <f t="shared" si="252"/>
        <v>61663.3</v>
      </c>
      <c r="O1085" s="7">
        <f t="shared" si="253"/>
        <v>0</v>
      </c>
      <c r="P1085" s="35">
        <f t="shared" si="248"/>
        <v>61663.3</v>
      </c>
      <c r="Q1085" s="7">
        <f t="shared" si="253"/>
        <v>-49.9</v>
      </c>
      <c r="R1085" s="35">
        <f t="shared" si="245"/>
        <v>61613.4</v>
      </c>
      <c r="S1085" s="7">
        <f t="shared" si="253"/>
        <v>0</v>
      </c>
      <c r="T1085" s="35">
        <f t="shared" si="239"/>
        <v>61613.4</v>
      </c>
    </row>
    <row r="1086" spans="1:20">
      <c r="A1086" s="61" t="str">
        <f ca="1">IF(ISERROR(MATCH(E1086,Код_КВР,0)),"",INDIRECT(ADDRESS(MATCH(E1086,Код_КВР,0)+1,2,,,"КВР")))</f>
        <v>Закупка товаров, работ и услуг для муниципальных нужд</v>
      </c>
      <c r="B1086" s="45" t="s">
        <v>63</v>
      </c>
      <c r="C1086" s="8" t="s">
        <v>216</v>
      </c>
      <c r="D1086" s="8" t="s">
        <v>222</v>
      </c>
      <c r="E1086" s="104">
        <v>200</v>
      </c>
      <c r="F1086" s="7">
        <f t="shared" si="253"/>
        <v>64229</v>
      </c>
      <c r="G1086" s="7">
        <f t="shared" si="253"/>
        <v>0</v>
      </c>
      <c r="H1086" s="35">
        <f t="shared" si="241"/>
        <v>64229</v>
      </c>
      <c r="I1086" s="7">
        <f t="shared" si="253"/>
        <v>0</v>
      </c>
      <c r="J1086" s="35">
        <f t="shared" si="238"/>
        <v>64229</v>
      </c>
      <c r="K1086" s="7">
        <f t="shared" si="253"/>
        <v>0</v>
      </c>
      <c r="L1086" s="35">
        <f t="shared" si="251"/>
        <v>64229</v>
      </c>
      <c r="M1086" s="7">
        <f t="shared" si="253"/>
        <v>-2565.6999999999998</v>
      </c>
      <c r="N1086" s="35">
        <f t="shared" si="252"/>
        <v>61663.3</v>
      </c>
      <c r="O1086" s="7">
        <f t="shared" si="253"/>
        <v>0</v>
      </c>
      <c r="P1086" s="35">
        <f t="shared" si="248"/>
        <v>61663.3</v>
      </c>
      <c r="Q1086" s="7">
        <f t="shared" si="253"/>
        <v>-49.9</v>
      </c>
      <c r="R1086" s="35">
        <f t="shared" si="245"/>
        <v>61613.4</v>
      </c>
      <c r="S1086" s="7">
        <f t="shared" si="253"/>
        <v>0</v>
      </c>
      <c r="T1086" s="35">
        <f t="shared" si="239"/>
        <v>61613.4</v>
      </c>
    </row>
    <row r="1087" spans="1:20" ht="33">
      <c r="A1087" s="61" t="str">
        <f ca="1">IF(ISERROR(MATCH(E1087,Код_КВР,0)),"",INDIRECT(ADDRESS(MATCH(E1087,Код_КВР,0)+1,2,,,"КВР")))</f>
        <v>Иные закупки товаров, работ и услуг для обеспечения муниципальных нужд</v>
      </c>
      <c r="B1087" s="45" t="s">
        <v>63</v>
      </c>
      <c r="C1087" s="8" t="s">
        <v>216</v>
      </c>
      <c r="D1087" s="8" t="s">
        <v>222</v>
      </c>
      <c r="E1087" s="104">
        <v>240</v>
      </c>
      <c r="F1087" s="7">
        <f t="shared" si="253"/>
        <v>64229</v>
      </c>
      <c r="G1087" s="7">
        <f t="shared" si="253"/>
        <v>0</v>
      </c>
      <c r="H1087" s="35">
        <f t="shared" si="241"/>
        <v>64229</v>
      </c>
      <c r="I1087" s="7">
        <f t="shared" si="253"/>
        <v>0</v>
      </c>
      <c r="J1087" s="35">
        <f t="shared" si="238"/>
        <v>64229</v>
      </c>
      <c r="K1087" s="7">
        <f t="shared" si="253"/>
        <v>0</v>
      </c>
      <c r="L1087" s="35">
        <f t="shared" si="251"/>
        <v>64229</v>
      </c>
      <c r="M1087" s="7">
        <f t="shared" si="253"/>
        <v>-2565.6999999999998</v>
      </c>
      <c r="N1087" s="35">
        <f t="shared" si="252"/>
        <v>61663.3</v>
      </c>
      <c r="O1087" s="7">
        <f t="shared" si="253"/>
        <v>0</v>
      </c>
      <c r="P1087" s="35">
        <f t="shared" si="248"/>
        <v>61663.3</v>
      </c>
      <c r="Q1087" s="7">
        <f t="shared" si="253"/>
        <v>-49.9</v>
      </c>
      <c r="R1087" s="35">
        <f t="shared" si="245"/>
        <v>61613.4</v>
      </c>
      <c r="S1087" s="7">
        <f t="shared" si="253"/>
        <v>0</v>
      </c>
      <c r="T1087" s="35">
        <f t="shared" si="239"/>
        <v>61613.4</v>
      </c>
    </row>
    <row r="1088" spans="1:20" ht="33">
      <c r="A1088" s="61" t="str">
        <f ca="1">IF(ISERROR(MATCH(E1088,Код_КВР,0)),"",INDIRECT(ADDRESS(MATCH(E1088,Код_КВР,0)+1,2,,,"КВР")))</f>
        <v xml:space="preserve">Прочая закупка товаров, работ и услуг для обеспечения муниципальных нужд         </v>
      </c>
      <c r="B1088" s="45" t="s">
        <v>63</v>
      </c>
      <c r="C1088" s="8" t="s">
        <v>216</v>
      </c>
      <c r="D1088" s="8" t="s">
        <v>222</v>
      </c>
      <c r="E1088" s="104">
        <v>244</v>
      </c>
      <c r="F1088" s="7">
        <f>прил.6!G1515</f>
        <v>64229</v>
      </c>
      <c r="G1088" s="7">
        <f>прил.6!H1515+прил.6!H429</f>
        <v>0</v>
      </c>
      <c r="H1088" s="35">
        <f t="shared" si="241"/>
        <v>64229</v>
      </c>
      <c r="I1088" s="7">
        <f>прил.6!J1515+прил.6!J429</f>
        <v>0</v>
      </c>
      <c r="J1088" s="35">
        <f t="shared" si="238"/>
        <v>64229</v>
      </c>
      <c r="K1088" s="7">
        <f>прил.6!L1515+прил.6!L429</f>
        <v>0</v>
      </c>
      <c r="L1088" s="35">
        <f t="shared" si="251"/>
        <v>64229</v>
      </c>
      <c r="M1088" s="7">
        <f>прил.6!N1515+прил.6!N429</f>
        <v>-2565.6999999999998</v>
      </c>
      <c r="N1088" s="35">
        <f t="shared" si="252"/>
        <v>61663.3</v>
      </c>
      <c r="O1088" s="7">
        <f>прил.6!P1515+прил.6!P429</f>
        <v>0</v>
      </c>
      <c r="P1088" s="35">
        <f t="shared" si="248"/>
        <v>61663.3</v>
      </c>
      <c r="Q1088" s="7">
        <f>прил.6!R1515+прил.6!R429</f>
        <v>-49.9</v>
      </c>
      <c r="R1088" s="35">
        <f t="shared" si="245"/>
        <v>61613.4</v>
      </c>
      <c r="S1088" s="7">
        <f>прил.6!T1515+прил.6!T429</f>
        <v>0</v>
      </c>
      <c r="T1088" s="35">
        <f t="shared" si="239"/>
        <v>61613.4</v>
      </c>
    </row>
    <row r="1089" spans="1:20" ht="33">
      <c r="A1089" s="61" t="str">
        <f ca="1">IF(ISERROR(MATCH(B1089,Код_КЦСР,0)),"",INDIRECT(ADDRESS(MATCH(B1089,Код_КЦСР,0)+1,2,,,"КЦСР")))</f>
        <v>Обеспечение поступлений в доход бюджета от использования и распоряжения земельно-имущественным комплексом</v>
      </c>
      <c r="B1089" s="45" t="s">
        <v>65</v>
      </c>
      <c r="C1089" s="8"/>
      <c r="D1089" s="1"/>
      <c r="E1089" s="104"/>
      <c r="F1089" s="7">
        <f t="shared" ref="F1089:S1093" si="254">F1090</f>
        <v>4795.1000000000004</v>
      </c>
      <c r="G1089" s="7">
        <f t="shared" si="254"/>
        <v>0</v>
      </c>
      <c r="H1089" s="35">
        <f t="shared" si="241"/>
        <v>4795.1000000000004</v>
      </c>
      <c r="I1089" s="7">
        <f t="shared" si="254"/>
        <v>0</v>
      </c>
      <c r="J1089" s="35">
        <f t="shared" si="238"/>
        <v>4795.1000000000004</v>
      </c>
      <c r="K1089" s="7">
        <f t="shared" si="254"/>
        <v>-778.2</v>
      </c>
      <c r="L1089" s="35">
        <f t="shared" si="251"/>
        <v>4016.9000000000005</v>
      </c>
      <c r="M1089" s="7">
        <f t="shared" si="254"/>
        <v>0</v>
      </c>
      <c r="N1089" s="35">
        <f t="shared" si="252"/>
        <v>4016.9000000000005</v>
      </c>
      <c r="O1089" s="7">
        <f t="shared" si="254"/>
        <v>0</v>
      </c>
      <c r="P1089" s="35">
        <f t="shared" si="248"/>
        <v>4016.9000000000005</v>
      </c>
      <c r="Q1089" s="7">
        <f t="shared" si="254"/>
        <v>49.900000000000063</v>
      </c>
      <c r="R1089" s="35">
        <f t="shared" si="245"/>
        <v>4066.8000000000006</v>
      </c>
      <c r="S1089" s="7">
        <f t="shared" si="254"/>
        <v>0</v>
      </c>
      <c r="T1089" s="35">
        <f t="shared" ref="T1089:T1152" si="255">R1089+S1089</f>
        <v>4066.8000000000006</v>
      </c>
    </row>
    <row r="1090" spans="1:20">
      <c r="A1090" s="61" t="str">
        <f ca="1">IF(ISERROR(MATCH(C1090,Код_Раздел,0)),"",INDIRECT(ADDRESS(MATCH(C1090,Код_Раздел,0)+1,2,,,"Раздел")))</f>
        <v>Общегосударственные  вопросы</v>
      </c>
      <c r="B1090" s="45" t="s">
        <v>65</v>
      </c>
      <c r="C1090" s="8" t="s">
        <v>213</v>
      </c>
      <c r="D1090" s="1"/>
      <c r="E1090" s="104"/>
      <c r="F1090" s="7">
        <f t="shared" si="254"/>
        <v>4795.1000000000004</v>
      </c>
      <c r="G1090" s="7">
        <f t="shared" si="254"/>
        <v>0</v>
      </c>
      <c r="H1090" s="35">
        <f t="shared" si="241"/>
        <v>4795.1000000000004</v>
      </c>
      <c r="I1090" s="7">
        <f t="shared" si="254"/>
        <v>0</v>
      </c>
      <c r="J1090" s="35">
        <f t="shared" si="238"/>
        <v>4795.1000000000004</v>
      </c>
      <c r="K1090" s="7">
        <f t="shared" si="254"/>
        <v>-778.2</v>
      </c>
      <c r="L1090" s="35">
        <f t="shared" si="251"/>
        <v>4016.9000000000005</v>
      </c>
      <c r="M1090" s="7">
        <f t="shared" si="254"/>
        <v>0</v>
      </c>
      <c r="N1090" s="35">
        <f t="shared" si="252"/>
        <v>4016.9000000000005</v>
      </c>
      <c r="O1090" s="7">
        <f t="shared" si="254"/>
        <v>0</v>
      </c>
      <c r="P1090" s="35">
        <f t="shared" si="248"/>
        <v>4016.9000000000005</v>
      </c>
      <c r="Q1090" s="7">
        <f t="shared" si="254"/>
        <v>49.900000000000063</v>
      </c>
      <c r="R1090" s="35">
        <f t="shared" si="245"/>
        <v>4066.8000000000006</v>
      </c>
      <c r="S1090" s="7">
        <f t="shared" si="254"/>
        <v>0</v>
      </c>
      <c r="T1090" s="35">
        <f t="shared" si="255"/>
        <v>4066.8000000000006</v>
      </c>
    </row>
    <row r="1091" spans="1:20">
      <c r="A1091" s="12" t="s">
        <v>237</v>
      </c>
      <c r="B1091" s="45" t="s">
        <v>65</v>
      </c>
      <c r="C1091" s="8" t="s">
        <v>213</v>
      </c>
      <c r="D1091" s="1" t="s">
        <v>190</v>
      </c>
      <c r="E1091" s="104"/>
      <c r="F1091" s="7">
        <f t="shared" si="254"/>
        <v>4795.1000000000004</v>
      </c>
      <c r="G1091" s="7">
        <f t="shared" si="254"/>
        <v>0</v>
      </c>
      <c r="H1091" s="35">
        <f t="shared" si="241"/>
        <v>4795.1000000000004</v>
      </c>
      <c r="I1091" s="7">
        <f t="shared" si="254"/>
        <v>0</v>
      </c>
      <c r="J1091" s="35">
        <f t="shared" si="238"/>
        <v>4795.1000000000004</v>
      </c>
      <c r="K1091" s="7">
        <f t="shared" si="254"/>
        <v>-778.2</v>
      </c>
      <c r="L1091" s="35">
        <f t="shared" si="251"/>
        <v>4016.9000000000005</v>
      </c>
      <c r="M1091" s="7">
        <f t="shared" si="254"/>
        <v>0</v>
      </c>
      <c r="N1091" s="35">
        <f t="shared" si="252"/>
        <v>4016.9000000000005</v>
      </c>
      <c r="O1091" s="7">
        <f t="shared" si="254"/>
        <v>0</v>
      </c>
      <c r="P1091" s="35">
        <f t="shared" si="248"/>
        <v>4016.9000000000005</v>
      </c>
      <c r="Q1091" s="7">
        <f t="shared" si="254"/>
        <v>49.900000000000063</v>
      </c>
      <c r="R1091" s="35">
        <f t="shared" si="245"/>
        <v>4066.8000000000006</v>
      </c>
      <c r="S1091" s="7">
        <f t="shared" si="254"/>
        <v>0</v>
      </c>
      <c r="T1091" s="35">
        <f t="shared" si="255"/>
        <v>4066.8000000000006</v>
      </c>
    </row>
    <row r="1092" spans="1:20">
      <c r="A1092" s="61" t="str">
        <f ca="1">IF(ISERROR(MATCH(E1092,Код_КВР,0)),"",INDIRECT(ADDRESS(MATCH(E1092,Код_КВР,0)+1,2,,,"КВР")))</f>
        <v>Закупка товаров, работ и услуг для муниципальных нужд</v>
      </c>
      <c r="B1092" s="45" t="s">
        <v>65</v>
      </c>
      <c r="C1092" s="8" t="s">
        <v>213</v>
      </c>
      <c r="D1092" s="1" t="s">
        <v>190</v>
      </c>
      <c r="E1092" s="104">
        <v>200</v>
      </c>
      <c r="F1092" s="7">
        <f t="shared" si="254"/>
        <v>4795.1000000000004</v>
      </c>
      <c r="G1092" s="7">
        <f t="shared" si="254"/>
        <v>0</v>
      </c>
      <c r="H1092" s="35">
        <f t="shared" si="241"/>
        <v>4795.1000000000004</v>
      </c>
      <c r="I1092" s="7">
        <f t="shared" si="254"/>
        <v>0</v>
      </c>
      <c r="J1092" s="35">
        <f t="shared" si="238"/>
        <v>4795.1000000000004</v>
      </c>
      <c r="K1092" s="7">
        <f t="shared" si="254"/>
        <v>-778.2</v>
      </c>
      <c r="L1092" s="35">
        <f t="shared" si="251"/>
        <v>4016.9000000000005</v>
      </c>
      <c r="M1092" s="7">
        <f t="shared" si="254"/>
        <v>0</v>
      </c>
      <c r="N1092" s="35">
        <f t="shared" si="252"/>
        <v>4016.9000000000005</v>
      </c>
      <c r="O1092" s="7">
        <f t="shared" si="254"/>
        <v>0</v>
      </c>
      <c r="P1092" s="35">
        <f t="shared" si="248"/>
        <v>4016.9000000000005</v>
      </c>
      <c r="Q1092" s="7">
        <f t="shared" si="254"/>
        <v>49.900000000000063</v>
      </c>
      <c r="R1092" s="35">
        <f t="shared" si="245"/>
        <v>4066.8000000000006</v>
      </c>
      <c r="S1092" s="7">
        <f t="shared" si="254"/>
        <v>0</v>
      </c>
      <c r="T1092" s="35">
        <f t="shared" si="255"/>
        <v>4066.8000000000006</v>
      </c>
    </row>
    <row r="1093" spans="1:20" ht="33">
      <c r="A1093" s="61" t="str">
        <f ca="1">IF(ISERROR(MATCH(E1093,Код_КВР,0)),"",INDIRECT(ADDRESS(MATCH(E1093,Код_КВР,0)+1,2,,,"КВР")))</f>
        <v>Иные закупки товаров, работ и услуг для обеспечения муниципальных нужд</v>
      </c>
      <c r="B1093" s="45" t="s">
        <v>65</v>
      </c>
      <c r="C1093" s="8" t="s">
        <v>213</v>
      </c>
      <c r="D1093" s="1" t="s">
        <v>190</v>
      </c>
      <c r="E1093" s="104">
        <v>240</v>
      </c>
      <c r="F1093" s="7">
        <f t="shared" si="254"/>
        <v>4795.1000000000004</v>
      </c>
      <c r="G1093" s="7">
        <f t="shared" si="254"/>
        <v>0</v>
      </c>
      <c r="H1093" s="35">
        <f t="shared" si="241"/>
        <v>4795.1000000000004</v>
      </c>
      <c r="I1093" s="7">
        <f t="shared" si="254"/>
        <v>0</v>
      </c>
      <c r="J1093" s="35">
        <f t="shared" ref="J1093:J1221" si="256">H1093+I1093</f>
        <v>4795.1000000000004</v>
      </c>
      <c r="K1093" s="7">
        <f t="shared" si="254"/>
        <v>-778.2</v>
      </c>
      <c r="L1093" s="35">
        <f t="shared" si="251"/>
        <v>4016.9000000000005</v>
      </c>
      <c r="M1093" s="7">
        <f t="shared" si="254"/>
        <v>0</v>
      </c>
      <c r="N1093" s="35">
        <f t="shared" si="252"/>
        <v>4016.9000000000005</v>
      </c>
      <c r="O1093" s="7">
        <f t="shared" si="254"/>
        <v>0</v>
      </c>
      <c r="P1093" s="35">
        <f t="shared" si="248"/>
        <v>4016.9000000000005</v>
      </c>
      <c r="Q1093" s="7">
        <f t="shared" si="254"/>
        <v>49.900000000000063</v>
      </c>
      <c r="R1093" s="35">
        <f t="shared" si="245"/>
        <v>4066.8000000000006</v>
      </c>
      <c r="S1093" s="7">
        <f t="shared" si="254"/>
        <v>0</v>
      </c>
      <c r="T1093" s="35">
        <f t="shared" si="255"/>
        <v>4066.8000000000006</v>
      </c>
    </row>
    <row r="1094" spans="1:20" ht="33">
      <c r="A1094" s="61" t="str">
        <f ca="1">IF(ISERROR(MATCH(E1094,Код_КВР,0)),"",INDIRECT(ADDRESS(MATCH(E1094,Код_КВР,0)+1,2,,,"КВР")))</f>
        <v xml:space="preserve">Прочая закупка товаров, работ и услуг для обеспечения муниципальных нужд         </v>
      </c>
      <c r="B1094" s="45" t="s">
        <v>65</v>
      </c>
      <c r="C1094" s="8" t="s">
        <v>213</v>
      </c>
      <c r="D1094" s="1" t="s">
        <v>190</v>
      </c>
      <c r="E1094" s="104">
        <v>244</v>
      </c>
      <c r="F1094" s="7">
        <f>прил.6!G1494</f>
        <v>4795.1000000000004</v>
      </c>
      <c r="G1094" s="7">
        <f>прил.6!H1494</f>
        <v>0</v>
      </c>
      <c r="H1094" s="35">
        <f t="shared" si="241"/>
        <v>4795.1000000000004</v>
      </c>
      <c r="I1094" s="7">
        <f>прил.6!J1494</f>
        <v>0</v>
      </c>
      <c r="J1094" s="35">
        <f t="shared" si="256"/>
        <v>4795.1000000000004</v>
      </c>
      <c r="K1094" s="7">
        <f>прил.6!L1494</f>
        <v>-778.2</v>
      </c>
      <c r="L1094" s="35">
        <f t="shared" si="251"/>
        <v>4016.9000000000005</v>
      </c>
      <c r="M1094" s="7">
        <f>прил.6!N1494</f>
        <v>0</v>
      </c>
      <c r="N1094" s="35">
        <f t="shared" si="252"/>
        <v>4016.9000000000005</v>
      </c>
      <c r="O1094" s="7">
        <f>прил.6!P1494</f>
        <v>0</v>
      </c>
      <c r="P1094" s="35">
        <f t="shared" si="248"/>
        <v>4016.9000000000005</v>
      </c>
      <c r="Q1094" s="7">
        <f>прил.6!R1494</f>
        <v>49.900000000000063</v>
      </c>
      <c r="R1094" s="35">
        <f t="shared" si="245"/>
        <v>4066.8000000000006</v>
      </c>
      <c r="S1094" s="7">
        <f>прил.6!T1494</f>
        <v>0</v>
      </c>
      <c r="T1094" s="35">
        <f t="shared" si="255"/>
        <v>4066.8000000000006</v>
      </c>
    </row>
    <row r="1095" spans="1:20" ht="33">
      <c r="A1095" s="61" t="str">
        <f ca="1">IF(ISERROR(MATCH(B1095,Код_КЦСР,0)),"",INDIRECT(ADDRESS(MATCH(B1095,Код_КЦСР,0)+1,2,,,"КЦСР")))</f>
        <v>Обеспечение исполнения полномочий органа местного самоуправления в области наружной рекламы</v>
      </c>
      <c r="B1095" s="45" t="s">
        <v>67</v>
      </c>
      <c r="C1095" s="8"/>
      <c r="D1095" s="1"/>
      <c r="E1095" s="104"/>
      <c r="F1095" s="7">
        <f t="shared" ref="F1095:S1099" si="257">F1096</f>
        <v>728.2</v>
      </c>
      <c r="G1095" s="7">
        <f t="shared" si="257"/>
        <v>0</v>
      </c>
      <c r="H1095" s="35">
        <f t="shared" si="241"/>
        <v>728.2</v>
      </c>
      <c r="I1095" s="7">
        <f t="shared" si="257"/>
        <v>0</v>
      </c>
      <c r="J1095" s="35">
        <f t="shared" si="256"/>
        <v>728.2</v>
      </c>
      <c r="K1095" s="7">
        <f t="shared" si="257"/>
        <v>0</v>
      </c>
      <c r="L1095" s="35">
        <f t="shared" si="251"/>
        <v>728.2</v>
      </c>
      <c r="M1095" s="7">
        <f t="shared" si="257"/>
        <v>-70.2</v>
      </c>
      <c r="N1095" s="35">
        <f t="shared" si="252"/>
        <v>658</v>
      </c>
      <c r="O1095" s="7">
        <f t="shared" si="257"/>
        <v>0</v>
      </c>
      <c r="P1095" s="35">
        <f t="shared" si="248"/>
        <v>658</v>
      </c>
      <c r="Q1095" s="7">
        <f t="shared" si="257"/>
        <v>0</v>
      </c>
      <c r="R1095" s="35">
        <f t="shared" si="245"/>
        <v>658</v>
      </c>
      <c r="S1095" s="7">
        <f t="shared" si="257"/>
        <v>0</v>
      </c>
      <c r="T1095" s="35">
        <f t="shared" si="255"/>
        <v>658</v>
      </c>
    </row>
    <row r="1096" spans="1:20">
      <c r="A1096" s="61" t="str">
        <f ca="1">IF(ISERROR(MATCH(C1096,Код_Раздел,0)),"",INDIRECT(ADDRESS(MATCH(C1096,Код_Раздел,0)+1,2,,,"Раздел")))</f>
        <v>Национальная экономика</v>
      </c>
      <c r="B1096" s="45" t="s">
        <v>67</v>
      </c>
      <c r="C1096" s="8" t="s">
        <v>216</v>
      </c>
      <c r="D1096" s="1"/>
      <c r="E1096" s="104"/>
      <c r="F1096" s="7">
        <f t="shared" si="257"/>
        <v>728.2</v>
      </c>
      <c r="G1096" s="7">
        <f t="shared" si="257"/>
        <v>0</v>
      </c>
      <c r="H1096" s="35">
        <f t="shared" si="241"/>
        <v>728.2</v>
      </c>
      <c r="I1096" s="7">
        <f t="shared" si="257"/>
        <v>0</v>
      </c>
      <c r="J1096" s="35">
        <f t="shared" si="256"/>
        <v>728.2</v>
      </c>
      <c r="K1096" s="7">
        <f t="shared" si="257"/>
        <v>0</v>
      </c>
      <c r="L1096" s="35">
        <f t="shared" si="251"/>
        <v>728.2</v>
      </c>
      <c r="M1096" s="7">
        <f t="shared" si="257"/>
        <v>-70.2</v>
      </c>
      <c r="N1096" s="35">
        <f t="shared" si="252"/>
        <v>658</v>
      </c>
      <c r="O1096" s="7">
        <f t="shared" si="257"/>
        <v>0</v>
      </c>
      <c r="P1096" s="35">
        <f t="shared" si="248"/>
        <v>658</v>
      </c>
      <c r="Q1096" s="7">
        <f t="shared" si="257"/>
        <v>0</v>
      </c>
      <c r="R1096" s="35">
        <f t="shared" si="245"/>
        <v>658</v>
      </c>
      <c r="S1096" s="7">
        <f t="shared" si="257"/>
        <v>0</v>
      </c>
      <c r="T1096" s="35">
        <f t="shared" si="255"/>
        <v>658</v>
      </c>
    </row>
    <row r="1097" spans="1:20">
      <c r="A1097" s="12" t="s">
        <v>223</v>
      </c>
      <c r="B1097" s="45" t="s">
        <v>67</v>
      </c>
      <c r="C1097" s="8" t="s">
        <v>216</v>
      </c>
      <c r="D1097" s="8" t="s">
        <v>196</v>
      </c>
      <c r="E1097" s="104"/>
      <c r="F1097" s="7">
        <f t="shared" si="257"/>
        <v>728.2</v>
      </c>
      <c r="G1097" s="7">
        <f t="shared" si="257"/>
        <v>0</v>
      </c>
      <c r="H1097" s="35">
        <f t="shared" si="241"/>
        <v>728.2</v>
      </c>
      <c r="I1097" s="7">
        <f t="shared" si="257"/>
        <v>0</v>
      </c>
      <c r="J1097" s="35">
        <f t="shared" si="256"/>
        <v>728.2</v>
      </c>
      <c r="K1097" s="7">
        <f t="shared" si="257"/>
        <v>0</v>
      </c>
      <c r="L1097" s="35">
        <f t="shared" si="251"/>
        <v>728.2</v>
      </c>
      <c r="M1097" s="7">
        <f t="shared" si="257"/>
        <v>-70.2</v>
      </c>
      <c r="N1097" s="35">
        <f t="shared" si="252"/>
        <v>658</v>
      </c>
      <c r="O1097" s="7">
        <f t="shared" si="257"/>
        <v>0</v>
      </c>
      <c r="P1097" s="35">
        <f t="shared" si="248"/>
        <v>658</v>
      </c>
      <c r="Q1097" s="7">
        <f t="shared" si="257"/>
        <v>0</v>
      </c>
      <c r="R1097" s="35">
        <f t="shared" si="245"/>
        <v>658</v>
      </c>
      <c r="S1097" s="7">
        <f t="shared" si="257"/>
        <v>0</v>
      </c>
      <c r="T1097" s="35">
        <f t="shared" si="255"/>
        <v>658</v>
      </c>
    </row>
    <row r="1098" spans="1:20">
      <c r="A1098" s="61" t="str">
        <f ca="1">IF(ISERROR(MATCH(E1098,Код_КВР,0)),"",INDIRECT(ADDRESS(MATCH(E1098,Код_КВР,0)+1,2,,,"КВР")))</f>
        <v>Закупка товаров, работ и услуг для муниципальных нужд</v>
      </c>
      <c r="B1098" s="45" t="s">
        <v>67</v>
      </c>
      <c r="C1098" s="8" t="s">
        <v>216</v>
      </c>
      <c r="D1098" s="8" t="s">
        <v>196</v>
      </c>
      <c r="E1098" s="104">
        <v>200</v>
      </c>
      <c r="F1098" s="7">
        <f t="shared" si="257"/>
        <v>728.2</v>
      </c>
      <c r="G1098" s="7">
        <f t="shared" si="257"/>
        <v>0</v>
      </c>
      <c r="H1098" s="35">
        <f t="shared" si="241"/>
        <v>728.2</v>
      </c>
      <c r="I1098" s="7">
        <f t="shared" si="257"/>
        <v>0</v>
      </c>
      <c r="J1098" s="35">
        <f t="shared" si="256"/>
        <v>728.2</v>
      </c>
      <c r="K1098" s="7">
        <f t="shared" si="257"/>
        <v>0</v>
      </c>
      <c r="L1098" s="35">
        <f t="shared" si="251"/>
        <v>728.2</v>
      </c>
      <c r="M1098" s="7">
        <f t="shared" si="257"/>
        <v>-70.2</v>
      </c>
      <c r="N1098" s="35">
        <f t="shared" si="252"/>
        <v>658</v>
      </c>
      <c r="O1098" s="7">
        <f t="shared" si="257"/>
        <v>0</v>
      </c>
      <c r="P1098" s="35">
        <f t="shared" si="248"/>
        <v>658</v>
      </c>
      <c r="Q1098" s="7">
        <f t="shared" si="257"/>
        <v>0</v>
      </c>
      <c r="R1098" s="35">
        <f t="shared" si="245"/>
        <v>658</v>
      </c>
      <c r="S1098" s="7">
        <f t="shared" si="257"/>
        <v>0</v>
      </c>
      <c r="T1098" s="35">
        <f t="shared" si="255"/>
        <v>658</v>
      </c>
    </row>
    <row r="1099" spans="1:20" ht="33">
      <c r="A1099" s="61" t="str">
        <f ca="1">IF(ISERROR(MATCH(E1099,Код_КВР,0)),"",INDIRECT(ADDRESS(MATCH(E1099,Код_КВР,0)+1,2,,,"КВР")))</f>
        <v>Иные закупки товаров, работ и услуг для обеспечения муниципальных нужд</v>
      </c>
      <c r="B1099" s="45" t="s">
        <v>67</v>
      </c>
      <c r="C1099" s="8" t="s">
        <v>216</v>
      </c>
      <c r="D1099" s="8" t="s">
        <v>196</v>
      </c>
      <c r="E1099" s="104">
        <v>240</v>
      </c>
      <c r="F1099" s="7">
        <f t="shared" si="257"/>
        <v>728.2</v>
      </c>
      <c r="G1099" s="7">
        <f t="shared" si="257"/>
        <v>0</v>
      </c>
      <c r="H1099" s="35">
        <f t="shared" si="241"/>
        <v>728.2</v>
      </c>
      <c r="I1099" s="7">
        <f t="shared" si="257"/>
        <v>0</v>
      </c>
      <c r="J1099" s="35">
        <f t="shared" si="256"/>
        <v>728.2</v>
      </c>
      <c r="K1099" s="7">
        <f t="shared" si="257"/>
        <v>0</v>
      </c>
      <c r="L1099" s="35">
        <f t="shared" si="251"/>
        <v>728.2</v>
      </c>
      <c r="M1099" s="7">
        <f t="shared" si="257"/>
        <v>-70.2</v>
      </c>
      <c r="N1099" s="35">
        <f t="shared" si="252"/>
        <v>658</v>
      </c>
      <c r="O1099" s="7">
        <f t="shared" si="257"/>
        <v>0</v>
      </c>
      <c r="P1099" s="35">
        <f t="shared" si="248"/>
        <v>658</v>
      </c>
      <c r="Q1099" s="7">
        <f t="shared" si="257"/>
        <v>0</v>
      </c>
      <c r="R1099" s="35">
        <f t="shared" si="245"/>
        <v>658</v>
      </c>
      <c r="S1099" s="7">
        <f t="shared" si="257"/>
        <v>0</v>
      </c>
      <c r="T1099" s="35">
        <f t="shared" si="255"/>
        <v>658</v>
      </c>
    </row>
    <row r="1100" spans="1:20" ht="33">
      <c r="A1100" s="61" t="str">
        <f ca="1">IF(ISERROR(MATCH(E1100,Код_КВР,0)),"",INDIRECT(ADDRESS(MATCH(E1100,Код_КВР,0)+1,2,,,"КВР")))</f>
        <v xml:space="preserve">Прочая закупка товаров, работ и услуг для обеспечения муниципальных нужд         </v>
      </c>
      <c r="B1100" s="45" t="s">
        <v>67</v>
      </c>
      <c r="C1100" s="8" t="s">
        <v>216</v>
      </c>
      <c r="D1100" s="8" t="s">
        <v>196</v>
      </c>
      <c r="E1100" s="104">
        <v>244</v>
      </c>
      <c r="F1100" s="7">
        <f>прил.6!G1556</f>
        <v>728.2</v>
      </c>
      <c r="G1100" s="7">
        <f>прил.6!H1556</f>
        <v>0</v>
      </c>
      <c r="H1100" s="35">
        <f t="shared" si="241"/>
        <v>728.2</v>
      </c>
      <c r="I1100" s="7">
        <f>прил.6!J1556</f>
        <v>0</v>
      </c>
      <c r="J1100" s="35">
        <f t="shared" si="256"/>
        <v>728.2</v>
      </c>
      <c r="K1100" s="7">
        <f>прил.6!L1556</f>
        <v>0</v>
      </c>
      <c r="L1100" s="35">
        <f t="shared" si="251"/>
        <v>728.2</v>
      </c>
      <c r="M1100" s="7">
        <f>прил.6!N1556</f>
        <v>-70.2</v>
      </c>
      <c r="N1100" s="35">
        <f t="shared" si="252"/>
        <v>658</v>
      </c>
      <c r="O1100" s="7">
        <f>прил.6!P1556</f>
        <v>0</v>
      </c>
      <c r="P1100" s="35">
        <f t="shared" si="248"/>
        <v>658</v>
      </c>
      <c r="Q1100" s="7">
        <f>прил.6!R1556</f>
        <v>0</v>
      </c>
      <c r="R1100" s="35">
        <f t="shared" si="245"/>
        <v>658</v>
      </c>
      <c r="S1100" s="7">
        <f>прил.6!T1556</f>
        <v>0</v>
      </c>
      <c r="T1100" s="35">
        <f t="shared" si="255"/>
        <v>658</v>
      </c>
    </row>
    <row r="1101" spans="1:20" ht="51.75" customHeight="1">
      <c r="A1101" s="61" t="str">
        <f ca="1">IF(ISERROR(MATCH(B1101,Код_КЦСР,0)),"",INDIRECT(ADDRESS(MATCH(B1101,Код_КЦСР,0)+1,2,,,"КЦСР")))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101" s="62" t="s">
        <v>69</v>
      </c>
      <c r="C1101" s="8"/>
      <c r="D1101" s="1"/>
      <c r="E1101" s="104"/>
      <c r="F1101" s="7">
        <f>F1102+F1197+F1227</f>
        <v>197705.1</v>
      </c>
      <c r="G1101" s="7">
        <f>G1102+G1197+G1227</f>
        <v>0</v>
      </c>
      <c r="H1101" s="35">
        <f t="shared" ref="H1101:H1234" si="258">F1101+G1101</f>
        <v>197705.1</v>
      </c>
      <c r="I1101" s="7">
        <f>I1102+I1197+I1227</f>
        <v>10964.4</v>
      </c>
      <c r="J1101" s="35">
        <f t="shared" si="256"/>
        <v>208669.5</v>
      </c>
      <c r="K1101" s="7">
        <f>K1102+K1197+K1227</f>
        <v>291.00000000000028</v>
      </c>
      <c r="L1101" s="35">
        <f t="shared" si="251"/>
        <v>208960.5</v>
      </c>
      <c r="M1101" s="7">
        <f>M1102+M1197+M1227</f>
        <v>3842.2</v>
      </c>
      <c r="N1101" s="35">
        <f t="shared" si="252"/>
        <v>212802.7</v>
      </c>
      <c r="O1101" s="7">
        <f>O1102+O1197+O1227</f>
        <v>3959.5</v>
      </c>
      <c r="P1101" s="35">
        <f t="shared" si="248"/>
        <v>216762.2</v>
      </c>
      <c r="Q1101" s="7">
        <f>Q1102+Q1197+Q1227+Q1239</f>
        <v>284959.90000000002</v>
      </c>
      <c r="R1101" s="35">
        <f>P1101+Q1101</f>
        <v>501722.10000000003</v>
      </c>
      <c r="S1101" s="7">
        <f>S1102+S1197+S1227+S1239+S1245+S1251</f>
        <v>8740.9</v>
      </c>
      <c r="T1101" s="35">
        <f t="shared" si="255"/>
        <v>510463.00000000006</v>
      </c>
    </row>
    <row r="1102" spans="1:20" ht="33">
      <c r="A1102" s="61" t="str">
        <f ca="1">IF(ISERROR(MATCH(B1102,Код_КЦСР,0)),"",INDIRECT(ADDRESS(MATCH(B1102,Код_КЦСР,0)+1,2,,,"КЦСР")))</f>
        <v>Капитальное строительство и реконструкция объектов муниципальной собственности</v>
      </c>
      <c r="B1102" s="62" t="s">
        <v>71</v>
      </c>
      <c r="C1102" s="8"/>
      <c r="D1102" s="1"/>
      <c r="E1102" s="104"/>
      <c r="F1102" s="7">
        <f>F1103+F1137+F1143+F1149</f>
        <v>100305.7</v>
      </c>
      <c r="G1102" s="7">
        <f>G1103+G1137+G1143+G1149</f>
        <v>0</v>
      </c>
      <c r="H1102" s="35">
        <f t="shared" si="258"/>
        <v>100305.7</v>
      </c>
      <c r="I1102" s="7">
        <f>I1103+I1137+I1143+I1149+I1155</f>
        <v>10369.799999999999</v>
      </c>
      <c r="J1102" s="35">
        <f>H1102+I1102</f>
        <v>110675.5</v>
      </c>
      <c r="K1102" s="7">
        <f>K1103+K1137+K1143+K1149+K1155+K1161</f>
        <v>-1435.1999999999998</v>
      </c>
      <c r="L1102" s="35">
        <f t="shared" si="251"/>
        <v>109240.3</v>
      </c>
      <c r="M1102" s="7">
        <f>M1103+M1137+M1143+M1149+M1155+M1161</f>
        <v>3842.2</v>
      </c>
      <c r="N1102" s="35">
        <f t="shared" si="252"/>
        <v>113082.5</v>
      </c>
      <c r="O1102" s="7">
        <f>O1103+O1137+O1143+O1149+O1155+O1161</f>
        <v>3959.5</v>
      </c>
      <c r="P1102" s="35">
        <f t="shared" si="248"/>
        <v>117042</v>
      </c>
      <c r="Q1102" s="7">
        <f>Q1103+Q1137+Q1143+Q1149+Q1155+Q1161+Q1173+Q1179+Q1185+Q1191+Q1167</f>
        <v>77363.299999999988</v>
      </c>
      <c r="R1102" s="35">
        <f t="shared" si="245"/>
        <v>194405.3</v>
      </c>
      <c r="S1102" s="7">
        <f>S1103+S1137+S1143+S1149+S1155+S1161+S1173+S1179+S1185+S1191+S1167</f>
        <v>-5978.7999999999993</v>
      </c>
      <c r="T1102" s="35">
        <f t="shared" si="255"/>
        <v>188426.5</v>
      </c>
    </row>
    <row r="1103" spans="1:20">
      <c r="A1103" s="61" t="str">
        <f ca="1">IF(ISERROR(MATCH(B1103,Код_КЦСР,0)),"",INDIRECT(ADDRESS(MATCH(B1103,Код_КЦСР,0)+1,2,,,"КЦСР")))</f>
        <v>Строительство объектов сметной стоимостью до 100 млн. рублей</v>
      </c>
      <c r="B1103" s="62" t="s">
        <v>72</v>
      </c>
      <c r="C1103" s="8"/>
      <c r="D1103" s="1"/>
      <c r="E1103" s="104"/>
      <c r="F1103" s="7">
        <f>F1104+F1117+F1122+F1132</f>
        <v>17183.7</v>
      </c>
      <c r="G1103" s="7">
        <f>G1104+G1117+G1122+G1132</f>
        <v>0</v>
      </c>
      <c r="H1103" s="35">
        <f t="shared" si="258"/>
        <v>17183.7</v>
      </c>
      <c r="I1103" s="7">
        <f>I1104+I1117+I1122+I1132</f>
        <v>-594.6</v>
      </c>
      <c r="J1103" s="35">
        <f t="shared" si="256"/>
        <v>16589.100000000002</v>
      </c>
      <c r="K1103" s="7">
        <f>K1104+K1117+K1122+K1132</f>
        <v>5809</v>
      </c>
      <c r="L1103" s="35">
        <f t="shared" si="251"/>
        <v>22398.100000000002</v>
      </c>
      <c r="M1103" s="7">
        <f>M1104+M1117+M1122+M1132</f>
        <v>3842.2</v>
      </c>
      <c r="N1103" s="35">
        <f t="shared" si="252"/>
        <v>26240.300000000003</v>
      </c>
      <c r="O1103" s="7">
        <f>O1104+O1117+O1122+O1132</f>
        <v>3959.5</v>
      </c>
      <c r="P1103" s="35">
        <f t="shared" si="248"/>
        <v>30199.800000000003</v>
      </c>
      <c r="Q1103" s="7">
        <f>Q1104+Q1117+Q1122+Q1132+Q1127</f>
        <v>9691.3000000000011</v>
      </c>
      <c r="R1103" s="35">
        <f t="shared" si="245"/>
        <v>39891.100000000006</v>
      </c>
      <c r="S1103" s="7">
        <f>S1104+S1117+S1122+S1132+S1127</f>
        <v>-1560.7</v>
      </c>
      <c r="T1103" s="35">
        <f t="shared" si="255"/>
        <v>38330.400000000009</v>
      </c>
    </row>
    <row r="1104" spans="1:20">
      <c r="A1104" s="61" t="str">
        <f ca="1">IF(ISERROR(MATCH(C1104,Код_Раздел,0)),"",INDIRECT(ADDRESS(MATCH(C1104,Код_Раздел,0)+1,2,,,"Раздел")))</f>
        <v>Национальная экономика</v>
      </c>
      <c r="B1104" s="62" t="s">
        <v>72</v>
      </c>
      <c r="C1104" s="8" t="s">
        <v>216</v>
      </c>
      <c r="D1104" s="1"/>
      <c r="E1104" s="104"/>
      <c r="F1104" s="7">
        <f t="shared" ref="F1104:S1107" si="259">F1105</f>
        <v>2004.9</v>
      </c>
      <c r="G1104" s="7">
        <f t="shared" si="259"/>
        <v>0</v>
      </c>
      <c r="H1104" s="35">
        <f t="shared" si="258"/>
        <v>2004.9</v>
      </c>
      <c r="I1104" s="7">
        <f t="shared" si="259"/>
        <v>-594.6</v>
      </c>
      <c r="J1104" s="35">
        <f t="shared" si="256"/>
        <v>1410.3000000000002</v>
      </c>
      <c r="K1104" s="7">
        <f>K1105+K1109</f>
        <v>3309</v>
      </c>
      <c r="L1104" s="35">
        <f t="shared" si="251"/>
        <v>4719.3</v>
      </c>
      <c r="M1104" s="7">
        <f>M1105+M1109</f>
        <v>0</v>
      </c>
      <c r="N1104" s="35">
        <f t="shared" si="252"/>
        <v>4719.3</v>
      </c>
      <c r="O1104" s="7">
        <f>O1105+O1109</f>
        <v>0</v>
      </c>
      <c r="P1104" s="35">
        <f t="shared" si="248"/>
        <v>4719.3</v>
      </c>
      <c r="Q1104" s="7">
        <f>Q1105+Q1109+Q1113</f>
        <v>3758.7000000000003</v>
      </c>
      <c r="R1104" s="35">
        <f t="shared" si="245"/>
        <v>8478</v>
      </c>
      <c r="S1104" s="7">
        <f>S1105+S1109+S1113</f>
        <v>-1198.8000000000002</v>
      </c>
      <c r="T1104" s="35">
        <f t="shared" si="255"/>
        <v>7279.2</v>
      </c>
    </row>
    <row r="1105" spans="1:20">
      <c r="A1105" s="77" t="s">
        <v>180</v>
      </c>
      <c r="B1105" s="62" t="s">
        <v>72</v>
      </c>
      <c r="C1105" s="8" t="s">
        <v>216</v>
      </c>
      <c r="D1105" s="8" t="s">
        <v>219</v>
      </c>
      <c r="E1105" s="104"/>
      <c r="F1105" s="7">
        <f t="shared" si="259"/>
        <v>2004.9</v>
      </c>
      <c r="G1105" s="7">
        <f t="shared" si="259"/>
        <v>0</v>
      </c>
      <c r="H1105" s="35">
        <f t="shared" si="258"/>
        <v>2004.9</v>
      </c>
      <c r="I1105" s="7">
        <f t="shared" si="259"/>
        <v>-594.6</v>
      </c>
      <c r="J1105" s="35">
        <f t="shared" si="256"/>
        <v>1410.3000000000002</v>
      </c>
      <c r="K1105" s="7">
        <f t="shared" si="259"/>
        <v>2159</v>
      </c>
      <c r="L1105" s="35">
        <f t="shared" si="251"/>
        <v>3569.3</v>
      </c>
      <c r="M1105" s="7">
        <f t="shared" si="259"/>
        <v>0</v>
      </c>
      <c r="N1105" s="35">
        <f t="shared" si="252"/>
        <v>3569.3</v>
      </c>
      <c r="O1105" s="7">
        <f t="shared" si="259"/>
        <v>0</v>
      </c>
      <c r="P1105" s="35">
        <f t="shared" si="248"/>
        <v>3569.3</v>
      </c>
      <c r="Q1105" s="7">
        <f t="shared" si="259"/>
        <v>806.19999999999993</v>
      </c>
      <c r="R1105" s="35">
        <f t="shared" si="245"/>
        <v>4375.5</v>
      </c>
      <c r="S1105" s="7">
        <f t="shared" si="259"/>
        <v>-758.5</v>
      </c>
      <c r="T1105" s="35">
        <f t="shared" si="255"/>
        <v>3617</v>
      </c>
    </row>
    <row r="1106" spans="1:20" ht="33">
      <c r="A1106" s="61" t="str">
        <f ca="1">IF(ISERROR(MATCH(E1106,Код_КВР,0)),"",INDIRECT(ADDRESS(MATCH(E1106,Код_КВР,0)+1,2,,,"КВР")))</f>
        <v>Капитальные вложения в объекты недвижимого имущества муниципальной собственности</v>
      </c>
      <c r="B1106" s="62" t="s">
        <v>72</v>
      </c>
      <c r="C1106" s="8" t="s">
        <v>216</v>
      </c>
      <c r="D1106" s="8" t="s">
        <v>219</v>
      </c>
      <c r="E1106" s="104">
        <v>400</v>
      </c>
      <c r="F1106" s="7">
        <f t="shared" si="259"/>
        <v>2004.9</v>
      </c>
      <c r="G1106" s="7">
        <f t="shared" si="259"/>
        <v>0</v>
      </c>
      <c r="H1106" s="35">
        <f t="shared" si="258"/>
        <v>2004.9</v>
      </c>
      <c r="I1106" s="7">
        <f t="shared" si="259"/>
        <v>-594.6</v>
      </c>
      <c r="J1106" s="35">
        <f t="shared" si="256"/>
        <v>1410.3000000000002</v>
      </c>
      <c r="K1106" s="7">
        <f t="shared" si="259"/>
        <v>2159</v>
      </c>
      <c r="L1106" s="35">
        <f t="shared" si="251"/>
        <v>3569.3</v>
      </c>
      <c r="M1106" s="7">
        <f t="shared" si="259"/>
        <v>0</v>
      </c>
      <c r="N1106" s="35">
        <f t="shared" si="252"/>
        <v>3569.3</v>
      </c>
      <c r="O1106" s="7">
        <f t="shared" si="259"/>
        <v>0</v>
      </c>
      <c r="P1106" s="35">
        <f t="shared" si="248"/>
        <v>3569.3</v>
      </c>
      <c r="Q1106" s="7">
        <f t="shared" si="259"/>
        <v>806.19999999999993</v>
      </c>
      <c r="R1106" s="35">
        <f t="shared" si="245"/>
        <v>4375.5</v>
      </c>
      <c r="S1106" s="7">
        <f t="shared" si="259"/>
        <v>-758.5</v>
      </c>
      <c r="T1106" s="35">
        <f t="shared" si="255"/>
        <v>3617</v>
      </c>
    </row>
    <row r="1107" spans="1:20">
      <c r="A1107" s="61" t="str">
        <f ca="1">IF(ISERROR(MATCH(E1107,Код_КВР,0)),"",INDIRECT(ADDRESS(MATCH(E1107,Код_КВР,0)+1,2,,,"КВР")))</f>
        <v>Бюджетные инвестиции</v>
      </c>
      <c r="B1107" s="62" t="s">
        <v>72</v>
      </c>
      <c r="C1107" s="8" t="s">
        <v>216</v>
      </c>
      <c r="D1107" s="8" t="s">
        <v>219</v>
      </c>
      <c r="E1107" s="104">
        <v>410</v>
      </c>
      <c r="F1107" s="7">
        <f t="shared" si="259"/>
        <v>2004.9</v>
      </c>
      <c r="G1107" s="7">
        <f t="shared" si="259"/>
        <v>0</v>
      </c>
      <c r="H1107" s="35">
        <f t="shared" si="258"/>
        <v>2004.9</v>
      </c>
      <c r="I1107" s="7">
        <f t="shared" si="259"/>
        <v>-594.6</v>
      </c>
      <c r="J1107" s="35">
        <f t="shared" si="256"/>
        <v>1410.3000000000002</v>
      </c>
      <c r="K1107" s="7">
        <f t="shared" si="259"/>
        <v>2159</v>
      </c>
      <c r="L1107" s="35">
        <f t="shared" si="251"/>
        <v>3569.3</v>
      </c>
      <c r="M1107" s="7">
        <f t="shared" si="259"/>
        <v>0</v>
      </c>
      <c r="N1107" s="35">
        <f t="shared" si="252"/>
        <v>3569.3</v>
      </c>
      <c r="O1107" s="7">
        <f t="shared" si="259"/>
        <v>0</v>
      </c>
      <c r="P1107" s="35">
        <f t="shared" si="248"/>
        <v>3569.3</v>
      </c>
      <c r="Q1107" s="7">
        <f t="shared" si="259"/>
        <v>806.19999999999993</v>
      </c>
      <c r="R1107" s="35">
        <f t="shared" si="245"/>
        <v>4375.5</v>
      </c>
      <c r="S1107" s="7">
        <f t="shared" si="259"/>
        <v>-758.5</v>
      </c>
      <c r="T1107" s="35">
        <f t="shared" si="255"/>
        <v>3617</v>
      </c>
    </row>
    <row r="1108" spans="1:20" ht="33">
      <c r="A1108" s="61" t="str">
        <f ca="1">IF(ISERROR(MATCH(E1108,Код_КВР,0)),"",INDIRECT(ADDRESS(MATCH(E1108,Код_КВР,0)+1,2,,,"КВР")))</f>
        <v>Бюджетные инвестиции в объекты капитального строительства муниципальной собственности</v>
      </c>
      <c r="B1108" s="62" t="s">
        <v>72</v>
      </c>
      <c r="C1108" s="8" t="s">
        <v>216</v>
      </c>
      <c r="D1108" s="8" t="s">
        <v>219</v>
      </c>
      <c r="E1108" s="104">
        <v>414</v>
      </c>
      <c r="F1108" s="7">
        <f>прил.6!G1522</f>
        <v>2004.9</v>
      </c>
      <c r="G1108" s="7">
        <f>прил.6!H1522</f>
        <v>0</v>
      </c>
      <c r="H1108" s="35">
        <f t="shared" si="258"/>
        <v>2004.9</v>
      </c>
      <c r="I1108" s="7">
        <f>прил.6!J1522</f>
        <v>-594.6</v>
      </c>
      <c r="J1108" s="35">
        <f t="shared" si="256"/>
        <v>1410.3000000000002</v>
      </c>
      <c r="K1108" s="7">
        <f>прил.6!L1522</f>
        <v>2159</v>
      </c>
      <c r="L1108" s="35">
        <f t="shared" si="251"/>
        <v>3569.3</v>
      </c>
      <c r="M1108" s="7">
        <f>прил.6!N1522</f>
        <v>0</v>
      </c>
      <c r="N1108" s="35">
        <f t="shared" si="252"/>
        <v>3569.3</v>
      </c>
      <c r="O1108" s="7">
        <f>прил.6!P1522</f>
        <v>0</v>
      </c>
      <c r="P1108" s="35">
        <f t="shared" si="248"/>
        <v>3569.3</v>
      </c>
      <c r="Q1108" s="7">
        <f>прил.6!R1522</f>
        <v>806.19999999999993</v>
      </c>
      <c r="R1108" s="35">
        <f t="shared" si="245"/>
        <v>4375.5</v>
      </c>
      <c r="S1108" s="7">
        <f>прил.6!T1522</f>
        <v>-758.5</v>
      </c>
      <c r="T1108" s="35">
        <f t="shared" si="255"/>
        <v>3617</v>
      </c>
    </row>
    <row r="1109" spans="1:20">
      <c r="A1109" s="61" t="s">
        <v>230</v>
      </c>
      <c r="B1109" s="62" t="s">
        <v>72</v>
      </c>
      <c r="C1109" s="8" t="s">
        <v>216</v>
      </c>
      <c r="D1109" s="8" t="s">
        <v>188</v>
      </c>
      <c r="E1109" s="104"/>
      <c r="F1109" s="7"/>
      <c r="G1109" s="7"/>
      <c r="H1109" s="35"/>
      <c r="I1109" s="7"/>
      <c r="J1109" s="35"/>
      <c r="K1109" s="7">
        <f>K1110</f>
        <v>1150</v>
      </c>
      <c r="L1109" s="35">
        <f t="shared" si="251"/>
        <v>1150</v>
      </c>
      <c r="M1109" s="7">
        <f>M1110</f>
        <v>0</v>
      </c>
      <c r="N1109" s="35">
        <f t="shared" si="252"/>
        <v>1150</v>
      </c>
      <c r="O1109" s="7">
        <f>O1110</f>
        <v>0</v>
      </c>
      <c r="P1109" s="35">
        <f t="shared" si="248"/>
        <v>1150</v>
      </c>
      <c r="Q1109" s="7">
        <f>Q1110</f>
        <v>-56.3</v>
      </c>
      <c r="R1109" s="35">
        <f t="shared" si="245"/>
        <v>1093.7</v>
      </c>
      <c r="S1109" s="7">
        <f>S1110</f>
        <v>-98.7</v>
      </c>
      <c r="T1109" s="35">
        <f t="shared" si="255"/>
        <v>995</v>
      </c>
    </row>
    <row r="1110" spans="1:20" ht="33">
      <c r="A1110" s="61" t="str">
        <f ca="1">IF(ISERROR(MATCH(E1110,Код_КВР,0)),"",INDIRECT(ADDRESS(MATCH(E1110,Код_КВР,0)+1,2,,,"КВР")))</f>
        <v>Капитальные вложения в объекты недвижимого имущества муниципальной собственности</v>
      </c>
      <c r="B1110" s="62" t="s">
        <v>72</v>
      </c>
      <c r="C1110" s="8" t="s">
        <v>216</v>
      </c>
      <c r="D1110" s="8" t="s">
        <v>188</v>
      </c>
      <c r="E1110" s="104">
        <v>400</v>
      </c>
      <c r="F1110" s="7"/>
      <c r="G1110" s="7"/>
      <c r="H1110" s="35"/>
      <c r="I1110" s="7"/>
      <c r="J1110" s="35"/>
      <c r="K1110" s="7">
        <f>K1111</f>
        <v>1150</v>
      </c>
      <c r="L1110" s="35">
        <f t="shared" si="251"/>
        <v>1150</v>
      </c>
      <c r="M1110" s="7">
        <f>M1111</f>
        <v>0</v>
      </c>
      <c r="N1110" s="35">
        <f t="shared" si="252"/>
        <v>1150</v>
      </c>
      <c r="O1110" s="7">
        <f>O1111</f>
        <v>0</v>
      </c>
      <c r="P1110" s="35">
        <f t="shared" si="248"/>
        <v>1150</v>
      </c>
      <c r="Q1110" s="7">
        <f>Q1111</f>
        <v>-56.3</v>
      </c>
      <c r="R1110" s="35">
        <f t="shared" si="245"/>
        <v>1093.7</v>
      </c>
      <c r="S1110" s="7">
        <f>S1111</f>
        <v>-98.7</v>
      </c>
      <c r="T1110" s="35">
        <f t="shared" si="255"/>
        <v>995</v>
      </c>
    </row>
    <row r="1111" spans="1:20">
      <c r="A1111" s="61" t="str">
        <f ca="1">IF(ISERROR(MATCH(E1111,Код_КВР,0)),"",INDIRECT(ADDRESS(MATCH(E1111,Код_КВР,0)+1,2,,,"КВР")))</f>
        <v>Бюджетные инвестиции</v>
      </c>
      <c r="B1111" s="62" t="s">
        <v>72</v>
      </c>
      <c r="C1111" s="8" t="s">
        <v>216</v>
      </c>
      <c r="D1111" s="8" t="s">
        <v>188</v>
      </c>
      <c r="E1111" s="104">
        <v>410</v>
      </c>
      <c r="F1111" s="7"/>
      <c r="G1111" s="7"/>
      <c r="H1111" s="35"/>
      <c r="I1111" s="7"/>
      <c r="J1111" s="35"/>
      <c r="K1111" s="7">
        <f>K1112</f>
        <v>1150</v>
      </c>
      <c r="L1111" s="35">
        <f t="shared" si="251"/>
        <v>1150</v>
      </c>
      <c r="M1111" s="7">
        <f>M1112</f>
        <v>0</v>
      </c>
      <c r="N1111" s="35">
        <f t="shared" si="252"/>
        <v>1150</v>
      </c>
      <c r="O1111" s="7">
        <f>O1112</f>
        <v>0</v>
      </c>
      <c r="P1111" s="35">
        <f t="shared" si="248"/>
        <v>1150</v>
      </c>
      <c r="Q1111" s="7">
        <f>Q1112</f>
        <v>-56.3</v>
      </c>
      <c r="R1111" s="35">
        <f t="shared" si="245"/>
        <v>1093.7</v>
      </c>
      <c r="S1111" s="7">
        <f>S1112</f>
        <v>-98.7</v>
      </c>
      <c r="T1111" s="35">
        <f t="shared" si="255"/>
        <v>995</v>
      </c>
    </row>
    <row r="1112" spans="1:20" ht="33">
      <c r="A1112" s="61" t="str">
        <f ca="1">IF(ISERROR(MATCH(E1112,Код_КВР,0)),"",INDIRECT(ADDRESS(MATCH(E1112,Код_КВР,0)+1,2,,,"КВР")))</f>
        <v>Бюджетные инвестиции в объекты капитального строительства муниципальной собственности</v>
      </c>
      <c r="B1112" s="62" t="s">
        <v>72</v>
      </c>
      <c r="C1112" s="8" t="s">
        <v>216</v>
      </c>
      <c r="D1112" s="8" t="s">
        <v>188</v>
      </c>
      <c r="E1112" s="104">
        <v>414</v>
      </c>
      <c r="F1112" s="7"/>
      <c r="G1112" s="7"/>
      <c r="H1112" s="35"/>
      <c r="I1112" s="7"/>
      <c r="J1112" s="35"/>
      <c r="K1112" s="7">
        <f>прил.6!L1545</f>
        <v>1150</v>
      </c>
      <c r="L1112" s="35">
        <f t="shared" si="251"/>
        <v>1150</v>
      </c>
      <c r="M1112" s="7">
        <f>прил.6!N1545</f>
        <v>0</v>
      </c>
      <c r="N1112" s="35">
        <f t="shared" si="252"/>
        <v>1150</v>
      </c>
      <c r="O1112" s="7">
        <f>прил.6!P1545</f>
        <v>0</v>
      </c>
      <c r="P1112" s="35">
        <f t="shared" si="248"/>
        <v>1150</v>
      </c>
      <c r="Q1112" s="7">
        <f>прил.6!R1545</f>
        <v>-56.3</v>
      </c>
      <c r="R1112" s="35">
        <f t="shared" si="245"/>
        <v>1093.7</v>
      </c>
      <c r="S1112" s="7">
        <f>прил.6!T1545</f>
        <v>-98.7</v>
      </c>
      <c r="T1112" s="35">
        <f t="shared" si="255"/>
        <v>995</v>
      </c>
    </row>
    <row r="1113" spans="1:20">
      <c r="A1113" s="12" t="s">
        <v>223</v>
      </c>
      <c r="B1113" s="62" t="s">
        <v>72</v>
      </c>
      <c r="C1113" s="8" t="s">
        <v>216</v>
      </c>
      <c r="D1113" s="8" t="s">
        <v>196</v>
      </c>
      <c r="E1113" s="116"/>
      <c r="F1113" s="7"/>
      <c r="G1113" s="7"/>
      <c r="H1113" s="35"/>
      <c r="I1113" s="7"/>
      <c r="J1113" s="35"/>
      <c r="K1113" s="7"/>
      <c r="L1113" s="35"/>
      <c r="M1113" s="7"/>
      <c r="N1113" s="35"/>
      <c r="O1113" s="7"/>
      <c r="P1113" s="35"/>
      <c r="Q1113" s="7">
        <f>Q1114</f>
        <v>3008.8</v>
      </c>
      <c r="R1113" s="35">
        <f t="shared" si="245"/>
        <v>3008.8</v>
      </c>
      <c r="S1113" s="7">
        <f>S1114</f>
        <v>-341.6</v>
      </c>
      <c r="T1113" s="35">
        <f t="shared" si="255"/>
        <v>2667.2000000000003</v>
      </c>
    </row>
    <row r="1114" spans="1:20" ht="33">
      <c r="A1114" s="61" t="str">
        <f ca="1">IF(ISERROR(MATCH(E1114,Код_КВР,0)),"",INDIRECT(ADDRESS(MATCH(E1114,Код_КВР,0)+1,2,,,"КВР")))</f>
        <v>Капитальные вложения в объекты недвижимого имущества муниципальной собственности</v>
      </c>
      <c r="B1114" s="62" t="s">
        <v>72</v>
      </c>
      <c r="C1114" s="8" t="s">
        <v>216</v>
      </c>
      <c r="D1114" s="8" t="s">
        <v>196</v>
      </c>
      <c r="E1114" s="116">
        <v>400</v>
      </c>
      <c r="F1114" s="7"/>
      <c r="G1114" s="7"/>
      <c r="H1114" s="35"/>
      <c r="I1114" s="7"/>
      <c r="J1114" s="35"/>
      <c r="K1114" s="7"/>
      <c r="L1114" s="35"/>
      <c r="M1114" s="7"/>
      <c r="N1114" s="35"/>
      <c r="O1114" s="7"/>
      <c r="P1114" s="35"/>
      <c r="Q1114" s="7">
        <f>Q1115</f>
        <v>3008.8</v>
      </c>
      <c r="R1114" s="35">
        <f t="shared" si="245"/>
        <v>3008.8</v>
      </c>
      <c r="S1114" s="7">
        <f>S1115</f>
        <v>-341.6</v>
      </c>
      <c r="T1114" s="35">
        <f t="shared" si="255"/>
        <v>2667.2000000000003</v>
      </c>
    </row>
    <row r="1115" spans="1:20">
      <c r="A1115" s="61" t="str">
        <f ca="1">IF(ISERROR(MATCH(E1115,Код_КВР,0)),"",INDIRECT(ADDRESS(MATCH(E1115,Код_КВР,0)+1,2,,,"КВР")))</f>
        <v>Бюджетные инвестиции</v>
      </c>
      <c r="B1115" s="62" t="s">
        <v>72</v>
      </c>
      <c r="C1115" s="8" t="s">
        <v>216</v>
      </c>
      <c r="D1115" s="8" t="s">
        <v>196</v>
      </c>
      <c r="E1115" s="116">
        <v>410</v>
      </c>
      <c r="F1115" s="7"/>
      <c r="G1115" s="7"/>
      <c r="H1115" s="35"/>
      <c r="I1115" s="7"/>
      <c r="J1115" s="35"/>
      <c r="K1115" s="7"/>
      <c r="L1115" s="35"/>
      <c r="M1115" s="7"/>
      <c r="N1115" s="35"/>
      <c r="O1115" s="7"/>
      <c r="P1115" s="35"/>
      <c r="Q1115" s="7">
        <f>Q1116</f>
        <v>3008.8</v>
      </c>
      <c r="R1115" s="35">
        <f t="shared" si="245"/>
        <v>3008.8</v>
      </c>
      <c r="S1115" s="7">
        <f>S1116</f>
        <v>-341.6</v>
      </c>
      <c r="T1115" s="35">
        <f t="shared" si="255"/>
        <v>2667.2000000000003</v>
      </c>
    </row>
    <row r="1116" spans="1:20" ht="33">
      <c r="A1116" s="61" t="str">
        <f ca="1">IF(ISERROR(MATCH(E1116,Код_КВР,0)),"",INDIRECT(ADDRESS(MATCH(E1116,Код_КВР,0)+1,2,,,"КВР")))</f>
        <v>Бюджетные инвестиции в объекты капитального строительства муниципальной собственности</v>
      </c>
      <c r="B1116" s="62" t="s">
        <v>72</v>
      </c>
      <c r="C1116" s="8" t="s">
        <v>216</v>
      </c>
      <c r="D1116" s="8" t="s">
        <v>196</v>
      </c>
      <c r="E1116" s="116">
        <v>414</v>
      </c>
      <c r="F1116" s="7"/>
      <c r="G1116" s="7"/>
      <c r="H1116" s="35"/>
      <c r="I1116" s="7"/>
      <c r="J1116" s="35"/>
      <c r="K1116" s="7"/>
      <c r="L1116" s="35"/>
      <c r="M1116" s="7"/>
      <c r="N1116" s="35"/>
      <c r="O1116" s="7"/>
      <c r="P1116" s="35"/>
      <c r="Q1116" s="7">
        <f>прил.6!R1561</f>
        <v>3008.8</v>
      </c>
      <c r="R1116" s="35">
        <f t="shared" si="245"/>
        <v>3008.8</v>
      </c>
      <c r="S1116" s="7">
        <f>прил.6!T1561</f>
        <v>-341.6</v>
      </c>
      <c r="T1116" s="35">
        <f t="shared" si="255"/>
        <v>2667.2000000000003</v>
      </c>
    </row>
    <row r="1117" spans="1:20">
      <c r="A1117" s="61" t="str">
        <f ca="1">IF(ISERROR(MATCH(C1117,Код_Раздел,0)),"",INDIRECT(ADDRESS(MATCH(C1117,Код_Раздел,0)+1,2,,,"Раздел")))</f>
        <v>Жилищно-коммунальное хозяйство</v>
      </c>
      <c r="B1117" s="62" t="s">
        <v>72</v>
      </c>
      <c r="C1117" s="8" t="s">
        <v>221</v>
      </c>
      <c r="D1117" s="1"/>
      <c r="E1117" s="104"/>
      <c r="F1117" s="7">
        <f t="shared" ref="F1117:S1120" si="260">F1118</f>
        <v>5000</v>
      </c>
      <c r="G1117" s="7">
        <f t="shared" si="260"/>
        <v>0</v>
      </c>
      <c r="H1117" s="35">
        <f t="shared" si="258"/>
        <v>5000</v>
      </c>
      <c r="I1117" s="7">
        <f t="shared" si="260"/>
        <v>0</v>
      </c>
      <c r="J1117" s="35">
        <f t="shared" si="256"/>
        <v>5000</v>
      </c>
      <c r="K1117" s="7">
        <f t="shared" si="260"/>
        <v>0</v>
      </c>
      <c r="L1117" s="35">
        <f t="shared" si="251"/>
        <v>5000</v>
      </c>
      <c r="M1117" s="7">
        <f t="shared" si="260"/>
        <v>3842.2</v>
      </c>
      <c r="N1117" s="35">
        <f t="shared" si="252"/>
        <v>8842.2000000000007</v>
      </c>
      <c r="O1117" s="7">
        <f t="shared" si="260"/>
        <v>0</v>
      </c>
      <c r="P1117" s="35">
        <f t="shared" si="248"/>
        <v>8842.2000000000007</v>
      </c>
      <c r="Q1117" s="7">
        <f t="shared" si="260"/>
        <v>0</v>
      </c>
      <c r="R1117" s="35">
        <f t="shared" si="245"/>
        <v>8842.2000000000007</v>
      </c>
      <c r="S1117" s="7">
        <f t="shared" si="260"/>
        <v>-20.100000000000001</v>
      </c>
      <c r="T1117" s="35">
        <f t="shared" si="255"/>
        <v>8822.1</v>
      </c>
    </row>
    <row r="1118" spans="1:20">
      <c r="A1118" s="61" t="s">
        <v>252</v>
      </c>
      <c r="B1118" s="62" t="s">
        <v>72</v>
      </c>
      <c r="C1118" s="8" t="s">
        <v>221</v>
      </c>
      <c r="D1118" s="8" t="s">
        <v>215</v>
      </c>
      <c r="E1118" s="104"/>
      <c r="F1118" s="7">
        <f t="shared" si="260"/>
        <v>5000</v>
      </c>
      <c r="G1118" s="7">
        <f t="shared" si="260"/>
        <v>0</v>
      </c>
      <c r="H1118" s="35">
        <f t="shared" si="258"/>
        <v>5000</v>
      </c>
      <c r="I1118" s="7">
        <f t="shared" si="260"/>
        <v>0</v>
      </c>
      <c r="J1118" s="35">
        <f t="shared" si="256"/>
        <v>5000</v>
      </c>
      <c r="K1118" s="7">
        <f t="shared" si="260"/>
        <v>0</v>
      </c>
      <c r="L1118" s="35">
        <f t="shared" si="251"/>
        <v>5000</v>
      </c>
      <c r="M1118" s="7">
        <f t="shared" si="260"/>
        <v>3842.2</v>
      </c>
      <c r="N1118" s="35">
        <f t="shared" si="252"/>
        <v>8842.2000000000007</v>
      </c>
      <c r="O1118" s="7">
        <f t="shared" si="260"/>
        <v>0</v>
      </c>
      <c r="P1118" s="35">
        <f t="shared" si="248"/>
        <v>8842.2000000000007</v>
      </c>
      <c r="Q1118" s="7">
        <f t="shared" si="260"/>
        <v>0</v>
      </c>
      <c r="R1118" s="35">
        <f t="shared" si="245"/>
        <v>8842.2000000000007</v>
      </c>
      <c r="S1118" s="7">
        <f t="shared" si="260"/>
        <v>-20.100000000000001</v>
      </c>
      <c r="T1118" s="35">
        <f t="shared" si="255"/>
        <v>8822.1</v>
      </c>
    </row>
    <row r="1119" spans="1:20" ht="33">
      <c r="A1119" s="61" t="str">
        <f ca="1">IF(ISERROR(MATCH(E1119,Код_КВР,0)),"",INDIRECT(ADDRESS(MATCH(E1119,Код_КВР,0)+1,2,,,"КВР")))</f>
        <v>Капитальные вложения в объекты недвижимого имущества муниципальной собственности</v>
      </c>
      <c r="B1119" s="62" t="s">
        <v>72</v>
      </c>
      <c r="C1119" s="8" t="s">
        <v>221</v>
      </c>
      <c r="D1119" s="8" t="s">
        <v>215</v>
      </c>
      <c r="E1119" s="104">
        <v>400</v>
      </c>
      <c r="F1119" s="7">
        <f t="shared" si="260"/>
        <v>5000</v>
      </c>
      <c r="G1119" s="7">
        <f t="shared" si="260"/>
        <v>0</v>
      </c>
      <c r="H1119" s="35">
        <f t="shared" si="258"/>
        <v>5000</v>
      </c>
      <c r="I1119" s="7">
        <f t="shared" si="260"/>
        <v>0</v>
      </c>
      <c r="J1119" s="35">
        <f t="shared" si="256"/>
        <v>5000</v>
      </c>
      <c r="K1119" s="7">
        <f t="shared" si="260"/>
        <v>0</v>
      </c>
      <c r="L1119" s="35">
        <f t="shared" si="251"/>
        <v>5000</v>
      </c>
      <c r="M1119" s="7">
        <f t="shared" si="260"/>
        <v>3842.2</v>
      </c>
      <c r="N1119" s="35">
        <f t="shared" si="252"/>
        <v>8842.2000000000007</v>
      </c>
      <c r="O1119" s="7">
        <f t="shared" si="260"/>
        <v>0</v>
      </c>
      <c r="P1119" s="35">
        <f t="shared" si="248"/>
        <v>8842.2000000000007</v>
      </c>
      <c r="Q1119" s="7">
        <f t="shared" si="260"/>
        <v>0</v>
      </c>
      <c r="R1119" s="35">
        <f t="shared" si="245"/>
        <v>8842.2000000000007</v>
      </c>
      <c r="S1119" s="7">
        <f t="shared" si="260"/>
        <v>-20.100000000000001</v>
      </c>
      <c r="T1119" s="35">
        <f t="shared" si="255"/>
        <v>8822.1</v>
      </c>
    </row>
    <row r="1120" spans="1:20">
      <c r="A1120" s="61" t="str">
        <f ca="1">IF(ISERROR(MATCH(E1120,Код_КВР,0)),"",INDIRECT(ADDRESS(MATCH(E1120,Код_КВР,0)+1,2,,,"КВР")))</f>
        <v>Бюджетные инвестиции</v>
      </c>
      <c r="B1120" s="62" t="s">
        <v>72</v>
      </c>
      <c r="C1120" s="8" t="s">
        <v>221</v>
      </c>
      <c r="D1120" s="8" t="s">
        <v>215</v>
      </c>
      <c r="E1120" s="104">
        <v>410</v>
      </c>
      <c r="F1120" s="7">
        <f t="shared" si="260"/>
        <v>5000</v>
      </c>
      <c r="G1120" s="7">
        <f t="shared" si="260"/>
        <v>0</v>
      </c>
      <c r="H1120" s="35">
        <f t="shared" si="258"/>
        <v>5000</v>
      </c>
      <c r="I1120" s="7">
        <f t="shared" si="260"/>
        <v>0</v>
      </c>
      <c r="J1120" s="35">
        <f t="shared" si="256"/>
        <v>5000</v>
      </c>
      <c r="K1120" s="7">
        <f t="shared" si="260"/>
        <v>0</v>
      </c>
      <c r="L1120" s="35">
        <f t="shared" si="251"/>
        <v>5000</v>
      </c>
      <c r="M1120" s="7">
        <f t="shared" si="260"/>
        <v>3842.2</v>
      </c>
      <c r="N1120" s="35">
        <f t="shared" si="252"/>
        <v>8842.2000000000007</v>
      </c>
      <c r="O1120" s="7">
        <f t="shared" si="260"/>
        <v>0</v>
      </c>
      <c r="P1120" s="35">
        <f t="shared" si="248"/>
        <v>8842.2000000000007</v>
      </c>
      <c r="Q1120" s="7">
        <f t="shared" si="260"/>
        <v>0</v>
      </c>
      <c r="R1120" s="35">
        <f t="shared" si="245"/>
        <v>8842.2000000000007</v>
      </c>
      <c r="S1120" s="7">
        <f t="shared" si="260"/>
        <v>-20.100000000000001</v>
      </c>
      <c r="T1120" s="35">
        <f t="shared" si="255"/>
        <v>8822.1</v>
      </c>
    </row>
    <row r="1121" spans="1:20" ht="33">
      <c r="A1121" s="61" t="str">
        <f ca="1">IF(ISERROR(MATCH(E1121,Код_КВР,0)),"",INDIRECT(ADDRESS(MATCH(E1121,Код_КВР,0)+1,2,,,"КВР")))</f>
        <v>Бюджетные инвестиции в объекты капитального строительства муниципальной собственности</v>
      </c>
      <c r="B1121" s="62" t="s">
        <v>72</v>
      </c>
      <c r="C1121" s="8" t="s">
        <v>221</v>
      </c>
      <c r="D1121" s="8" t="s">
        <v>215</v>
      </c>
      <c r="E1121" s="104">
        <v>414</v>
      </c>
      <c r="F1121" s="7">
        <f>прил.6!G1619</f>
        <v>5000</v>
      </c>
      <c r="G1121" s="7">
        <f>прил.6!H1619</f>
        <v>0</v>
      </c>
      <c r="H1121" s="35">
        <f t="shared" si="258"/>
        <v>5000</v>
      </c>
      <c r="I1121" s="7">
        <f>прил.6!J1619</f>
        <v>0</v>
      </c>
      <c r="J1121" s="35">
        <f t="shared" si="256"/>
        <v>5000</v>
      </c>
      <c r="K1121" s="7">
        <f>прил.6!L1619</f>
        <v>0</v>
      </c>
      <c r="L1121" s="35">
        <f t="shared" si="251"/>
        <v>5000</v>
      </c>
      <c r="M1121" s="7">
        <f>прил.6!N1619</f>
        <v>3842.2</v>
      </c>
      <c r="N1121" s="35">
        <f t="shared" si="252"/>
        <v>8842.2000000000007</v>
      </c>
      <c r="O1121" s="7">
        <f>прил.6!P1619</f>
        <v>0</v>
      </c>
      <c r="P1121" s="35">
        <f t="shared" si="248"/>
        <v>8842.2000000000007</v>
      </c>
      <c r="Q1121" s="7">
        <f>прил.6!R1619</f>
        <v>0</v>
      </c>
      <c r="R1121" s="35">
        <f t="shared" si="245"/>
        <v>8842.2000000000007</v>
      </c>
      <c r="S1121" s="7">
        <f>прил.6!T1619</f>
        <v>-20.100000000000001</v>
      </c>
      <c r="T1121" s="35">
        <f t="shared" si="255"/>
        <v>8822.1</v>
      </c>
    </row>
    <row r="1122" spans="1:20">
      <c r="A1122" s="61" t="str">
        <f ca="1">IF(ISERROR(MATCH(C1122,Код_Раздел,0)),"",INDIRECT(ADDRESS(MATCH(C1122,Код_Раздел,0)+1,2,,,"Раздел")))</f>
        <v>Образование</v>
      </c>
      <c r="B1122" s="62" t="s">
        <v>72</v>
      </c>
      <c r="C1122" s="8" t="s">
        <v>195</v>
      </c>
      <c r="D1122" s="1"/>
      <c r="E1122" s="104"/>
      <c r="F1122" s="7">
        <f t="shared" ref="F1122:S1125" si="261">F1123</f>
        <v>178.8</v>
      </c>
      <c r="G1122" s="7">
        <f t="shared" si="261"/>
        <v>0</v>
      </c>
      <c r="H1122" s="35">
        <f t="shared" si="258"/>
        <v>178.8</v>
      </c>
      <c r="I1122" s="7">
        <f t="shared" si="261"/>
        <v>0</v>
      </c>
      <c r="J1122" s="35">
        <f t="shared" si="256"/>
        <v>178.8</v>
      </c>
      <c r="K1122" s="7">
        <f t="shared" si="261"/>
        <v>2500</v>
      </c>
      <c r="L1122" s="35">
        <f t="shared" si="251"/>
        <v>2678.8</v>
      </c>
      <c r="M1122" s="7">
        <f t="shared" si="261"/>
        <v>0</v>
      </c>
      <c r="N1122" s="35">
        <f t="shared" si="252"/>
        <v>2678.8</v>
      </c>
      <c r="O1122" s="7">
        <f t="shared" si="261"/>
        <v>3959.5</v>
      </c>
      <c r="P1122" s="35">
        <f t="shared" si="248"/>
        <v>6638.3</v>
      </c>
      <c r="Q1122" s="7">
        <f t="shared" si="261"/>
        <v>213.5</v>
      </c>
      <c r="R1122" s="35">
        <f t="shared" si="245"/>
        <v>6851.8</v>
      </c>
      <c r="S1122" s="7">
        <f t="shared" si="261"/>
        <v>-138.6</v>
      </c>
      <c r="T1122" s="35">
        <f t="shared" si="255"/>
        <v>6713.2</v>
      </c>
    </row>
    <row r="1123" spans="1:20">
      <c r="A1123" s="12" t="s">
        <v>251</v>
      </c>
      <c r="B1123" s="62" t="s">
        <v>72</v>
      </c>
      <c r="C1123" s="8" t="s">
        <v>195</v>
      </c>
      <c r="D1123" s="1" t="s">
        <v>219</v>
      </c>
      <c r="E1123" s="104"/>
      <c r="F1123" s="7">
        <f t="shared" si="261"/>
        <v>178.8</v>
      </c>
      <c r="G1123" s="7">
        <f t="shared" si="261"/>
        <v>0</v>
      </c>
      <c r="H1123" s="35">
        <f t="shared" si="258"/>
        <v>178.8</v>
      </c>
      <c r="I1123" s="7">
        <f t="shared" si="261"/>
        <v>0</v>
      </c>
      <c r="J1123" s="35">
        <f t="shared" si="256"/>
        <v>178.8</v>
      </c>
      <c r="K1123" s="7">
        <f t="shared" si="261"/>
        <v>2500</v>
      </c>
      <c r="L1123" s="35">
        <f t="shared" si="251"/>
        <v>2678.8</v>
      </c>
      <c r="M1123" s="7">
        <f t="shared" si="261"/>
        <v>0</v>
      </c>
      <c r="N1123" s="35">
        <f t="shared" si="252"/>
        <v>2678.8</v>
      </c>
      <c r="O1123" s="7">
        <f t="shared" si="261"/>
        <v>3959.5</v>
      </c>
      <c r="P1123" s="35">
        <f t="shared" si="248"/>
        <v>6638.3</v>
      </c>
      <c r="Q1123" s="7">
        <f t="shared" si="261"/>
        <v>213.5</v>
      </c>
      <c r="R1123" s="35">
        <f t="shared" si="245"/>
        <v>6851.8</v>
      </c>
      <c r="S1123" s="7">
        <f t="shared" si="261"/>
        <v>-138.6</v>
      </c>
      <c r="T1123" s="35">
        <f t="shared" si="255"/>
        <v>6713.2</v>
      </c>
    </row>
    <row r="1124" spans="1:20" ht="33">
      <c r="A1124" s="61" t="str">
        <f ca="1">IF(ISERROR(MATCH(E1124,Код_КВР,0)),"",INDIRECT(ADDRESS(MATCH(E1124,Код_КВР,0)+1,2,,,"КВР")))</f>
        <v>Капитальные вложения в объекты недвижимого имущества муниципальной собственности</v>
      </c>
      <c r="B1124" s="62" t="s">
        <v>72</v>
      </c>
      <c r="C1124" s="8" t="s">
        <v>195</v>
      </c>
      <c r="D1124" s="1" t="s">
        <v>219</v>
      </c>
      <c r="E1124" s="104">
        <v>400</v>
      </c>
      <c r="F1124" s="7">
        <f t="shared" si="261"/>
        <v>178.8</v>
      </c>
      <c r="G1124" s="7">
        <f t="shared" si="261"/>
        <v>0</v>
      </c>
      <c r="H1124" s="35">
        <f t="shared" si="258"/>
        <v>178.8</v>
      </c>
      <c r="I1124" s="7">
        <f t="shared" si="261"/>
        <v>0</v>
      </c>
      <c r="J1124" s="35">
        <f t="shared" si="256"/>
        <v>178.8</v>
      </c>
      <c r="K1124" s="7">
        <f t="shared" si="261"/>
        <v>2500</v>
      </c>
      <c r="L1124" s="35">
        <f t="shared" si="251"/>
        <v>2678.8</v>
      </c>
      <c r="M1124" s="7">
        <f t="shared" si="261"/>
        <v>0</v>
      </c>
      <c r="N1124" s="35">
        <f t="shared" si="252"/>
        <v>2678.8</v>
      </c>
      <c r="O1124" s="7">
        <f t="shared" si="261"/>
        <v>3959.5</v>
      </c>
      <c r="P1124" s="35">
        <f t="shared" si="248"/>
        <v>6638.3</v>
      </c>
      <c r="Q1124" s="7">
        <f t="shared" si="261"/>
        <v>213.5</v>
      </c>
      <c r="R1124" s="35">
        <f t="shared" si="245"/>
        <v>6851.8</v>
      </c>
      <c r="S1124" s="7">
        <f t="shared" si="261"/>
        <v>-138.6</v>
      </c>
      <c r="T1124" s="35">
        <f t="shared" si="255"/>
        <v>6713.2</v>
      </c>
    </row>
    <row r="1125" spans="1:20">
      <c r="A1125" s="61" t="str">
        <f ca="1">IF(ISERROR(MATCH(E1125,Код_КВР,0)),"",INDIRECT(ADDRESS(MATCH(E1125,Код_КВР,0)+1,2,,,"КВР")))</f>
        <v>Бюджетные инвестиции</v>
      </c>
      <c r="B1125" s="62" t="s">
        <v>72</v>
      </c>
      <c r="C1125" s="8" t="s">
        <v>195</v>
      </c>
      <c r="D1125" s="1" t="s">
        <v>219</v>
      </c>
      <c r="E1125" s="104">
        <v>410</v>
      </c>
      <c r="F1125" s="7">
        <f t="shared" si="261"/>
        <v>178.8</v>
      </c>
      <c r="G1125" s="7">
        <f t="shared" si="261"/>
        <v>0</v>
      </c>
      <c r="H1125" s="35">
        <f t="shared" si="258"/>
        <v>178.8</v>
      </c>
      <c r="I1125" s="7">
        <f t="shared" si="261"/>
        <v>0</v>
      </c>
      <c r="J1125" s="35">
        <f t="shared" si="256"/>
        <v>178.8</v>
      </c>
      <c r="K1125" s="7">
        <f t="shared" si="261"/>
        <v>2500</v>
      </c>
      <c r="L1125" s="35">
        <f t="shared" si="251"/>
        <v>2678.8</v>
      </c>
      <c r="M1125" s="7">
        <f t="shared" si="261"/>
        <v>0</v>
      </c>
      <c r="N1125" s="35">
        <f t="shared" si="252"/>
        <v>2678.8</v>
      </c>
      <c r="O1125" s="7">
        <f t="shared" si="261"/>
        <v>3959.5</v>
      </c>
      <c r="P1125" s="35">
        <f t="shared" si="248"/>
        <v>6638.3</v>
      </c>
      <c r="Q1125" s="7">
        <f t="shared" si="261"/>
        <v>213.5</v>
      </c>
      <c r="R1125" s="35">
        <f t="shared" ref="R1125:R1228" si="262">P1125+Q1125</f>
        <v>6851.8</v>
      </c>
      <c r="S1125" s="7">
        <f t="shared" si="261"/>
        <v>-138.6</v>
      </c>
      <c r="T1125" s="35">
        <f t="shared" si="255"/>
        <v>6713.2</v>
      </c>
    </row>
    <row r="1126" spans="1:20" ht="33">
      <c r="A1126" s="61" t="str">
        <f ca="1">IF(ISERROR(MATCH(E1126,Код_КВР,0)),"",INDIRECT(ADDRESS(MATCH(E1126,Код_КВР,0)+1,2,,,"КВР")))</f>
        <v>Бюджетные инвестиции в объекты капитального строительства муниципальной собственности</v>
      </c>
      <c r="B1126" s="62" t="s">
        <v>72</v>
      </c>
      <c r="C1126" s="8" t="s">
        <v>195</v>
      </c>
      <c r="D1126" s="1" t="s">
        <v>219</v>
      </c>
      <c r="E1126" s="104">
        <v>414</v>
      </c>
      <c r="F1126" s="7">
        <f>прил.6!G1646</f>
        <v>178.8</v>
      </c>
      <c r="G1126" s="7">
        <f>прил.6!H1646</f>
        <v>0</v>
      </c>
      <c r="H1126" s="35">
        <f t="shared" si="258"/>
        <v>178.8</v>
      </c>
      <c r="I1126" s="7">
        <f>прил.6!J1646</f>
        <v>0</v>
      </c>
      <c r="J1126" s="35">
        <f t="shared" si="256"/>
        <v>178.8</v>
      </c>
      <c r="K1126" s="7">
        <f>прил.6!L1646</f>
        <v>2500</v>
      </c>
      <c r="L1126" s="35">
        <f t="shared" si="251"/>
        <v>2678.8</v>
      </c>
      <c r="M1126" s="7">
        <f>прил.6!N1646</f>
        <v>0</v>
      </c>
      <c r="N1126" s="35">
        <f t="shared" si="252"/>
        <v>2678.8</v>
      </c>
      <c r="O1126" s="7">
        <f>прил.6!P1646</f>
        <v>3959.5</v>
      </c>
      <c r="P1126" s="35">
        <f t="shared" si="248"/>
        <v>6638.3</v>
      </c>
      <c r="Q1126" s="7">
        <f>прил.6!R1646</f>
        <v>213.5</v>
      </c>
      <c r="R1126" s="35">
        <f t="shared" si="262"/>
        <v>6851.8</v>
      </c>
      <c r="S1126" s="7">
        <f>прил.6!T1646</f>
        <v>-138.6</v>
      </c>
      <c r="T1126" s="35">
        <f t="shared" si="255"/>
        <v>6713.2</v>
      </c>
    </row>
    <row r="1127" spans="1:20">
      <c r="A1127" s="61" t="str">
        <f ca="1">IF(ISERROR(MATCH(C1127,Код_Раздел,0)),"",INDIRECT(ADDRESS(MATCH(C1127,Код_Раздел,0)+1,2,,,"Раздел")))</f>
        <v>Культура, кинематография</v>
      </c>
      <c r="B1127" s="62" t="s">
        <v>72</v>
      </c>
      <c r="C1127" s="8" t="s">
        <v>222</v>
      </c>
      <c r="D1127" s="1"/>
      <c r="E1127" s="116"/>
      <c r="F1127" s="7"/>
      <c r="G1127" s="7"/>
      <c r="H1127" s="35"/>
      <c r="I1127" s="7"/>
      <c r="J1127" s="35"/>
      <c r="K1127" s="7"/>
      <c r="L1127" s="35"/>
      <c r="M1127" s="7"/>
      <c r="N1127" s="35"/>
      <c r="O1127" s="7"/>
      <c r="P1127" s="35"/>
      <c r="Q1127" s="7">
        <f>Q1128</f>
        <v>5719.1</v>
      </c>
      <c r="R1127" s="35">
        <f t="shared" si="262"/>
        <v>5719.1</v>
      </c>
      <c r="S1127" s="7">
        <f>S1128</f>
        <v>-203.2</v>
      </c>
      <c r="T1127" s="35">
        <f t="shared" si="255"/>
        <v>5515.9000000000005</v>
      </c>
    </row>
    <row r="1128" spans="1:20" ht="20.25" customHeight="1">
      <c r="A1128" s="12" t="s">
        <v>163</v>
      </c>
      <c r="B1128" s="62" t="s">
        <v>72</v>
      </c>
      <c r="C1128" s="8" t="s">
        <v>222</v>
      </c>
      <c r="D1128" s="1" t="s">
        <v>216</v>
      </c>
      <c r="E1128" s="116"/>
      <c r="F1128" s="7"/>
      <c r="G1128" s="7"/>
      <c r="H1128" s="35"/>
      <c r="I1128" s="7"/>
      <c r="J1128" s="35"/>
      <c r="K1128" s="7"/>
      <c r="L1128" s="35"/>
      <c r="M1128" s="7"/>
      <c r="N1128" s="35"/>
      <c r="O1128" s="7"/>
      <c r="P1128" s="35"/>
      <c r="Q1128" s="7">
        <f>Q1129</f>
        <v>5719.1</v>
      </c>
      <c r="R1128" s="35">
        <f t="shared" si="262"/>
        <v>5719.1</v>
      </c>
      <c r="S1128" s="7">
        <f>S1129</f>
        <v>-203.2</v>
      </c>
      <c r="T1128" s="35">
        <f t="shared" si="255"/>
        <v>5515.9000000000005</v>
      </c>
    </row>
    <row r="1129" spans="1:20" ht="33">
      <c r="A1129" s="61" t="str">
        <f ca="1">IF(ISERROR(MATCH(E1129,Код_КВР,0)),"",INDIRECT(ADDRESS(MATCH(E1129,Код_КВР,0)+1,2,,,"КВР")))</f>
        <v>Капитальные вложения в объекты недвижимого имущества муниципальной собственности</v>
      </c>
      <c r="B1129" s="62" t="s">
        <v>72</v>
      </c>
      <c r="C1129" s="8" t="s">
        <v>222</v>
      </c>
      <c r="D1129" s="1" t="s">
        <v>216</v>
      </c>
      <c r="E1129" s="116">
        <v>400</v>
      </c>
      <c r="F1129" s="7"/>
      <c r="G1129" s="7"/>
      <c r="H1129" s="35"/>
      <c r="I1129" s="7"/>
      <c r="J1129" s="35"/>
      <c r="K1129" s="7"/>
      <c r="L1129" s="35"/>
      <c r="M1129" s="7"/>
      <c r="N1129" s="35"/>
      <c r="O1129" s="7"/>
      <c r="P1129" s="35"/>
      <c r="Q1129" s="7">
        <f>Q1130</f>
        <v>5719.1</v>
      </c>
      <c r="R1129" s="35">
        <f t="shared" si="262"/>
        <v>5719.1</v>
      </c>
      <c r="S1129" s="7">
        <f>S1130</f>
        <v>-203.2</v>
      </c>
      <c r="T1129" s="35">
        <f t="shared" si="255"/>
        <v>5515.9000000000005</v>
      </c>
    </row>
    <row r="1130" spans="1:20">
      <c r="A1130" s="61" t="str">
        <f ca="1">IF(ISERROR(MATCH(E1130,Код_КВР,0)),"",INDIRECT(ADDRESS(MATCH(E1130,Код_КВР,0)+1,2,,,"КВР")))</f>
        <v>Бюджетные инвестиции</v>
      </c>
      <c r="B1130" s="62" t="s">
        <v>72</v>
      </c>
      <c r="C1130" s="8" t="s">
        <v>222</v>
      </c>
      <c r="D1130" s="1" t="s">
        <v>216</v>
      </c>
      <c r="E1130" s="116">
        <v>410</v>
      </c>
      <c r="F1130" s="7"/>
      <c r="G1130" s="7"/>
      <c r="H1130" s="35"/>
      <c r="I1130" s="7"/>
      <c r="J1130" s="35"/>
      <c r="K1130" s="7"/>
      <c r="L1130" s="35"/>
      <c r="M1130" s="7"/>
      <c r="N1130" s="35"/>
      <c r="O1130" s="7"/>
      <c r="P1130" s="35"/>
      <c r="Q1130" s="7">
        <f>Q1131</f>
        <v>5719.1</v>
      </c>
      <c r="R1130" s="35">
        <f t="shared" si="262"/>
        <v>5719.1</v>
      </c>
      <c r="S1130" s="7">
        <f>S1131</f>
        <v>-203.2</v>
      </c>
      <c r="T1130" s="35">
        <f t="shared" si="255"/>
        <v>5515.9000000000005</v>
      </c>
    </row>
    <row r="1131" spans="1:20" ht="33">
      <c r="A1131" s="61" t="str">
        <f ca="1">IF(ISERROR(MATCH(E1131,Код_КВР,0)),"",INDIRECT(ADDRESS(MATCH(E1131,Код_КВР,0)+1,2,,,"КВР")))</f>
        <v>Бюджетные инвестиции в объекты капитального строительства муниципальной собственности</v>
      </c>
      <c r="B1131" s="62" t="s">
        <v>72</v>
      </c>
      <c r="C1131" s="8" t="s">
        <v>222</v>
      </c>
      <c r="D1131" s="1" t="s">
        <v>216</v>
      </c>
      <c r="E1131" s="116">
        <v>414</v>
      </c>
      <c r="F1131" s="7"/>
      <c r="G1131" s="7"/>
      <c r="H1131" s="35"/>
      <c r="I1131" s="7"/>
      <c r="J1131" s="35"/>
      <c r="K1131" s="7"/>
      <c r="L1131" s="35"/>
      <c r="M1131" s="7"/>
      <c r="N1131" s="35"/>
      <c r="O1131" s="7"/>
      <c r="P1131" s="35"/>
      <c r="Q1131" s="7">
        <f>прил.6!R1683</f>
        <v>5719.1</v>
      </c>
      <c r="R1131" s="35">
        <f t="shared" si="262"/>
        <v>5719.1</v>
      </c>
      <c r="S1131" s="7">
        <f>прил.6!T1683</f>
        <v>-203.2</v>
      </c>
      <c r="T1131" s="35">
        <f t="shared" si="255"/>
        <v>5515.9000000000005</v>
      </c>
    </row>
    <row r="1132" spans="1:20">
      <c r="A1132" s="61" t="str">
        <f ca="1">IF(ISERROR(MATCH(C1132,Код_Раздел,0)),"",INDIRECT(ADDRESS(MATCH(C1132,Код_Раздел,0)+1,2,,,"Раздел")))</f>
        <v>Физическая культура и спорт</v>
      </c>
      <c r="B1132" s="62" t="s">
        <v>72</v>
      </c>
      <c r="C1132" s="8" t="s">
        <v>224</v>
      </c>
      <c r="D1132" s="1"/>
      <c r="E1132" s="104"/>
      <c r="F1132" s="7">
        <f t="shared" ref="F1132:S1135" si="263">F1133</f>
        <v>10000</v>
      </c>
      <c r="G1132" s="7">
        <f t="shared" si="263"/>
        <v>0</v>
      </c>
      <c r="H1132" s="35">
        <f t="shared" si="258"/>
        <v>10000</v>
      </c>
      <c r="I1132" s="7">
        <f t="shared" si="263"/>
        <v>0</v>
      </c>
      <c r="J1132" s="35">
        <f t="shared" si="256"/>
        <v>10000</v>
      </c>
      <c r="K1132" s="7">
        <f t="shared" si="263"/>
        <v>0</v>
      </c>
      <c r="L1132" s="35">
        <f t="shared" si="251"/>
        <v>10000</v>
      </c>
      <c r="M1132" s="7">
        <f t="shared" si="263"/>
        <v>0</v>
      </c>
      <c r="N1132" s="35">
        <f t="shared" si="252"/>
        <v>10000</v>
      </c>
      <c r="O1132" s="7">
        <f t="shared" si="263"/>
        <v>0</v>
      </c>
      <c r="P1132" s="35">
        <f t="shared" si="248"/>
        <v>10000</v>
      </c>
      <c r="Q1132" s="7">
        <f t="shared" si="263"/>
        <v>0</v>
      </c>
      <c r="R1132" s="35">
        <f t="shared" si="262"/>
        <v>10000</v>
      </c>
      <c r="S1132" s="7">
        <f t="shared" si="263"/>
        <v>0</v>
      </c>
      <c r="T1132" s="35">
        <f t="shared" si="255"/>
        <v>10000</v>
      </c>
    </row>
    <row r="1133" spans="1:20">
      <c r="A1133" s="12" t="s">
        <v>192</v>
      </c>
      <c r="B1133" s="62" t="s">
        <v>72</v>
      </c>
      <c r="C1133" s="8" t="s">
        <v>224</v>
      </c>
      <c r="D1133" s="1" t="s">
        <v>221</v>
      </c>
      <c r="E1133" s="104"/>
      <c r="F1133" s="7">
        <f t="shared" si="263"/>
        <v>10000</v>
      </c>
      <c r="G1133" s="7">
        <f t="shared" si="263"/>
        <v>0</v>
      </c>
      <c r="H1133" s="35">
        <f t="shared" si="258"/>
        <v>10000</v>
      </c>
      <c r="I1133" s="7">
        <f t="shared" si="263"/>
        <v>0</v>
      </c>
      <c r="J1133" s="35">
        <f t="shared" si="256"/>
        <v>10000</v>
      </c>
      <c r="K1133" s="7">
        <f t="shared" si="263"/>
        <v>0</v>
      </c>
      <c r="L1133" s="35">
        <f t="shared" si="251"/>
        <v>10000</v>
      </c>
      <c r="M1133" s="7">
        <f t="shared" si="263"/>
        <v>0</v>
      </c>
      <c r="N1133" s="35">
        <f t="shared" si="252"/>
        <v>10000</v>
      </c>
      <c r="O1133" s="7">
        <f t="shared" si="263"/>
        <v>0</v>
      </c>
      <c r="P1133" s="35">
        <f t="shared" si="248"/>
        <v>10000</v>
      </c>
      <c r="Q1133" s="7">
        <f t="shared" si="263"/>
        <v>0</v>
      </c>
      <c r="R1133" s="35">
        <f t="shared" si="262"/>
        <v>10000</v>
      </c>
      <c r="S1133" s="7">
        <f t="shared" si="263"/>
        <v>0</v>
      </c>
      <c r="T1133" s="35">
        <f t="shared" si="255"/>
        <v>10000</v>
      </c>
    </row>
    <row r="1134" spans="1:20" ht="33">
      <c r="A1134" s="61" t="str">
        <f ca="1">IF(ISERROR(MATCH(E1134,Код_КВР,0)),"",INDIRECT(ADDRESS(MATCH(E1134,Код_КВР,0)+1,2,,,"КВР")))</f>
        <v>Капитальные вложения в объекты недвижимого имущества муниципальной собственности</v>
      </c>
      <c r="B1134" s="62" t="s">
        <v>72</v>
      </c>
      <c r="C1134" s="8" t="s">
        <v>224</v>
      </c>
      <c r="D1134" s="1" t="s">
        <v>221</v>
      </c>
      <c r="E1134" s="104">
        <v>400</v>
      </c>
      <c r="F1134" s="7">
        <f t="shared" si="263"/>
        <v>10000</v>
      </c>
      <c r="G1134" s="7">
        <f t="shared" si="263"/>
        <v>0</v>
      </c>
      <c r="H1134" s="35">
        <f t="shared" si="258"/>
        <v>10000</v>
      </c>
      <c r="I1134" s="7">
        <f t="shared" si="263"/>
        <v>0</v>
      </c>
      <c r="J1134" s="35">
        <f t="shared" si="256"/>
        <v>10000</v>
      </c>
      <c r="K1134" s="7">
        <f t="shared" si="263"/>
        <v>0</v>
      </c>
      <c r="L1134" s="35">
        <f t="shared" si="251"/>
        <v>10000</v>
      </c>
      <c r="M1134" s="7">
        <f t="shared" si="263"/>
        <v>0</v>
      </c>
      <c r="N1134" s="35">
        <f t="shared" si="252"/>
        <v>10000</v>
      </c>
      <c r="O1134" s="7">
        <f t="shared" si="263"/>
        <v>0</v>
      </c>
      <c r="P1134" s="35">
        <f t="shared" si="248"/>
        <v>10000</v>
      </c>
      <c r="Q1134" s="7">
        <f t="shared" si="263"/>
        <v>0</v>
      </c>
      <c r="R1134" s="35">
        <f t="shared" si="262"/>
        <v>10000</v>
      </c>
      <c r="S1134" s="7">
        <f t="shared" si="263"/>
        <v>0</v>
      </c>
      <c r="T1134" s="35">
        <f t="shared" si="255"/>
        <v>10000</v>
      </c>
    </row>
    <row r="1135" spans="1:20">
      <c r="A1135" s="61" t="str">
        <f ca="1">IF(ISERROR(MATCH(E1135,Код_КВР,0)),"",INDIRECT(ADDRESS(MATCH(E1135,Код_КВР,0)+1,2,,,"КВР")))</f>
        <v>Бюджетные инвестиции</v>
      </c>
      <c r="B1135" s="62" t="s">
        <v>72</v>
      </c>
      <c r="C1135" s="8" t="s">
        <v>224</v>
      </c>
      <c r="D1135" s="1" t="s">
        <v>221</v>
      </c>
      <c r="E1135" s="104">
        <v>410</v>
      </c>
      <c r="F1135" s="7">
        <f t="shared" si="263"/>
        <v>10000</v>
      </c>
      <c r="G1135" s="7">
        <f t="shared" si="263"/>
        <v>0</v>
      </c>
      <c r="H1135" s="35">
        <f t="shared" si="258"/>
        <v>10000</v>
      </c>
      <c r="I1135" s="7">
        <f t="shared" si="263"/>
        <v>0</v>
      </c>
      <c r="J1135" s="35">
        <f t="shared" si="256"/>
        <v>10000</v>
      </c>
      <c r="K1135" s="7">
        <f t="shared" si="263"/>
        <v>0</v>
      </c>
      <c r="L1135" s="35">
        <f t="shared" si="251"/>
        <v>10000</v>
      </c>
      <c r="M1135" s="7">
        <f t="shared" si="263"/>
        <v>0</v>
      </c>
      <c r="N1135" s="35">
        <f t="shared" si="252"/>
        <v>10000</v>
      </c>
      <c r="O1135" s="7">
        <f t="shared" si="263"/>
        <v>0</v>
      </c>
      <c r="P1135" s="35">
        <f t="shared" si="248"/>
        <v>10000</v>
      </c>
      <c r="Q1135" s="7">
        <f t="shared" si="263"/>
        <v>0</v>
      </c>
      <c r="R1135" s="35">
        <f t="shared" si="262"/>
        <v>10000</v>
      </c>
      <c r="S1135" s="7">
        <f t="shared" si="263"/>
        <v>0</v>
      </c>
      <c r="T1135" s="35">
        <f t="shared" si="255"/>
        <v>10000</v>
      </c>
    </row>
    <row r="1136" spans="1:20" ht="33">
      <c r="A1136" s="61" t="str">
        <f ca="1">IF(ISERROR(MATCH(E1136,Код_КВР,0)),"",INDIRECT(ADDRESS(MATCH(E1136,Код_КВР,0)+1,2,,,"КВР")))</f>
        <v>Бюджетные инвестиции в объекты капитального строительства муниципальной собственности</v>
      </c>
      <c r="B1136" s="62" t="s">
        <v>72</v>
      </c>
      <c r="C1136" s="8" t="s">
        <v>224</v>
      </c>
      <c r="D1136" s="1" t="s">
        <v>221</v>
      </c>
      <c r="E1136" s="104">
        <v>414</v>
      </c>
      <c r="F1136" s="7">
        <f>прил.6!G1691</f>
        <v>10000</v>
      </c>
      <c r="G1136" s="7">
        <f>прил.6!H1691</f>
        <v>0</v>
      </c>
      <c r="H1136" s="35">
        <f t="shared" si="258"/>
        <v>10000</v>
      </c>
      <c r="I1136" s="7">
        <f>прил.6!J1691</f>
        <v>0</v>
      </c>
      <c r="J1136" s="35">
        <f t="shared" si="256"/>
        <v>10000</v>
      </c>
      <c r="K1136" s="7">
        <f>прил.6!L1691</f>
        <v>0</v>
      </c>
      <c r="L1136" s="35">
        <f t="shared" si="251"/>
        <v>10000</v>
      </c>
      <c r="M1136" s="7">
        <f>прил.6!N1691</f>
        <v>0</v>
      </c>
      <c r="N1136" s="35">
        <f t="shared" si="252"/>
        <v>10000</v>
      </c>
      <c r="O1136" s="7">
        <f>прил.6!P1691</f>
        <v>0</v>
      </c>
      <c r="P1136" s="35">
        <f t="shared" si="248"/>
        <v>10000</v>
      </c>
      <c r="Q1136" s="7">
        <f>прил.6!R1691</f>
        <v>0</v>
      </c>
      <c r="R1136" s="35">
        <f t="shared" si="262"/>
        <v>10000</v>
      </c>
      <c r="S1136" s="7">
        <f>прил.6!T1691</f>
        <v>0</v>
      </c>
      <c r="T1136" s="35">
        <f t="shared" si="255"/>
        <v>10000</v>
      </c>
    </row>
    <row r="1137" spans="1:20">
      <c r="A1137" s="61" t="str">
        <f ca="1">IF(ISERROR(MATCH(B1137,Код_КЦСР,0)),"",INDIRECT(ADDRESS(MATCH(B1137,Код_КЦСР,0)+1,2,,,"КЦСР")))</f>
        <v>Строительство детского сада № 35 на 330 мест в 105 мкр.</v>
      </c>
      <c r="B1137" s="62" t="s">
        <v>74</v>
      </c>
      <c r="C1137" s="8"/>
      <c r="D1137" s="1"/>
      <c r="E1137" s="104"/>
      <c r="F1137" s="7">
        <f t="shared" ref="F1137:S1141" si="264">F1138</f>
        <v>51800</v>
      </c>
      <c r="G1137" s="7">
        <f t="shared" si="264"/>
        <v>0</v>
      </c>
      <c r="H1137" s="35">
        <f t="shared" si="258"/>
        <v>51800</v>
      </c>
      <c r="I1137" s="7">
        <f t="shared" si="264"/>
        <v>0</v>
      </c>
      <c r="J1137" s="35">
        <f t="shared" si="256"/>
        <v>51800</v>
      </c>
      <c r="K1137" s="7">
        <f t="shared" si="264"/>
        <v>-7657</v>
      </c>
      <c r="L1137" s="35">
        <f t="shared" si="251"/>
        <v>44143</v>
      </c>
      <c r="M1137" s="7">
        <f t="shared" si="264"/>
        <v>0</v>
      </c>
      <c r="N1137" s="35">
        <f t="shared" si="252"/>
        <v>44143</v>
      </c>
      <c r="O1137" s="7">
        <f t="shared" si="264"/>
        <v>0</v>
      </c>
      <c r="P1137" s="35">
        <f t="shared" si="248"/>
        <v>44143</v>
      </c>
      <c r="Q1137" s="7">
        <f t="shared" si="264"/>
        <v>0</v>
      </c>
      <c r="R1137" s="35">
        <f t="shared" si="262"/>
        <v>44143</v>
      </c>
      <c r="S1137" s="7">
        <f t="shared" si="264"/>
        <v>0</v>
      </c>
      <c r="T1137" s="35">
        <f t="shared" si="255"/>
        <v>44143</v>
      </c>
    </row>
    <row r="1138" spans="1:20">
      <c r="A1138" s="61" t="str">
        <f ca="1">IF(ISERROR(MATCH(C1138,Код_Раздел,0)),"",INDIRECT(ADDRESS(MATCH(C1138,Код_Раздел,0)+1,2,,,"Раздел")))</f>
        <v>Образование</v>
      </c>
      <c r="B1138" s="62" t="s">
        <v>74</v>
      </c>
      <c r="C1138" s="8" t="s">
        <v>195</v>
      </c>
      <c r="D1138" s="1"/>
      <c r="E1138" s="104"/>
      <c r="F1138" s="7">
        <f t="shared" si="264"/>
        <v>51800</v>
      </c>
      <c r="G1138" s="7">
        <f t="shared" si="264"/>
        <v>0</v>
      </c>
      <c r="H1138" s="35">
        <f t="shared" si="258"/>
        <v>51800</v>
      </c>
      <c r="I1138" s="7">
        <f t="shared" si="264"/>
        <v>0</v>
      </c>
      <c r="J1138" s="35">
        <f t="shared" si="256"/>
        <v>51800</v>
      </c>
      <c r="K1138" s="7">
        <f t="shared" si="264"/>
        <v>-7657</v>
      </c>
      <c r="L1138" s="35">
        <f t="shared" si="251"/>
        <v>44143</v>
      </c>
      <c r="M1138" s="7">
        <f t="shared" si="264"/>
        <v>0</v>
      </c>
      <c r="N1138" s="35">
        <f t="shared" si="252"/>
        <v>44143</v>
      </c>
      <c r="O1138" s="7">
        <f t="shared" si="264"/>
        <v>0</v>
      </c>
      <c r="P1138" s="35">
        <f t="shared" ref="P1138:P1236" si="265">N1138+O1138</f>
        <v>44143</v>
      </c>
      <c r="Q1138" s="7">
        <f t="shared" si="264"/>
        <v>0</v>
      </c>
      <c r="R1138" s="35">
        <f t="shared" si="262"/>
        <v>44143</v>
      </c>
      <c r="S1138" s="7">
        <f t="shared" si="264"/>
        <v>0</v>
      </c>
      <c r="T1138" s="35">
        <f t="shared" si="255"/>
        <v>44143</v>
      </c>
    </row>
    <row r="1139" spans="1:20">
      <c r="A1139" s="12" t="s">
        <v>251</v>
      </c>
      <c r="B1139" s="62" t="s">
        <v>74</v>
      </c>
      <c r="C1139" s="8" t="s">
        <v>195</v>
      </c>
      <c r="D1139" s="1" t="s">
        <v>219</v>
      </c>
      <c r="E1139" s="104"/>
      <c r="F1139" s="7">
        <f t="shared" si="264"/>
        <v>51800</v>
      </c>
      <c r="G1139" s="7">
        <f t="shared" si="264"/>
        <v>0</v>
      </c>
      <c r="H1139" s="35">
        <f t="shared" si="258"/>
        <v>51800</v>
      </c>
      <c r="I1139" s="7">
        <f t="shared" si="264"/>
        <v>0</v>
      </c>
      <c r="J1139" s="35">
        <f t="shared" si="256"/>
        <v>51800</v>
      </c>
      <c r="K1139" s="7">
        <f t="shared" si="264"/>
        <v>-7657</v>
      </c>
      <c r="L1139" s="35">
        <f t="shared" si="251"/>
        <v>44143</v>
      </c>
      <c r="M1139" s="7">
        <f t="shared" si="264"/>
        <v>0</v>
      </c>
      <c r="N1139" s="35">
        <f t="shared" si="252"/>
        <v>44143</v>
      </c>
      <c r="O1139" s="7">
        <f t="shared" si="264"/>
        <v>0</v>
      </c>
      <c r="P1139" s="35">
        <f t="shared" si="265"/>
        <v>44143</v>
      </c>
      <c r="Q1139" s="7">
        <f t="shared" si="264"/>
        <v>0</v>
      </c>
      <c r="R1139" s="35">
        <f t="shared" si="262"/>
        <v>44143</v>
      </c>
      <c r="S1139" s="7">
        <f t="shared" si="264"/>
        <v>0</v>
      </c>
      <c r="T1139" s="35">
        <f t="shared" si="255"/>
        <v>44143</v>
      </c>
    </row>
    <row r="1140" spans="1:20" ht="33">
      <c r="A1140" s="61" t="str">
        <f ca="1">IF(ISERROR(MATCH(E1140,Код_КВР,0)),"",INDIRECT(ADDRESS(MATCH(E1140,Код_КВР,0)+1,2,,,"КВР")))</f>
        <v>Капитальные вложения в объекты недвижимого имущества муниципальной собственности</v>
      </c>
      <c r="B1140" s="62" t="s">
        <v>74</v>
      </c>
      <c r="C1140" s="8" t="s">
        <v>195</v>
      </c>
      <c r="D1140" s="1" t="s">
        <v>219</v>
      </c>
      <c r="E1140" s="104">
        <v>400</v>
      </c>
      <c r="F1140" s="7">
        <f t="shared" si="264"/>
        <v>51800</v>
      </c>
      <c r="G1140" s="7">
        <f t="shared" si="264"/>
        <v>0</v>
      </c>
      <c r="H1140" s="35">
        <f t="shared" si="258"/>
        <v>51800</v>
      </c>
      <c r="I1140" s="7">
        <f t="shared" si="264"/>
        <v>0</v>
      </c>
      <c r="J1140" s="35">
        <f t="shared" si="256"/>
        <v>51800</v>
      </c>
      <c r="K1140" s="7">
        <f t="shared" si="264"/>
        <v>-7657</v>
      </c>
      <c r="L1140" s="35">
        <f t="shared" si="251"/>
        <v>44143</v>
      </c>
      <c r="M1140" s="7">
        <f t="shared" si="264"/>
        <v>0</v>
      </c>
      <c r="N1140" s="35">
        <f t="shared" si="252"/>
        <v>44143</v>
      </c>
      <c r="O1140" s="7">
        <f t="shared" si="264"/>
        <v>0</v>
      </c>
      <c r="P1140" s="35">
        <f t="shared" si="265"/>
        <v>44143</v>
      </c>
      <c r="Q1140" s="7">
        <f t="shared" si="264"/>
        <v>0</v>
      </c>
      <c r="R1140" s="35">
        <f t="shared" si="262"/>
        <v>44143</v>
      </c>
      <c r="S1140" s="7">
        <f t="shared" si="264"/>
        <v>0</v>
      </c>
      <c r="T1140" s="35">
        <f t="shared" si="255"/>
        <v>44143</v>
      </c>
    </row>
    <row r="1141" spans="1:20">
      <c r="A1141" s="61" t="str">
        <f ca="1">IF(ISERROR(MATCH(E1141,Код_КВР,0)),"",INDIRECT(ADDRESS(MATCH(E1141,Код_КВР,0)+1,2,,,"КВР")))</f>
        <v>Бюджетные инвестиции</v>
      </c>
      <c r="B1141" s="62" t="s">
        <v>74</v>
      </c>
      <c r="C1141" s="8" t="s">
        <v>195</v>
      </c>
      <c r="D1141" s="1" t="s">
        <v>219</v>
      </c>
      <c r="E1141" s="104">
        <v>410</v>
      </c>
      <c r="F1141" s="7">
        <f t="shared" si="264"/>
        <v>51800</v>
      </c>
      <c r="G1141" s="7">
        <f t="shared" si="264"/>
        <v>0</v>
      </c>
      <c r="H1141" s="35">
        <f t="shared" si="258"/>
        <v>51800</v>
      </c>
      <c r="I1141" s="7">
        <f t="shared" si="264"/>
        <v>0</v>
      </c>
      <c r="J1141" s="35">
        <f t="shared" si="256"/>
        <v>51800</v>
      </c>
      <c r="K1141" s="7">
        <f t="shared" si="264"/>
        <v>-7657</v>
      </c>
      <c r="L1141" s="35">
        <f t="shared" si="251"/>
        <v>44143</v>
      </c>
      <c r="M1141" s="7">
        <f t="shared" si="264"/>
        <v>0</v>
      </c>
      <c r="N1141" s="35">
        <f t="shared" si="252"/>
        <v>44143</v>
      </c>
      <c r="O1141" s="7">
        <f t="shared" si="264"/>
        <v>0</v>
      </c>
      <c r="P1141" s="35">
        <f t="shared" si="265"/>
        <v>44143</v>
      </c>
      <c r="Q1141" s="7">
        <f t="shared" si="264"/>
        <v>0</v>
      </c>
      <c r="R1141" s="35">
        <f t="shared" si="262"/>
        <v>44143</v>
      </c>
      <c r="S1141" s="7">
        <f t="shared" si="264"/>
        <v>0</v>
      </c>
      <c r="T1141" s="35">
        <f t="shared" si="255"/>
        <v>44143</v>
      </c>
    </row>
    <row r="1142" spans="1:20" ht="33">
      <c r="A1142" s="61" t="str">
        <f ca="1">IF(ISERROR(MATCH(E1142,Код_КВР,0)),"",INDIRECT(ADDRESS(MATCH(E1142,Код_КВР,0)+1,2,,,"КВР")))</f>
        <v>Бюджетные инвестиции в объекты капитального строительства муниципальной собственности</v>
      </c>
      <c r="B1142" s="62" t="s">
        <v>74</v>
      </c>
      <c r="C1142" s="8" t="s">
        <v>195</v>
      </c>
      <c r="D1142" s="1" t="s">
        <v>219</v>
      </c>
      <c r="E1142" s="104">
        <v>414</v>
      </c>
      <c r="F1142" s="7">
        <f>прил.6!G1650</f>
        <v>51800</v>
      </c>
      <c r="G1142" s="7">
        <f>прил.6!H1650</f>
        <v>0</v>
      </c>
      <c r="H1142" s="35">
        <f t="shared" si="258"/>
        <v>51800</v>
      </c>
      <c r="I1142" s="7">
        <f>прил.6!J1650</f>
        <v>0</v>
      </c>
      <c r="J1142" s="35">
        <f t="shared" si="256"/>
        <v>51800</v>
      </c>
      <c r="K1142" s="7">
        <f>прил.6!L1650</f>
        <v>-7657</v>
      </c>
      <c r="L1142" s="35">
        <f t="shared" si="251"/>
        <v>44143</v>
      </c>
      <c r="M1142" s="7">
        <f>прил.6!N1650</f>
        <v>0</v>
      </c>
      <c r="N1142" s="35">
        <f t="shared" si="252"/>
        <v>44143</v>
      </c>
      <c r="O1142" s="7">
        <f>прил.6!P1650</f>
        <v>0</v>
      </c>
      <c r="P1142" s="35">
        <f t="shared" si="265"/>
        <v>44143</v>
      </c>
      <c r="Q1142" s="7">
        <f>прил.6!R1650</f>
        <v>0</v>
      </c>
      <c r="R1142" s="35">
        <f t="shared" si="262"/>
        <v>44143</v>
      </c>
      <c r="S1142" s="7">
        <f>прил.6!T1650</f>
        <v>0</v>
      </c>
      <c r="T1142" s="35">
        <f t="shared" si="255"/>
        <v>44143</v>
      </c>
    </row>
    <row r="1143" spans="1:20">
      <c r="A1143" s="61" t="str">
        <f ca="1">IF(ISERROR(MATCH(B1143,Код_КЦСР,0)),"",INDIRECT(ADDRESS(MATCH(B1143,Код_КЦСР,0)+1,2,,,"КЦСР")))</f>
        <v>Строительство детского сада № 27 в 115 мкр.</v>
      </c>
      <c r="B1143" s="62" t="s">
        <v>75</v>
      </c>
      <c r="C1143" s="8"/>
      <c r="D1143" s="1"/>
      <c r="E1143" s="104"/>
      <c r="F1143" s="7">
        <f t="shared" ref="F1143:S1147" si="266">F1144</f>
        <v>26800</v>
      </c>
      <c r="G1143" s="7">
        <f t="shared" si="266"/>
        <v>0</v>
      </c>
      <c r="H1143" s="35">
        <f t="shared" si="258"/>
        <v>26800</v>
      </c>
      <c r="I1143" s="7">
        <f t="shared" si="266"/>
        <v>0</v>
      </c>
      <c r="J1143" s="35">
        <f t="shared" si="256"/>
        <v>26800</v>
      </c>
      <c r="K1143" s="7">
        <f t="shared" si="266"/>
        <v>0</v>
      </c>
      <c r="L1143" s="35">
        <f t="shared" si="251"/>
        <v>26800</v>
      </c>
      <c r="M1143" s="7">
        <f t="shared" si="266"/>
        <v>0</v>
      </c>
      <c r="N1143" s="35">
        <f t="shared" si="252"/>
        <v>26800</v>
      </c>
      <c r="O1143" s="7">
        <f t="shared" si="266"/>
        <v>0</v>
      </c>
      <c r="P1143" s="35">
        <f t="shared" si="265"/>
        <v>26800</v>
      </c>
      <c r="Q1143" s="7">
        <f>Q1144</f>
        <v>67686.3</v>
      </c>
      <c r="R1143" s="35">
        <f t="shared" si="262"/>
        <v>94486.3</v>
      </c>
      <c r="S1143" s="7">
        <f>S1144</f>
        <v>2</v>
      </c>
      <c r="T1143" s="35">
        <f t="shared" si="255"/>
        <v>94488.3</v>
      </c>
    </row>
    <row r="1144" spans="1:20">
      <c r="A1144" s="61" t="str">
        <f ca="1">IF(ISERROR(MATCH(C1144,Код_Раздел,0)),"",INDIRECT(ADDRESS(MATCH(C1144,Код_Раздел,0)+1,2,,,"Раздел")))</f>
        <v>Образование</v>
      </c>
      <c r="B1144" s="62" t="s">
        <v>75</v>
      </c>
      <c r="C1144" s="8" t="s">
        <v>195</v>
      </c>
      <c r="D1144" s="1"/>
      <c r="E1144" s="104"/>
      <c r="F1144" s="7">
        <f t="shared" si="266"/>
        <v>26800</v>
      </c>
      <c r="G1144" s="7">
        <f t="shared" si="266"/>
        <v>0</v>
      </c>
      <c r="H1144" s="35">
        <f t="shared" si="258"/>
        <v>26800</v>
      </c>
      <c r="I1144" s="7">
        <f t="shared" si="266"/>
        <v>0</v>
      </c>
      <c r="J1144" s="35">
        <f t="shared" si="256"/>
        <v>26800</v>
      </c>
      <c r="K1144" s="7">
        <f t="shared" si="266"/>
        <v>0</v>
      </c>
      <c r="L1144" s="35">
        <f t="shared" si="251"/>
        <v>26800</v>
      </c>
      <c r="M1144" s="7">
        <f t="shared" si="266"/>
        <v>0</v>
      </c>
      <c r="N1144" s="35">
        <f t="shared" si="252"/>
        <v>26800</v>
      </c>
      <c r="O1144" s="7">
        <f t="shared" si="266"/>
        <v>0</v>
      </c>
      <c r="P1144" s="35">
        <f t="shared" si="265"/>
        <v>26800</v>
      </c>
      <c r="Q1144" s="7">
        <f>Q1145</f>
        <v>67686.3</v>
      </c>
      <c r="R1144" s="35">
        <f t="shared" si="262"/>
        <v>94486.3</v>
      </c>
      <c r="S1144" s="7">
        <f>S1145</f>
        <v>2</v>
      </c>
      <c r="T1144" s="35">
        <f t="shared" si="255"/>
        <v>94488.3</v>
      </c>
    </row>
    <row r="1145" spans="1:20">
      <c r="A1145" s="12" t="s">
        <v>251</v>
      </c>
      <c r="B1145" s="62" t="s">
        <v>75</v>
      </c>
      <c r="C1145" s="8" t="s">
        <v>195</v>
      </c>
      <c r="D1145" s="1" t="s">
        <v>219</v>
      </c>
      <c r="E1145" s="104"/>
      <c r="F1145" s="7">
        <f t="shared" si="266"/>
        <v>26800</v>
      </c>
      <c r="G1145" s="7">
        <f t="shared" si="266"/>
        <v>0</v>
      </c>
      <c r="H1145" s="35">
        <f t="shared" si="258"/>
        <v>26800</v>
      </c>
      <c r="I1145" s="7">
        <f t="shared" si="266"/>
        <v>0</v>
      </c>
      <c r="J1145" s="35">
        <f t="shared" si="256"/>
        <v>26800</v>
      </c>
      <c r="K1145" s="7">
        <f t="shared" si="266"/>
        <v>0</v>
      </c>
      <c r="L1145" s="35">
        <f t="shared" si="251"/>
        <v>26800</v>
      </c>
      <c r="M1145" s="7">
        <f t="shared" si="266"/>
        <v>0</v>
      </c>
      <c r="N1145" s="35">
        <f t="shared" si="252"/>
        <v>26800</v>
      </c>
      <c r="O1145" s="7">
        <f t="shared" si="266"/>
        <v>0</v>
      </c>
      <c r="P1145" s="35">
        <f t="shared" si="265"/>
        <v>26800</v>
      </c>
      <c r="Q1145" s="7">
        <f>Q1146</f>
        <v>67686.3</v>
      </c>
      <c r="R1145" s="35">
        <f t="shared" si="262"/>
        <v>94486.3</v>
      </c>
      <c r="S1145" s="7">
        <f>S1146</f>
        <v>2</v>
      </c>
      <c r="T1145" s="35">
        <f t="shared" si="255"/>
        <v>94488.3</v>
      </c>
    </row>
    <row r="1146" spans="1:20" ht="33">
      <c r="A1146" s="61" t="str">
        <f ca="1">IF(ISERROR(MATCH(E1146,Код_КВР,0)),"",INDIRECT(ADDRESS(MATCH(E1146,Код_КВР,0)+1,2,,,"КВР")))</f>
        <v>Капитальные вложения в объекты недвижимого имущества муниципальной собственности</v>
      </c>
      <c r="B1146" s="62" t="s">
        <v>75</v>
      </c>
      <c r="C1146" s="8" t="s">
        <v>195</v>
      </c>
      <c r="D1146" s="1" t="s">
        <v>219</v>
      </c>
      <c r="E1146" s="104">
        <v>400</v>
      </c>
      <c r="F1146" s="7">
        <f t="shared" si="266"/>
        <v>26800</v>
      </c>
      <c r="G1146" s="7">
        <f t="shared" si="266"/>
        <v>0</v>
      </c>
      <c r="H1146" s="35">
        <f t="shared" si="258"/>
        <v>26800</v>
      </c>
      <c r="I1146" s="7">
        <f t="shared" si="266"/>
        <v>0</v>
      </c>
      <c r="J1146" s="35">
        <f t="shared" si="256"/>
        <v>26800</v>
      </c>
      <c r="K1146" s="7">
        <f t="shared" si="266"/>
        <v>0</v>
      </c>
      <c r="L1146" s="35">
        <f t="shared" si="251"/>
        <v>26800</v>
      </c>
      <c r="M1146" s="7">
        <f t="shared" si="266"/>
        <v>0</v>
      </c>
      <c r="N1146" s="35">
        <f t="shared" si="252"/>
        <v>26800</v>
      </c>
      <c r="O1146" s="7">
        <f t="shared" si="266"/>
        <v>0</v>
      </c>
      <c r="P1146" s="35">
        <f t="shared" si="265"/>
        <v>26800</v>
      </c>
      <c r="Q1146" s="7">
        <f t="shared" si="266"/>
        <v>67686.3</v>
      </c>
      <c r="R1146" s="35">
        <f t="shared" si="262"/>
        <v>94486.3</v>
      </c>
      <c r="S1146" s="7">
        <f t="shared" si="266"/>
        <v>2</v>
      </c>
      <c r="T1146" s="35">
        <f t="shared" si="255"/>
        <v>94488.3</v>
      </c>
    </row>
    <row r="1147" spans="1:20">
      <c r="A1147" s="61" t="str">
        <f ca="1">IF(ISERROR(MATCH(E1147,Код_КВР,0)),"",INDIRECT(ADDRESS(MATCH(E1147,Код_КВР,0)+1,2,,,"КВР")))</f>
        <v>Бюджетные инвестиции</v>
      </c>
      <c r="B1147" s="62" t="s">
        <v>75</v>
      </c>
      <c r="C1147" s="8" t="s">
        <v>195</v>
      </c>
      <c r="D1147" s="1" t="s">
        <v>219</v>
      </c>
      <c r="E1147" s="104">
        <v>410</v>
      </c>
      <c r="F1147" s="7">
        <f t="shared" si="266"/>
        <v>26800</v>
      </c>
      <c r="G1147" s="7">
        <f t="shared" si="266"/>
        <v>0</v>
      </c>
      <c r="H1147" s="35">
        <f t="shared" si="258"/>
        <v>26800</v>
      </c>
      <c r="I1147" s="7">
        <f t="shared" si="266"/>
        <v>0</v>
      </c>
      <c r="J1147" s="35">
        <f t="shared" si="256"/>
        <v>26800</v>
      </c>
      <c r="K1147" s="7">
        <f t="shared" si="266"/>
        <v>0</v>
      </c>
      <c r="L1147" s="35">
        <f t="shared" si="251"/>
        <v>26800</v>
      </c>
      <c r="M1147" s="7">
        <f t="shared" si="266"/>
        <v>0</v>
      </c>
      <c r="N1147" s="35">
        <f t="shared" si="252"/>
        <v>26800</v>
      </c>
      <c r="O1147" s="7">
        <f t="shared" si="266"/>
        <v>0</v>
      </c>
      <c r="P1147" s="35">
        <f t="shared" si="265"/>
        <v>26800</v>
      </c>
      <c r="Q1147" s="7">
        <f t="shared" si="266"/>
        <v>67686.3</v>
      </c>
      <c r="R1147" s="35">
        <f t="shared" si="262"/>
        <v>94486.3</v>
      </c>
      <c r="S1147" s="7">
        <f t="shared" si="266"/>
        <v>2</v>
      </c>
      <c r="T1147" s="35">
        <f t="shared" si="255"/>
        <v>94488.3</v>
      </c>
    </row>
    <row r="1148" spans="1:20" ht="33">
      <c r="A1148" s="61" t="str">
        <f ca="1">IF(ISERROR(MATCH(E1148,Код_КВР,0)),"",INDIRECT(ADDRESS(MATCH(E1148,Код_КВР,0)+1,2,,,"КВР")))</f>
        <v>Бюджетные инвестиции в объекты капитального строительства муниципальной собственности</v>
      </c>
      <c r="B1148" s="62" t="s">
        <v>75</v>
      </c>
      <c r="C1148" s="8" t="s">
        <v>195</v>
      </c>
      <c r="D1148" s="1" t="s">
        <v>219</v>
      </c>
      <c r="E1148" s="104">
        <v>414</v>
      </c>
      <c r="F1148" s="7">
        <f>прил.6!G1654</f>
        <v>26800</v>
      </c>
      <c r="G1148" s="7">
        <f>прил.6!H1654</f>
        <v>0</v>
      </c>
      <c r="H1148" s="35">
        <f t="shared" si="258"/>
        <v>26800</v>
      </c>
      <c r="I1148" s="7">
        <f>прил.6!J1654</f>
        <v>0</v>
      </c>
      <c r="J1148" s="35">
        <f t="shared" si="256"/>
        <v>26800</v>
      </c>
      <c r="K1148" s="7">
        <f>прил.6!L1654</f>
        <v>0</v>
      </c>
      <c r="L1148" s="35">
        <f t="shared" si="251"/>
        <v>26800</v>
      </c>
      <c r="M1148" s="7">
        <f>прил.6!N1654</f>
        <v>0</v>
      </c>
      <c r="N1148" s="35">
        <f t="shared" si="252"/>
        <v>26800</v>
      </c>
      <c r="O1148" s="7">
        <f>прил.6!P1654</f>
        <v>0</v>
      </c>
      <c r="P1148" s="35">
        <f t="shared" si="265"/>
        <v>26800</v>
      </c>
      <c r="Q1148" s="7">
        <f>прил.6!R1654</f>
        <v>67686.3</v>
      </c>
      <c r="R1148" s="35">
        <f t="shared" si="262"/>
        <v>94486.3</v>
      </c>
      <c r="S1148" s="7">
        <f>прил.6!T1654</f>
        <v>2</v>
      </c>
      <c r="T1148" s="35">
        <f t="shared" si="255"/>
        <v>94488.3</v>
      </c>
    </row>
    <row r="1149" spans="1:20">
      <c r="A1149" s="61" t="str">
        <f ca="1">IF(ISERROR(MATCH(B1149,Код_КЦСР,0)),"",INDIRECT(ADDRESS(MATCH(B1149,Код_КЦСР,0)+1,2,,,"КЦСР")))</f>
        <v>Строительство полигона твердых бытовых отходов (ТБО) №2</v>
      </c>
      <c r="B1149" s="62" t="s">
        <v>76</v>
      </c>
      <c r="C1149" s="8"/>
      <c r="D1149" s="1"/>
      <c r="E1149" s="104"/>
      <c r="F1149" s="7">
        <f t="shared" ref="F1149:S1153" si="267">F1150</f>
        <v>4522</v>
      </c>
      <c r="G1149" s="7">
        <f t="shared" si="267"/>
        <v>0</v>
      </c>
      <c r="H1149" s="35">
        <f t="shared" si="258"/>
        <v>4522</v>
      </c>
      <c r="I1149" s="7">
        <f t="shared" si="267"/>
        <v>0</v>
      </c>
      <c r="J1149" s="35">
        <f t="shared" si="256"/>
        <v>4522</v>
      </c>
      <c r="K1149" s="7">
        <f t="shared" si="267"/>
        <v>-2087.1999999999998</v>
      </c>
      <c r="L1149" s="35">
        <f t="shared" si="251"/>
        <v>2434.8000000000002</v>
      </c>
      <c r="M1149" s="7">
        <f t="shared" si="267"/>
        <v>0</v>
      </c>
      <c r="N1149" s="35">
        <f t="shared" si="252"/>
        <v>2434.8000000000002</v>
      </c>
      <c r="O1149" s="7">
        <f t="shared" si="267"/>
        <v>0</v>
      </c>
      <c r="P1149" s="35">
        <f t="shared" si="265"/>
        <v>2434.8000000000002</v>
      </c>
      <c r="Q1149" s="7">
        <f t="shared" si="267"/>
        <v>1611</v>
      </c>
      <c r="R1149" s="35">
        <f t="shared" si="262"/>
        <v>4045.8</v>
      </c>
      <c r="S1149" s="7">
        <f t="shared" si="267"/>
        <v>-348.5</v>
      </c>
      <c r="T1149" s="35">
        <f t="shared" si="255"/>
        <v>3697.3</v>
      </c>
    </row>
    <row r="1150" spans="1:20">
      <c r="A1150" s="61" t="str">
        <f ca="1">IF(ISERROR(MATCH(C1150,Код_Раздел,0)),"",INDIRECT(ADDRESS(MATCH(C1150,Код_Раздел,0)+1,2,,,"Раздел")))</f>
        <v>Жилищно-коммунальное хозяйство</v>
      </c>
      <c r="B1150" s="62" t="s">
        <v>76</v>
      </c>
      <c r="C1150" s="8" t="s">
        <v>221</v>
      </c>
      <c r="D1150" s="1"/>
      <c r="E1150" s="104"/>
      <c r="F1150" s="7">
        <f t="shared" si="267"/>
        <v>4522</v>
      </c>
      <c r="G1150" s="7">
        <f t="shared" si="267"/>
        <v>0</v>
      </c>
      <c r="H1150" s="35">
        <f t="shared" si="258"/>
        <v>4522</v>
      </c>
      <c r="I1150" s="7">
        <f t="shared" si="267"/>
        <v>0</v>
      </c>
      <c r="J1150" s="35">
        <f t="shared" si="256"/>
        <v>4522</v>
      </c>
      <c r="K1150" s="7">
        <f t="shared" si="267"/>
        <v>-2087.1999999999998</v>
      </c>
      <c r="L1150" s="35">
        <f t="shared" si="251"/>
        <v>2434.8000000000002</v>
      </c>
      <c r="M1150" s="7">
        <f t="shared" si="267"/>
        <v>0</v>
      </c>
      <c r="N1150" s="35">
        <f t="shared" si="252"/>
        <v>2434.8000000000002</v>
      </c>
      <c r="O1150" s="7">
        <f t="shared" si="267"/>
        <v>0</v>
      </c>
      <c r="P1150" s="35">
        <f t="shared" si="265"/>
        <v>2434.8000000000002</v>
      </c>
      <c r="Q1150" s="7">
        <f t="shared" si="267"/>
        <v>1611</v>
      </c>
      <c r="R1150" s="35">
        <f t="shared" si="262"/>
        <v>4045.8</v>
      </c>
      <c r="S1150" s="7">
        <f t="shared" si="267"/>
        <v>-348.5</v>
      </c>
      <c r="T1150" s="35">
        <f t="shared" si="255"/>
        <v>3697.3</v>
      </c>
    </row>
    <row r="1151" spans="1:20">
      <c r="A1151" s="12" t="s">
        <v>253</v>
      </c>
      <c r="B1151" s="62" t="s">
        <v>76</v>
      </c>
      <c r="C1151" s="8" t="s">
        <v>221</v>
      </c>
      <c r="D1151" s="8" t="s">
        <v>214</v>
      </c>
      <c r="E1151" s="104"/>
      <c r="F1151" s="7">
        <f t="shared" si="267"/>
        <v>4522</v>
      </c>
      <c r="G1151" s="7">
        <f t="shared" si="267"/>
        <v>0</v>
      </c>
      <c r="H1151" s="35">
        <f t="shared" si="258"/>
        <v>4522</v>
      </c>
      <c r="I1151" s="7">
        <f t="shared" si="267"/>
        <v>0</v>
      </c>
      <c r="J1151" s="35">
        <f t="shared" si="256"/>
        <v>4522</v>
      </c>
      <c r="K1151" s="7">
        <f t="shared" si="267"/>
        <v>-2087.1999999999998</v>
      </c>
      <c r="L1151" s="35">
        <f t="shared" si="251"/>
        <v>2434.8000000000002</v>
      </c>
      <c r="M1151" s="7">
        <f t="shared" si="267"/>
        <v>0</v>
      </c>
      <c r="N1151" s="35">
        <f t="shared" si="252"/>
        <v>2434.8000000000002</v>
      </c>
      <c r="O1151" s="7">
        <f t="shared" si="267"/>
        <v>0</v>
      </c>
      <c r="P1151" s="35">
        <f t="shared" si="265"/>
        <v>2434.8000000000002</v>
      </c>
      <c r="Q1151" s="7">
        <f t="shared" si="267"/>
        <v>1611</v>
      </c>
      <c r="R1151" s="35">
        <f t="shared" si="262"/>
        <v>4045.8</v>
      </c>
      <c r="S1151" s="7">
        <f t="shared" si="267"/>
        <v>-348.5</v>
      </c>
      <c r="T1151" s="35">
        <f t="shared" si="255"/>
        <v>3697.3</v>
      </c>
    </row>
    <row r="1152" spans="1:20" ht="33">
      <c r="A1152" s="61" t="str">
        <f ca="1">IF(ISERROR(MATCH(E1152,Код_КВР,0)),"",INDIRECT(ADDRESS(MATCH(E1152,Код_КВР,0)+1,2,,,"КВР")))</f>
        <v>Капитальные вложения в объекты недвижимого имущества муниципальной собственности</v>
      </c>
      <c r="B1152" s="62" t="s">
        <v>76</v>
      </c>
      <c r="C1152" s="8" t="s">
        <v>221</v>
      </c>
      <c r="D1152" s="8" t="s">
        <v>214</v>
      </c>
      <c r="E1152" s="104">
        <v>400</v>
      </c>
      <c r="F1152" s="7">
        <f t="shared" si="267"/>
        <v>4522</v>
      </c>
      <c r="G1152" s="7">
        <f t="shared" si="267"/>
        <v>0</v>
      </c>
      <c r="H1152" s="35">
        <f t="shared" si="258"/>
        <v>4522</v>
      </c>
      <c r="I1152" s="7">
        <f t="shared" si="267"/>
        <v>0</v>
      </c>
      <c r="J1152" s="35">
        <f t="shared" si="256"/>
        <v>4522</v>
      </c>
      <c r="K1152" s="7">
        <f t="shared" si="267"/>
        <v>-2087.1999999999998</v>
      </c>
      <c r="L1152" s="35">
        <f t="shared" si="251"/>
        <v>2434.8000000000002</v>
      </c>
      <c r="M1152" s="7">
        <f t="shared" si="267"/>
        <v>0</v>
      </c>
      <c r="N1152" s="35">
        <f t="shared" si="252"/>
        <v>2434.8000000000002</v>
      </c>
      <c r="O1152" s="7">
        <f t="shared" si="267"/>
        <v>0</v>
      </c>
      <c r="P1152" s="35">
        <f t="shared" si="265"/>
        <v>2434.8000000000002</v>
      </c>
      <c r="Q1152" s="7">
        <f t="shared" si="267"/>
        <v>1611</v>
      </c>
      <c r="R1152" s="35">
        <f t="shared" si="262"/>
        <v>4045.8</v>
      </c>
      <c r="S1152" s="7">
        <f t="shared" si="267"/>
        <v>-348.5</v>
      </c>
      <c r="T1152" s="35">
        <f t="shared" si="255"/>
        <v>3697.3</v>
      </c>
    </row>
    <row r="1153" spans="1:20">
      <c r="A1153" s="61" t="str">
        <f ca="1">IF(ISERROR(MATCH(E1153,Код_КВР,0)),"",INDIRECT(ADDRESS(MATCH(E1153,Код_КВР,0)+1,2,,,"КВР")))</f>
        <v>Бюджетные инвестиции</v>
      </c>
      <c r="B1153" s="62" t="s">
        <v>76</v>
      </c>
      <c r="C1153" s="8" t="s">
        <v>221</v>
      </c>
      <c r="D1153" s="8" t="s">
        <v>214</v>
      </c>
      <c r="E1153" s="104">
        <v>410</v>
      </c>
      <c r="F1153" s="7">
        <f t="shared" si="267"/>
        <v>4522</v>
      </c>
      <c r="G1153" s="7">
        <f t="shared" si="267"/>
        <v>0</v>
      </c>
      <c r="H1153" s="35">
        <f t="shared" si="258"/>
        <v>4522</v>
      </c>
      <c r="I1153" s="7">
        <f t="shared" si="267"/>
        <v>0</v>
      </c>
      <c r="J1153" s="35">
        <f t="shared" si="256"/>
        <v>4522</v>
      </c>
      <c r="K1153" s="7">
        <f t="shared" si="267"/>
        <v>-2087.1999999999998</v>
      </c>
      <c r="L1153" s="35">
        <f t="shared" si="251"/>
        <v>2434.8000000000002</v>
      </c>
      <c r="M1153" s="7">
        <f t="shared" si="267"/>
        <v>0</v>
      </c>
      <c r="N1153" s="35">
        <f t="shared" si="252"/>
        <v>2434.8000000000002</v>
      </c>
      <c r="O1153" s="7">
        <f t="shared" si="267"/>
        <v>0</v>
      </c>
      <c r="P1153" s="35">
        <f t="shared" si="265"/>
        <v>2434.8000000000002</v>
      </c>
      <c r="Q1153" s="7">
        <f t="shared" si="267"/>
        <v>1611</v>
      </c>
      <c r="R1153" s="35">
        <f t="shared" si="262"/>
        <v>4045.8</v>
      </c>
      <c r="S1153" s="7">
        <f t="shared" si="267"/>
        <v>-348.5</v>
      </c>
      <c r="T1153" s="35">
        <f t="shared" ref="T1153:T1216" si="268">R1153+S1153</f>
        <v>3697.3</v>
      </c>
    </row>
    <row r="1154" spans="1:20" ht="33">
      <c r="A1154" s="61" t="str">
        <f ca="1">IF(ISERROR(MATCH(E1154,Код_КВР,0)),"",INDIRECT(ADDRESS(MATCH(E1154,Код_КВР,0)+1,2,,,"КВР")))</f>
        <v>Бюджетные инвестиции в объекты капитального строительства муниципальной собственности</v>
      </c>
      <c r="B1154" s="62" t="s">
        <v>76</v>
      </c>
      <c r="C1154" s="8" t="s">
        <v>221</v>
      </c>
      <c r="D1154" s="8" t="s">
        <v>214</v>
      </c>
      <c r="E1154" s="104">
        <v>414</v>
      </c>
      <c r="F1154" s="7">
        <f>прил.6!G1608</f>
        <v>4522</v>
      </c>
      <c r="G1154" s="7">
        <f>прил.6!H1608</f>
        <v>0</v>
      </c>
      <c r="H1154" s="35">
        <f t="shared" si="258"/>
        <v>4522</v>
      </c>
      <c r="I1154" s="7">
        <f>прил.6!J1608</f>
        <v>0</v>
      </c>
      <c r="J1154" s="35">
        <f t="shared" si="256"/>
        <v>4522</v>
      </c>
      <c r="K1154" s="7">
        <f>прил.6!L1608</f>
        <v>-2087.1999999999998</v>
      </c>
      <c r="L1154" s="35">
        <f t="shared" si="251"/>
        <v>2434.8000000000002</v>
      </c>
      <c r="M1154" s="7">
        <f>прил.6!N1608</f>
        <v>0</v>
      </c>
      <c r="N1154" s="35">
        <f t="shared" si="252"/>
        <v>2434.8000000000002</v>
      </c>
      <c r="O1154" s="7">
        <f>прил.6!P1608</f>
        <v>0</v>
      </c>
      <c r="P1154" s="35">
        <f t="shared" si="265"/>
        <v>2434.8000000000002</v>
      </c>
      <c r="Q1154" s="7">
        <f>прил.6!R1608</f>
        <v>1611</v>
      </c>
      <c r="R1154" s="35">
        <f t="shared" si="262"/>
        <v>4045.8</v>
      </c>
      <c r="S1154" s="7">
        <f>прил.6!T1608</f>
        <v>-348.5</v>
      </c>
      <c r="T1154" s="35">
        <f t="shared" si="268"/>
        <v>3697.3</v>
      </c>
    </row>
    <row r="1155" spans="1:20">
      <c r="A1155" s="61" t="str">
        <f ca="1">IF(ISERROR(MATCH(B1155,Код_КЦСР,0)),"",INDIRECT(ADDRESS(MATCH(B1155,Код_КЦСР,0)+1,2,,,"КЦСР")))</f>
        <v>Строительство детского сада № 20 в 112 мкр.</v>
      </c>
      <c r="B1155" s="55" t="s">
        <v>592</v>
      </c>
      <c r="C1155" s="8"/>
      <c r="D1155" s="1"/>
      <c r="E1155" s="104"/>
      <c r="F1155" s="7"/>
      <c r="G1155" s="7"/>
      <c r="H1155" s="35"/>
      <c r="I1155" s="7">
        <f>I1156</f>
        <v>10964.4</v>
      </c>
      <c r="J1155" s="35">
        <f t="shared" si="256"/>
        <v>10964.4</v>
      </c>
      <c r="K1155" s="7">
        <f>K1156</f>
        <v>0</v>
      </c>
      <c r="L1155" s="35">
        <f t="shared" si="251"/>
        <v>10964.4</v>
      </c>
      <c r="M1155" s="7">
        <f>M1156</f>
        <v>0</v>
      </c>
      <c r="N1155" s="35">
        <f t="shared" si="252"/>
        <v>10964.4</v>
      </c>
      <c r="O1155" s="7">
        <f>O1156</f>
        <v>0</v>
      </c>
      <c r="P1155" s="35">
        <f t="shared" si="265"/>
        <v>10964.4</v>
      </c>
      <c r="Q1155" s="7">
        <f>Q1156</f>
        <v>-6487.5</v>
      </c>
      <c r="R1155" s="35">
        <f t="shared" si="262"/>
        <v>4476.8999999999996</v>
      </c>
      <c r="S1155" s="7">
        <f>S1156</f>
        <v>-548.4</v>
      </c>
      <c r="T1155" s="35">
        <f t="shared" si="268"/>
        <v>3928.4999999999995</v>
      </c>
    </row>
    <row r="1156" spans="1:20">
      <c r="A1156" s="61" t="str">
        <f ca="1">IF(ISERROR(MATCH(C1156,Код_Раздел,0)),"",INDIRECT(ADDRESS(MATCH(C1156,Код_Раздел,0)+1,2,,,"Раздел")))</f>
        <v>Образование</v>
      </c>
      <c r="B1156" s="55" t="s">
        <v>592</v>
      </c>
      <c r="C1156" s="8" t="s">
        <v>195</v>
      </c>
      <c r="D1156" s="1"/>
      <c r="E1156" s="104"/>
      <c r="F1156" s="7"/>
      <c r="G1156" s="7"/>
      <c r="H1156" s="35"/>
      <c r="I1156" s="7">
        <f>I1157</f>
        <v>10964.4</v>
      </c>
      <c r="J1156" s="35">
        <f t="shared" si="256"/>
        <v>10964.4</v>
      </c>
      <c r="K1156" s="7">
        <f>K1157</f>
        <v>0</v>
      </c>
      <c r="L1156" s="35">
        <f t="shared" si="251"/>
        <v>10964.4</v>
      </c>
      <c r="M1156" s="7">
        <f>M1157</f>
        <v>0</v>
      </c>
      <c r="N1156" s="35">
        <f t="shared" si="252"/>
        <v>10964.4</v>
      </c>
      <c r="O1156" s="7">
        <f>O1157</f>
        <v>0</v>
      </c>
      <c r="P1156" s="35">
        <f t="shared" si="265"/>
        <v>10964.4</v>
      </c>
      <c r="Q1156" s="7">
        <f>Q1157</f>
        <v>-6487.5</v>
      </c>
      <c r="R1156" s="35">
        <f t="shared" si="262"/>
        <v>4476.8999999999996</v>
      </c>
      <c r="S1156" s="7">
        <f>S1157</f>
        <v>-548.4</v>
      </c>
      <c r="T1156" s="35">
        <f t="shared" si="268"/>
        <v>3928.4999999999995</v>
      </c>
    </row>
    <row r="1157" spans="1:20">
      <c r="A1157" s="12" t="s">
        <v>251</v>
      </c>
      <c r="B1157" s="55" t="s">
        <v>592</v>
      </c>
      <c r="C1157" s="8" t="s">
        <v>195</v>
      </c>
      <c r="D1157" s="1" t="s">
        <v>219</v>
      </c>
      <c r="E1157" s="104"/>
      <c r="F1157" s="7"/>
      <c r="G1157" s="7"/>
      <c r="H1157" s="35"/>
      <c r="I1157" s="7">
        <f>I1158</f>
        <v>10964.4</v>
      </c>
      <c r="J1157" s="35">
        <f t="shared" si="256"/>
        <v>10964.4</v>
      </c>
      <c r="K1157" s="7">
        <f>K1158</f>
        <v>0</v>
      </c>
      <c r="L1157" s="35">
        <f t="shared" ref="L1157:L1284" si="269">J1157+K1157</f>
        <v>10964.4</v>
      </c>
      <c r="M1157" s="7">
        <f>M1158</f>
        <v>0</v>
      </c>
      <c r="N1157" s="35">
        <f t="shared" ref="N1157:N1284" si="270">L1157+M1157</f>
        <v>10964.4</v>
      </c>
      <c r="O1157" s="7">
        <f>O1158</f>
        <v>0</v>
      </c>
      <c r="P1157" s="35">
        <f t="shared" si="265"/>
        <v>10964.4</v>
      </c>
      <c r="Q1157" s="7">
        <f>Q1158</f>
        <v>-6487.5</v>
      </c>
      <c r="R1157" s="35">
        <f t="shared" si="262"/>
        <v>4476.8999999999996</v>
      </c>
      <c r="S1157" s="7">
        <f>S1158</f>
        <v>-548.4</v>
      </c>
      <c r="T1157" s="35">
        <f t="shared" si="268"/>
        <v>3928.4999999999995</v>
      </c>
    </row>
    <row r="1158" spans="1:20" ht="33">
      <c r="A1158" s="61" t="str">
        <f ca="1">IF(ISERROR(MATCH(E1158,Код_КВР,0)),"",INDIRECT(ADDRESS(MATCH(E1158,Код_КВР,0)+1,2,,,"КВР")))</f>
        <v>Капитальные вложения в объекты недвижимого имущества муниципальной собственности</v>
      </c>
      <c r="B1158" s="55" t="s">
        <v>592</v>
      </c>
      <c r="C1158" s="8" t="s">
        <v>195</v>
      </c>
      <c r="D1158" s="1" t="s">
        <v>219</v>
      </c>
      <c r="E1158" s="104">
        <v>400</v>
      </c>
      <c r="F1158" s="7"/>
      <c r="G1158" s="7"/>
      <c r="H1158" s="35"/>
      <c r="I1158" s="7">
        <f>I1159</f>
        <v>10964.4</v>
      </c>
      <c r="J1158" s="35">
        <f t="shared" si="256"/>
        <v>10964.4</v>
      </c>
      <c r="K1158" s="7">
        <f>K1159</f>
        <v>0</v>
      </c>
      <c r="L1158" s="35">
        <f t="shared" si="269"/>
        <v>10964.4</v>
      </c>
      <c r="M1158" s="7">
        <f>M1159</f>
        <v>0</v>
      </c>
      <c r="N1158" s="35">
        <f t="shared" si="270"/>
        <v>10964.4</v>
      </c>
      <c r="O1158" s="7">
        <f>O1159</f>
        <v>0</v>
      </c>
      <c r="P1158" s="35">
        <f t="shared" si="265"/>
        <v>10964.4</v>
      </c>
      <c r="Q1158" s="7">
        <f>Q1159</f>
        <v>-6487.5</v>
      </c>
      <c r="R1158" s="35">
        <f t="shared" si="262"/>
        <v>4476.8999999999996</v>
      </c>
      <c r="S1158" s="7">
        <f>S1159</f>
        <v>-548.4</v>
      </c>
      <c r="T1158" s="35">
        <f t="shared" si="268"/>
        <v>3928.4999999999995</v>
      </c>
    </row>
    <row r="1159" spans="1:20">
      <c r="A1159" s="61" t="str">
        <f ca="1">IF(ISERROR(MATCH(E1159,Код_КВР,0)),"",INDIRECT(ADDRESS(MATCH(E1159,Код_КВР,0)+1,2,,,"КВР")))</f>
        <v>Бюджетные инвестиции</v>
      </c>
      <c r="B1159" s="55" t="s">
        <v>592</v>
      </c>
      <c r="C1159" s="8" t="s">
        <v>195</v>
      </c>
      <c r="D1159" s="1" t="s">
        <v>219</v>
      </c>
      <c r="E1159" s="104">
        <v>410</v>
      </c>
      <c r="F1159" s="7"/>
      <c r="G1159" s="7"/>
      <c r="H1159" s="35"/>
      <c r="I1159" s="7">
        <f>I1160</f>
        <v>10964.4</v>
      </c>
      <c r="J1159" s="35">
        <f t="shared" si="256"/>
        <v>10964.4</v>
      </c>
      <c r="K1159" s="7">
        <f>K1160</f>
        <v>0</v>
      </c>
      <c r="L1159" s="35">
        <f t="shared" si="269"/>
        <v>10964.4</v>
      </c>
      <c r="M1159" s="7">
        <f>M1160</f>
        <v>0</v>
      </c>
      <c r="N1159" s="35">
        <f t="shared" si="270"/>
        <v>10964.4</v>
      </c>
      <c r="O1159" s="7">
        <f>O1160</f>
        <v>0</v>
      </c>
      <c r="P1159" s="35">
        <f t="shared" si="265"/>
        <v>10964.4</v>
      </c>
      <c r="Q1159" s="7">
        <f>Q1160</f>
        <v>-6487.5</v>
      </c>
      <c r="R1159" s="35">
        <f t="shared" si="262"/>
        <v>4476.8999999999996</v>
      </c>
      <c r="S1159" s="7">
        <f>S1160</f>
        <v>-548.4</v>
      </c>
      <c r="T1159" s="35">
        <f t="shared" si="268"/>
        <v>3928.4999999999995</v>
      </c>
    </row>
    <row r="1160" spans="1:20" ht="33">
      <c r="A1160" s="61" t="str">
        <f ca="1">IF(ISERROR(MATCH(E1160,Код_КВР,0)),"",INDIRECT(ADDRESS(MATCH(E1160,Код_КВР,0)+1,2,,,"КВР")))</f>
        <v>Бюджетные инвестиции в объекты капитального строительства муниципальной собственности</v>
      </c>
      <c r="B1160" s="55" t="s">
        <v>592</v>
      </c>
      <c r="C1160" s="8" t="s">
        <v>195</v>
      </c>
      <c r="D1160" s="1" t="s">
        <v>219</v>
      </c>
      <c r="E1160" s="104">
        <v>414</v>
      </c>
      <c r="F1160" s="7"/>
      <c r="G1160" s="7"/>
      <c r="H1160" s="35"/>
      <c r="I1160" s="7">
        <f>прил.6!J1658</f>
        <v>10964.4</v>
      </c>
      <c r="J1160" s="35">
        <f t="shared" si="256"/>
        <v>10964.4</v>
      </c>
      <c r="K1160" s="7">
        <f>прил.6!L1658</f>
        <v>0</v>
      </c>
      <c r="L1160" s="35">
        <f t="shared" si="269"/>
        <v>10964.4</v>
      </c>
      <c r="M1160" s="7">
        <f>прил.6!N1658</f>
        <v>0</v>
      </c>
      <c r="N1160" s="35">
        <f t="shared" si="270"/>
        <v>10964.4</v>
      </c>
      <c r="O1160" s="7">
        <f>прил.6!P1658</f>
        <v>0</v>
      </c>
      <c r="P1160" s="35">
        <f t="shared" si="265"/>
        <v>10964.4</v>
      </c>
      <c r="Q1160" s="7">
        <f>прил.6!R1658</f>
        <v>-6487.5</v>
      </c>
      <c r="R1160" s="35">
        <f t="shared" si="262"/>
        <v>4476.8999999999996</v>
      </c>
      <c r="S1160" s="7">
        <f>прил.6!T1658</f>
        <v>-548.4</v>
      </c>
      <c r="T1160" s="35">
        <f t="shared" si="268"/>
        <v>3928.4999999999995</v>
      </c>
    </row>
    <row r="1161" spans="1:20" ht="36" customHeight="1">
      <c r="A1161" s="61" t="str">
        <f ca="1">IF(ISERROR(MATCH(B1161,Код_КЦСР,0)),"",INDIRECT(ADDRESS(MATCH(B1161,Код_КЦСР,0)+1,2,,,"КЦСР")))</f>
        <v>Туристско-рекреационный кластер «Центральная городская набережная»</v>
      </c>
      <c r="B1161" s="55" t="s">
        <v>622</v>
      </c>
      <c r="C1161" s="8"/>
      <c r="D1161" s="1"/>
      <c r="E1161" s="104"/>
      <c r="F1161" s="7"/>
      <c r="G1161" s="7"/>
      <c r="H1161" s="35"/>
      <c r="I1161" s="7"/>
      <c r="J1161" s="35"/>
      <c r="K1161" s="7">
        <f>K1162</f>
        <v>2500</v>
      </c>
      <c r="L1161" s="35">
        <f t="shared" si="269"/>
        <v>2500</v>
      </c>
      <c r="M1161" s="7">
        <f>M1162</f>
        <v>0</v>
      </c>
      <c r="N1161" s="35">
        <f t="shared" si="270"/>
        <v>2500</v>
      </c>
      <c r="O1161" s="7">
        <f>O1162</f>
        <v>0</v>
      </c>
      <c r="P1161" s="35">
        <f t="shared" si="265"/>
        <v>2500</v>
      </c>
      <c r="Q1161" s="7">
        <f>Q1162</f>
        <v>0</v>
      </c>
      <c r="R1161" s="35">
        <f t="shared" si="262"/>
        <v>2500</v>
      </c>
      <c r="S1161" s="7">
        <f>S1162</f>
        <v>-1274.4000000000001</v>
      </c>
      <c r="T1161" s="35">
        <f t="shared" si="268"/>
        <v>1225.5999999999999</v>
      </c>
    </row>
    <row r="1162" spans="1:20">
      <c r="A1162" s="61" t="str">
        <f ca="1">IF(ISERROR(MATCH(C1162,Код_Раздел,0)),"",INDIRECT(ADDRESS(MATCH(C1162,Код_Раздел,0)+1,2,,,"Раздел")))</f>
        <v>Жилищно-коммунальное хозяйство</v>
      </c>
      <c r="B1162" s="55" t="s">
        <v>622</v>
      </c>
      <c r="C1162" s="8" t="s">
        <v>221</v>
      </c>
      <c r="D1162" s="1"/>
      <c r="E1162" s="104"/>
      <c r="F1162" s="7"/>
      <c r="G1162" s="7"/>
      <c r="H1162" s="35"/>
      <c r="I1162" s="7"/>
      <c r="J1162" s="35"/>
      <c r="K1162" s="7">
        <f>K1163</f>
        <v>2500</v>
      </c>
      <c r="L1162" s="35">
        <f t="shared" si="269"/>
        <v>2500</v>
      </c>
      <c r="M1162" s="7">
        <f>M1163</f>
        <v>0</v>
      </c>
      <c r="N1162" s="35">
        <f t="shared" si="270"/>
        <v>2500</v>
      </c>
      <c r="O1162" s="7">
        <f>O1163</f>
        <v>0</v>
      </c>
      <c r="P1162" s="35">
        <f t="shared" si="265"/>
        <v>2500</v>
      </c>
      <c r="Q1162" s="7">
        <f>Q1163</f>
        <v>0</v>
      </c>
      <c r="R1162" s="35">
        <f t="shared" si="262"/>
        <v>2500</v>
      </c>
      <c r="S1162" s="7">
        <f>S1163</f>
        <v>-1274.4000000000001</v>
      </c>
      <c r="T1162" s="35">
        <f t="shared" si="268"/>
        <v>1225.5999999999999</v>
      </c>
    </row>
    <row r="1163" spans="1:20">
      <c r="A1163" s="12" t="s">
        <v>253</v>
      </c>
      <c r="B1163" s="55" t="s">
        <v>622</v>
      </c>
      <c r="C1163" s="8" t="s">
        <v>221</v>
      </c>
      <c r="D1163" s="8" t="s">
        <v>214</v>
      </c>
      <c r="E1163" s="104"/>
      <c r="F1163" s="7"/>
      <c r="G1163" s="7"/>
      <c r="H1163" s="35"/>
      <c r="I1163" s="7"/>
      <c r="J1163" s="35"/>
      <c r="K1163" s="7">
        <f>K1164</f>
        <v>2500</v>
      </c>
      <c r="L1163" s="35">
        <f t="shared" si="269"/>
        <v>2500</v>
      </c>
      <c r="M1163" s="7">
        <f>M1164</f>
        <v>0</v>
      </c>
      <c r="N1163" s="35">
        <f t="shared" si="270"/>
        <v>2500</v>
      </c>
      <c r="O1163" s="7">
        <f>O1164</f>
        <v>0</v>
      </c>
      <c r="P1163" s="35">
        <f t="shared" si="265"/>
        <v>2500</v>
      </c>
      <c r="Q1163" s="7">
        <f>Q1164</f>
        <v>0</v>
      </c>
      <c r="R1163" s="35">
        <f t="shared" si="262"/>
        <v>2500</v>
      </c>
      <c r="S1163" s="7">
        <f>S1164</f>
        <v>-1274.4000000000001</v>
      </c>
      <c r="T1163" s="35">
        <f t="shared" si="268"/>
        <v>1225.5999999999999</v>
      </c>
    </row>
    <row r="1164" spans="1:20" ht="33">
      <c r="A1164" s="61" t="str">
        <f ca="1">IF(ISERROR(MATCH(E1164,Код_КВР,0)),"",INDIRECT(ADDRESS(MATCH(E1164,Код_КВР,0)+1,2,,,"КВР")))</f>
        <v>Капитальные вложения в объекты недвижимого имущества муниципальной собственности</v>
      </c>
      <c r="B1164" s="55" t="s">
        <v>622</v>
      </c>
      <c r="C1164" s="8" t="s">
        <v>221</v>
      </c>
      <c r="D1164" s="8" t="s">
        <v>214</v>
      </c>
      <c r="E1164" s="104">
        <v>400</v>
      </c>
      <c r="F1164" s="7"/>
      <c r="G1164" s="7"/>
      <c r="H1164" s="35"/>
      <c r="I1164" s="7"/>
      <c r="J1164" s="35"/>
      <c r="K1164" s="7">
        <f>K1165</f>
        <v>2500</v>
      </c>
      <c r="L1164" s="35">
        <f t="shared" si="269"/>
        <v>2500</v>
      </c>
      <c r="M1164" s="7">
        <f>M1165</f>
        <v>0</v>
      </c>
      <c r="N1164" s="35">
        <f t="shared" si="270"/>
        <v>2500</v>
      </c>
      <c r="O1164" s="7">
        <f>O1165</f>
        <v>0</v>
      </c>
      <c r="P1164" s="35">
        <f t="shared" si="265"/>
        <v>2500</v>
      </c>
      <c r="Q1164" s="7">
        <f>Q1165</f>
        <v>0</v>
      </c>
      <c r="R1164" s="35">
        <f t="shared" si="262"/>
        <v>2500</v>
      </c>
      <c r="S1164" s="7">
        <f>S1165</f>
        <v>-1274.4000000000001</v>
      </c>
      <c r="T1164" s="35">
        <f t="shared" si="268"/>
        <v>1225.5999999999999</v>
      </c>
    </row>
    <row r="1165" spans="1:20">
      <c r="A1165" s="61" t="str">
        <f ca="1">IF(ISERROR(MATCH(E1165,Код_КВР,0)),"",INDIRECT(ADDRESS(MATCH(E1165,Код_КВР,0)+1,2,,,"КВР")))</f>
        <v>Бюджетные инвестиции</v>
      </c>
      <c r="B1165" s="55" t="s">
        <v>622</v>
      </c>
      <c r="C1165" s="8" t="s">
        <v>221</v>
      </c>
      <c r="D1165" s="8" t="s">
        <v>214</v>
      </c>
      <c r="E1165" s="104">
        <v>410</v>
      </c>
      <c r="F1165" s="7"/>
      <c r="G1165" s="7"/>
      <c r="H1165" s="35"/>
      <c r="I1165" s="7"/>
      <c r="J1165" s="35"/>
      <c r="K1165" s="7">
        <f>K1166</f>
        <v>2500</v>
      </c>
      <c r="L1165" s="35">
        <f t="shared" si="269"/>
        <v>2500</v>
      </c>
      <c r="M1165" s="7">
        <f>M1166</f>
        <v>0</v>
      </c>
      <c r="N1165" s="35">
        <f t="shared" si="270"/>
        <v>2500</v>
      </c>
      <c r="O1165" s="7">
        <f>O1166</f>
        <v>0</v>
      </c>
      <c r="P1165" s="35">
        <f t="shared" si="265"/>
        <v>2500</v>
      </c>
      <c r="Q1165" s="7">
        <f>Q1166</f>
        <v>0</v>
      </c>
      <c r="R1165" s="35">
        <f t="shared" si="262"/>
        <v>2500</v>
      </c>
      <c r="S1165" s="7">
        <f>S1166</f>
        <v>-1274.4000000000001</v>
      </c>
      <c r="T1165" s="35">
        <f t="shared" si="268"/>
        <v>1225.5999999999999</v>
      </c>
    </row>
    <row r="1166" spans="1:20" ht="33">
      <c r="A1166" s="61" t="str">
        <f ca="1">IF(ISERROR(MATCH(E1166,Код_КВР,0)),"",INDIRECT(ADDRESS(MATCH(E1166,Код_КВР,0)+1,2,,,"КВР")))</f>
        <v>Бюджетные инвестиции в объекты капитального строительства муниципальной собственности</v>
      </c>
      <c r="B1166" s="55" t="s">
        <v>622</v>
      </c>
      <c r="C1166" s="8" t="s">
        <v>221</v>
      </c>
      <c r="D1166" s="8" t="s">
        <v>214</v>
      </c>
      <c r="E1166" s="104">
        <v>414</v>
      </c>
      <c r="F1166" s="7"/>
      <c r="G1166" s="7"/>
      <c r="H1166" s="35"/>
      <c r="I1166" s="7"/>
      <c r="J1166" s="35"/>
      <c r="K1166" s="7">
        <f>прил.6!L1612</f>
        <v>2500</v>
      </c>
      <c r="L1166" s="35">
        <f t="shared" si="269"/>
        <v>2500</v>
      </c>
      <c r="M1166" s="7">
        <f>прил.6!N1612</f>
        <v>0</v>
      </c>
      <c r="N1166" s="35">
        <f t="shared" si="270"/>
        <v>2500</v>
      </c>
      <c r="O1166" s="7">
        <f>прил.6!P1612</f>
        <v>0</v>
      </c>
      <c r="P1166" s="35">
        <f t="shared" si="265"/>
        <v>2500</v>
      </c>
      <c r="Q1166" s="7">
        <f>прил.6!R1612</f>
        <v>0</v>
      </c>
      <c r="R1166" s="35">
        <f t="shared" si="262"/>
        <v>2500</v>
      </c>
      <c r="S1166" s="7">
        <f>прил.6!T1612</f>
        <v>-1274.4000000000001</v>
      </c>
      <c r="T1166" s="35">
        <f t="shared" si="268"/>
        <v>1225.5999999999999</v>
      </c>
    </row>
    <row r="1167" spans="1:20" ht="33">
      <c r="A1167" s="61" t="str">
        <f ca="1">IF(ISERROR(MATCH(B1167,Код_КЦСР,0)),"",INDIRECT(ADDRESS(MATCH(B1167,Код_КЦСР,0)+1,2,,,"КЦСР")))</f>
        <v>Строительство средней общеобразовательной школы № 24 в 112 мкр.</v>
      </c>
      <c r="B1167" s="55" t="s">
        <v>648</v>
      </c>
      <c r="C1167" s="8"/>
      <c r="D1167" s="1"/>
      <c r="E1167" s="116"/>
      <c r="F1167" s="7"/>
      <c r="G1167" s="7"/>
      <c r="H1167" s="35"/>
      <c r="I1167" s="7"/>
      <c r="J1167" s="35"/>
      <c r="K1167" s="7"/>
      <c r="L1167" s="35"/>
      <c r="M1167" s="7"/>
      <c r="N1167" s="35"/>
      <c r="O1167" s="7"/>
      <c r="P1167" s="35"/>
      <c r="Q1167" s="7">
        <f>Q1168</f>
        <v>1289.7</v>
      </c>
      <c r="R1167" s="35">
        <f t="shared" si="262"/>
        <v>1289.7</v>
      </c>
      <c r="S1167" s="7">
        <f>S1168</f>
        <v>-541</v>
      </c>
      <c r="T1167" s="35">
        <f t="shared" si="268"/>
        <v>748.7</v>
      </c>
    </row>
    <row r="1168" spans="1:20">
      <c r="A1168" s="61" t="str">
        <f ca="1">IF(ISERROR(MATCH(C1168,Код_Раздел,0)),"",INDIRECT(ADDRESS(MATCH(C1168,Код_Раздел,0)+1,2,,,"Раздел")))</f>
        <v>Образование</v>
      </c>
      <c r="B1168" s="55" t="s">
        <v>648</v>
      </c>
      <c r="C1168" s="8" t="s">
        <v>195</v>
      </c>
      <c r="D1168" s="1"/>
      <c r="E1168" s="116"/>
      <c r="F1168" s="7"/>
      <c r="G1168" s="7"/>
      <c r="H1168" s="35"/>
      <c r="I1168" s="7"/>
      <c r="J1168" s="35"/>
      <c r="K1168" s="7"/>
      <c r="L1168" s="35"/>
      <c r="M1168" s="7"/>
      <c r="N1168" s="35"/>
      <c r="O1168" s="7"/>
      <c r="P1168" s="35"/>
      <c r="Q1168" s="7">
        <f>Q1169</f>
        <v>1289.7</v>
      </c>
      <c r="R1168" s="35">
        <f t="shared" si="262"/>
        <v>1289.7</v>
      </c>
      <c r="S1168" s="7">
        <f>S1169</f>
        <v>-541</v>
      </c>
      <c r="T1168" s="35">
        <f t="shared" si="268"/>
        <v>748.7</v>
      </c>
    </row>
    <row r="1169" spans="1:20">
      <c r="A1169" s="12" t="s">
        <v>251</v>
      </c>
      <c r="B1169" s="55" t="s">
        <v>648</v>
      </c>
      <c r="C1169" s="8" t="s">
        <v>195</v>
      </c>
      <c r="D1169" s="8" t="s">
        <v>219</v>
      </c>
      <c r="E1169" s="116"/>
      <c r="F1169" s="7"/>
      <c r="G1169" s="7"/>
      <c r="H1169" s="35"/>
      <c r="I1169" s="7"/>
      <c r="J1169" s="35"/>
      <c r="K1169" s="7"/>
      <c r="L1169" s="35"/>
      <c r="M1169" s="7"/>
      <c r="N1169" s="35"/>
      <c r="O1169" s="7"/>
      <c r="P1169" s="35"/>
      <c r="Q1169" s="7">
        <f>Q1170</f>
        <v>1289.7</v>
      </c>
      <c r="R1169" s="35">
        <f t="shared" si="262"/>
        <v>1289.7</v>
      </c>
      <c r="S1169" s="7">
        <f>S1170</f>
        <v>-541</v>
      </c>
      <c r="T1169" s="35">
        <f t="shared" si="268"/>
        <v>748.7</v>
      </c>
    </row>
    <row r="1170" spans="1:20" ht="33">
      <c r="A1170" s="61" t="str">
        <f ca="1">IF(ISERROR(MATCH(E1170,Код_КВР,0)),"",INDIRECT(ADDRESS(MATCH(E1170,Код_КВР,0)+1,2,,,"КВР")))</f>
        <v>Капитальные вложения в объекты недвижимого имущества муниципальной собственности</v>
      </c>
      <c r="B1170" s="55" t="s">
        <v>648</v>
      </c>
      <c r="C1170" s="8" t="s">
        <v>195</v>
      </c>
      <c r="D1170" s="8" t="s">
        <v>219</v>
      </c>
      <c r="E1170" s="116">
        <v>400</v>
      </c>
      <c r="F1170" s="7"/>
      <c r="G1170" s="7"/>
      <c r="H1170" s="35"/>
      <c r="I1170" s="7"/>
      <c r="J1170" s="35"/>
      <c r="K1170" s="7"/>
      <c r="L1170" s="35"/>
      <c r="M1170" s="7"/>
      <c r="N1170" s="35"/>
      <c r="O1170" s="7"/>
      <c r="P1170" s="35"/>
      <c r="Q1170" s="7">
        <f>Q1171</f>
        <v>1289.7</v>
      </c>
      <c r="R1170" s="35">
        <f t="shared" si="262"/>
        <v>1289.7</v>
      </c>
      <c r="S1170" s="7">
        <f>S1171</f>
        <v>-541</v>
      </c>
      <c r="T1170" s="35">
        <f t="shared" si="268"/>
        <v>748.7</v>
      </c>
    </row>
    <row r="1171" spans="1:20">
      <c r="A1171" s="61" t="str">
        <f ca="1">IF(ISERROR(MATCH(E1171,Код_КВР,0)),"",INDIRECT(ADDRESS(MATCH(E1171,Код_КВР,0)+1,2,,,"КВР")))</f>
        <v>Бюджетные инвестиции</v>
      </c>
      <c r="B1171" s="55" t="s">
        <v>648</v>
      </c>
      <c r="C1171" s="8" t="s">
        <v>195</v>
      </c>
      <c r="D1171" s="8" t="s">
        <v>219</v>
      </c>
      <c r="E1171" s="116">
        <v>410</v>
      </c>
      <c r="F1171" s="7"/>
      <c r="G1171" s="7"/>
      <c r="H1171" s="35"/>
      <c r="I1171" s="7"/>
      <c r="J1171" s="35"/>
      <c r="K1171" s="7"/>
      <c r="L1171" s="35"/>
      <c r="M1171" s="7"/>
      <c r="N1171" s="35"/>
      <c r="O1171" s="7"/>
      <c r="P1171" s="35"/>
      <c r="Q1171" s="7">
        <f>Q1172</f>
        <v>1289.7</v>
      </c>
      <c r="R1171" s="35">
        <f t="shared" si="262"/>
        <v>1289.7</v>
      </c>
      <c r="S1171" s="7">
        <f>S1172</f>
        <v>-541</v>
      </c>
      <c r="T1171" s="35">
        <f t="shared" si="268"/>
        <v>748.7</v>
      </c>
    </row>
    <row r="1172" spans="1:20" ht="33">
      <c r="A1172" s="61" t="str">
        <f ca="1">IF(ISERROR(MATCH(E1172,Код_КВР,0)),"",INDIRECT(ADDRESS(MATCH(E1172,Код_КВР,0)+1,2,,,"КВР")))</f>
        <v>Бюджетные инвестиции в объекты капитального строительства муниципальной собственности</v>
      </c>
      <c r="B1172" s="55" t="s">
        <v>648</v>
      </c>
      <c r="C1172" s="8" t="s">
        <v>195</v>
      </c>
      <c r="D1172" s="8" t="s">
        <v>219</v>
      </c>
      <c r="E1172" s="116">
        <v>414</v>
      </c>
      <c r="F1172" s="7"/>
      <c r="G1172" s="7"/>
      <c r="H1172" s="35"/>
      <c r="I1172" s="7"/>
      <c r="J1172" s="35"/>
      <c r="K1172" s="7"/>
      <c r="L1172" s="35"/>
      <c r="M1172" s="7"/>
      <c r="N1172" s="35"/>
      <c r="O1172" s="7"/>
      <c r="P1172" s="35"/>
      <c r="Q1172" s="7">
        <f>прил.6!R1662</f>
        <v>1289.7</v>
      </c>
      <c r="R1172" s="35">
        <f t="shared" si="262"/>
        <v>1289.7</v>
      </c>
      <c r="S1172" s="7">
        <f>прил.6!T1662</f>
        <v>-541</v>
      </c>
      <c r="T1172" s="35">
        <f t="shared" si="268"/>
        <v>748.7</v>
      </c>
    </row>
    <row r="1173" spans="1:20" ht="33">
      <c r="A1173" s="61" t="str">
        <f ca="1">IF(ISERROR(MATCH(B1173,Код_КЦСР,0)),"",INDIRECT(ADDRESS(MATCH(B1173,Код_КЦСР,0)+1,2,,,"КЦСР")))</f>
        <v>Реконструкция Октябрьского проспекта на участке от Октябрьского моста до ул. Любецкой</v>
      </c>
      <c r="B1173" s="55" t="s">
        <v>650</v>
      </c>
      <c r="C1173" s="8"/>
      <c r="D1173" s="1"/>
      <c r="E1173" s="116"/>
      <c r="F1173" s="7"/>
      <c r="G1173" s="7"/>
      <c r="H1173" s="35"/>
      <c r="I1173" s="7"/>
      <c r="J1173" s="35"/>
      <c r="K1173" s="7"/>
      <c r="L1173" s="35"/>
      <c r="M1173" s="7"/>
      <c r="N1173" s="35"/>
      <c r="O1173" s="7"/>
      <c r="P1173" s="35"/>
      <c r="Q1173" s="7">
        <f>Q1174</f>
        <v>1944</v>
      </c>
      <c r="R1173" s="35">
        <f t="shared" si="262"/>
        <v>1944</v>
      </c>
      <c r="S1173" s="7">
        <f>S1174</f>
        <v>-1063.9000000000001</v>
      </c>
      <c r="T1173" s="35">
        <f t="shared" si="268"/>
        <v>880.09999999999991</v>
      </c>
    </row>
    <row r="1174" spans="1:20">
      <c r="A1174" s="61" t="str">
        <f ca="1">IF(ISERROR(MATCH(C1174,Код_Раздел,0)),"",INDIRECT(ADDRESS(MATCH(C1174,Код_Раздел,0)+1,2,,,"Раздел")))</f>
        <v>Национальная экономика</v>
      </c>
      <c r="B1174" s="55" t="s">
        <v>650</v>
      </c>
      <c r="C1174" s="8" t="s">
        <v>216</v>
      </c>
      <c r="D1174" s="1"/>
      <c r="E1174" s="116"/>
      <c r="F1174" s="7"/>
      <c r="G1174" s="7"/>
      <c r="H1174" s="35"/>
      <c r="I1174" s="7"/>
      <c r="J1174" s="35"/>
      <c r="K1174" s="7"/>
      <c r="L1174" s="35"/>
      <c r="M1174" s="7"/>
      <c r="N1174" s="35"/>
      <c r="O1174" s="7"/>
      <c r="P1174" s="35"/>
      <c r="Q1174" s="7">
        <f>Q1175</f>
        <v>1944</v>
      </c>
      <c r="R1174" s="35">
        <f t="shared" si="262"/>
        <v>1944</v>
      </c>
      <c r="S1174" s="7">
        <f>S1175</f>
        <v>-1063.9000000000001</v>
      </c>
      <c r="T1174" s="35">
        <f t="shared" si="268"/>
        <v>880.09999999999991</v>
      </c>
    </row>
    <row r="1175" spans="1:20">
      <c r="A1175" s="77" t="s">
        <v>180</v>
      </c>
      <c r="B1175" s="55" t="s">
        <v>650</v>
      </c>
      <c r="C1175" s="8" t="s">
        <v>216</v>
      </c>
      <c r="D1175" s="8" t="s">
        <v>219</v>
      </c>
      <c r="E1175" s="116"/>
      <c r="F1175" s="7"/>
      <c r="G1175" s="7"/>
      <c r="H1175" s="35"/>
      <c r="I1175" s="7"/>
      <c r="J1175" s="35"/>
      <c r="K1175" s="7"/>
      <c r="L1175" s="35"/>
      <c r="M1175" s="7"/>
      <c r="N1175" s="35"/>
      <c r="O1175" s="7"/>
      <c r="P1175" s="35"/>
      <c r="Q1175" s="7">
        <f>Q1176</f>
        <v>1944</v>
      </c>
      <c r="R1175" s="35">
        <f t="shared" si="262"/>
        <v>1944</v>
      </c>
      <c r="S1175" s="7">
        <f>S1176</f>
        <v>-1063.9000000000001</v>
      </c>
      <c r="T1175" s="35">
        <f t="shared" si="268"/>
        <v>880.09999999999991</v>
      </c>
    </row>
    <row r="1176" spans="1:20" ht="33">
      <c r="A1176" s="61" t="str">
        <f ca="1">IF(ISERROR(MATCH(E1176,Код_КВР,0)),"",INDIRECT(ADDRESS(MATCH(E1176,Код_КВР,0)+1,2,,,"КВР")))</f>
        <v>Капитальные вложения в объекты недвижимого имущества муниципальной собственности</v>
      </c>
      <c r="B1176" s="55" t="s">
        <v>650</v>
      </c>
      <c r="C1176" s="8" t="s">
        <v>216</v>
      </c>
      <c r="D1176" s="8" t="s">
        <v>219</v>
      </c>
      <c r="E1176" s="116">
        <v>400</v>
      </c>
      <c r="F1176" s="7"/>
      <c r="G1176" s="7"/>
      <c r="H1176" s="35"/>
      <c r="I1176" s="7"/>
      <c r="J1176" s="35"/>
      <c r="K1176" s="7"/>
      <c r="L1176" s="35"/>
      <c r="M1176" s="7"/>
      <c r="N1176" s="35"/>
      <c r="O1176" s="7"/>
      <c r="P1176" s="35"/>
      <c r="Q1176" s="7">
        <f>Q1177</f>
        <v>1944</v>
      </c>
      <c r="R1176" s="35">
        <f t="shared" si="262"/>
        <v>1944</v>
      </c>
      <c r="S1176" s="7">
        <f>S1177</f>
        <v>-1063.9000000000001</v>
      </c>
      <c r="T1176" s="35">
        <f t="shared" si="268"/>
        <v>880.09999999999991</v>
      </c>
    </row>
    <row r="1177" spans="1:20">
      <c r="A1177" s="61" t="str">
        <f ca="1">IF(ISERROR(MATCH(E1177,Код_КВР,0)),"",INDIRECT(ADDRESS(MATCH(E1177,Код_КВР,0)+1,2,,,"КВР")))</f>
        <v>Бюджетные инвестиции</v>
      </c>
      <c r="B1177" s="55" t="s">
        <v>650</v>
      </c>
      <c r="C1177" s="8" t="s">
        <v>216</v>
      </c>
      <c r="D1177" s="8" t="s">
        <v>219</v>
      </c>
      <c r="E1177" s="116">
        <v>410</v>
      </c>
      <c r="F1177" s="7"/>
      <c r="G1177" s="7"/>
      <c r="H1177" s="35"/>
      <c r="I1177" s="7"/>
      <c r="J1177" s="35"/>
      <c r="K1177" s="7"/>
      <c r="L1177" s="35"/>
      <c r="M1177" s="7"/>
      <c r="N1177" s="35"/>
      <c r="O1177" s="7"/>
      <c r="P1177" s="35"/>
      <c r="Q1177" s="7">
        <f>Q1178</f>
        <v>1944</v>
      </c>
      <c r="R1177" s="35">
        <f t="shared" si="262"/>
        <v>1944</v>
      </c>
      <c r="S1177" s="7">
        <f>S1178</f>
        <v>-1063.9000000000001</v>
      </c>
      <c r="T1177" s="35">
        <f t="shared" si="268"/>
        <v>880.09999999999991</v>
      </c>
    </row>
    <row r="1178" spans="1:20" ht="33">
      <c r="A1178" s="61" t="str">
        <f ca="1">IF(ISERROR(MATCH(E1178,Код_КВР,0)),"",INDIRECT(ADDRESS(MATCH(E1178,Код_КВР,0)+1,2,,,"КВР")))</f>
        <v>Бюджетные инвестиции в объекты капитального строительства муниципальной собственности</v>
      </c>
      <c r="B1178" s="55" t="s">
        <v>650</v>
      </c>
      <c r="C1178" s="8" t="s">
        <v>216</v>
      </c>
      <c r="D1178" s="8" t="s">
        <v>219</v>
      </c>
      <c r="E1178" s="116">
        <v>414</v>
      </c>
      <c r="F1178" s="7"/>
      <c r="G1178" s="7"/>
      <c r="H1178" s="35"/>
      <c r="I1178" s="7"/>
      <c r="J1178" s="35"/>
      <c r="K1178" s="7"/>
      <c r="L1178" s="35"/>
      <c r="M1178" s="7"/>
      <c r="N1178" s="35"/>
      <c r="O1178" s="7"/>
      <c r="P1178" s="35"/>
      <c r="Q1178" s="7">
        <f>прил.6!R1526</f>
        <v>1944</v>
      </c>
      <c r="R1178" s="35">
        <f t="shared" si="262"/>
        <v>1944</v>
      </c>
      <c r="S1178" s="7">
        <f>прил.6!T1526</f>
        <v>-1063.9000000000001</v>
      </c>
      <c r="T1178" s="35">
        <f t="shared" si="268"/>
        <v>880.09999999999991</v>
      </c>
    </row>
    <row r="1179" spans="1:20" ht="21" customHeight="1">
      <c r="A1179" s="61" t="str">
        <f ca="1">IF(ISERROR(MATCH(B1179,Код_КЦСР,0)),"",INDIRECT(ADDRESS(MATCH(B1179,Код_КЦСР,0)+1,2,,,"КЦСР")))</f>
        <v>Реконструкция пр. Строителей</v>
      </c>
      <c r="B1179" s="55" t="s">
        <v>652</v>
      </c>
      <c r="C1179" s="8"/>
      <c r="D1179" s="1"/>
      <c r="E1179" s="116"/>
      <c r="F1179" s="7"/>
      <c r="G1179" s="7"/>
      <c r="H1179" s="35"/>
      <c r="I1179" s="7"/>
      <c r="J1179" s="35"/>
      <c r="K1179" s="7"/>
      <c r="L1179" s="35"/>
      <c r="M1179" s="7"/>
      <c r="N1179" s="35"/>
      <c r="O1179" s="7"/>
      <c r="P1179" s="35"/>
      <c r="Q1179" s="7">
        <f>Q1180</f>
        <v>585.4</v>
      </c>
      <c r="R1179" s="35">
        <f t="shared" si="262"/>
        <v>585.4</v>
      </c>
      <c r="S1179" s="7">
        <f>S1180</f>
        <v>-322.2</v>
      </c>
      <c r="T1179" s="35">
        <f t="shared" si="268"/>
        <v>263.2</v>
      </c>
    </row>
    <row r="1180" spans="1:20">
      <c r="A1180" s="61" t="str">
        <f ca="1">IF(ISERROR(MATCH(C1180,Код_Раздел,0)),"",INDIRECT(ADDRESS(MATCH(C1180,Код_Раздел,0)+1,2,,,"Раздел")))</f>
        <v>Национальная экономика</v>
      </c>
      <c r="B1180" s="55" t="s">
        <v>652</v>
      </c>
      <c r="C1180" s="8" t="s">
        <v>216</v>
      </c>
      <c r="D1180" s="1"/>
      <c r="E1180" s="116"/>
      <c r="F1180" s="7"/>
      <c r="G1180" s="7"/>
      <c r="H1180" s="35"/>
      <c r="I1180" s="7"/>
      <c r="J1180" s="35"/>
      <c r="K1180" s="7"/>
      <c r="L1180" s="35"/>
      <c r="M1180" s="7"/>
      <c r="N1180" s="35"/>
      <c r="O1180" s="7"/>
      <c r="P1180" s="35"/>
      <c r="Q1180" s="7">
        <f>Q1181</f>
        <v>585.4</v>
      </c>
      <c r="R1180" s="35">
        <f t="shared" si="262"/>
        <v>585.4</v>
      </c>
      <c r="S1180" s="7">
        <f>S1181</f>
        <v>-322.2</v>
      </c>
      <c r="T1180" s="35">
        <f t="shared" si="268"/>
        <v>263.2</v>
      </c>
    </row>
    <row r="1181" spans="1:20">
      <c r="A1181" s="77" t="s">
        <v>180</v>
      </c>
      <c r="B1181" s="55" t="s">
        <v>652</v>
      </c>
      <c r="C1181" s="8" t="s">
        <v>216</v>
      </c>
      <c r="D1181" s="8" t="s">
        <v>219</v>
      </c>
      <c r="E1181" s="116"/>
      <c r="F1181" s="7"/>
      <c r="G1181" s="7"/>
      <c r="H1181" s="35"/>
      <c r="I1181" s="7"/>
      <c r="J1181" s="35"/>
      <c r="K1181" s="7"/>
      <c r="L1181" s="35"/>
      <c r="M1181" s="7"/>
      <c r="N1181" s="35"/>
      <c r="O1181" s="7"/>
      <c r="P1181" s="35"/>
      <c r="Q1181" s="7">
        <f>Q1182</f>
        <v>585.4</v>
      </c>
      <c r="R1181" s="35">
        <f t="shared" si="262"/>
        <v>585.4</v>
      </c>
      <c r="S1181" s="7">
        <f>S1182</f>
        <v>-322.2</v>
      </c>
      <c r="T1181" s="35">
        <f t="shared" si="268"/>
        <v>263.2</v>
      </c>
    </row>
    <row r="1182" spans="1:20" ht="33">
      <c r="A1182" s="61" t="str">
        <f ca="1">IF(ISERROR(MATCH(E1182,Код_КВР,0)),"",INDIRECT(ADDRESS(MATCH(E1182,Код_КВР,0)+1,2,,,"КВР")))</f>
        <v>Капитальные вложения в объекты недвижимого имущества муниципальной собственности</v>
      </c>
      <c r="B1182" s="55" t="s">
        <v>652</v>
      </c>
      <c r="C1182" s="8" t="s">
        <v>216</v>
      </c>
      <c r="D1182" s="8" t="s">
        <v>219</v>
      </c>
      <c r="E1182" s="116">
        <v>400</v>
      </c>
      <c r="F1182" s="7"/>
      <c r="G1182" s="7"/>
      <c r="H1182" s="35"/>
      <c r="I1182" s="7"/>
      <c r="J1182" s="35"/>
      <c r="K1182" s="7"/>
      <c r="L1182" s="35"/>
      <c r="M1182" s="7"/>
      <c r="N1182" s="35"/>
      <c r="O1182" s="7"/>
      <c r="P1182" s="35"/>
      <c r="Q1182" s="7">
        <f>Q1183</f>
        <v>585.4</v>
      </c>
      <c r="R1182" s="35">
        <f t="shared" si="262"/>
        <v>585.4</v>
      </c>
      <c r="S1182" s="7">
        <f>S1183</f>
        <v>-322.2</v>
      </c>
      <c r="T1182" s="35">
        <f t="shared" si="268"/>
        <v>263.2</v>
      </c>
    </row>
    <row r="1183" spans="1:20">
      <c r="A1183" s="61" t="str">
        <f ca="1">IF(ISERROR(MATCH(E1183,Код_КВР,0)),"",INDIRECT(ADDRESS(MATCH(E1183,Код_КВР,0)+1,2,,,"КВР")))</f>
        <v>Бюджетные инвестиции</v>
      </c>
      <c r="B1183" s="55" t="s">
        <v>652</v>
      </c>
      <c r="C1183" s="8" t="s">
        <v>216</v>
      </c>
      <c r="D1183" s="8" t="s">
        <v>219</v>
      </c>
      <c r="E1183" s="116">
        <v>410</v>
      </c>
      <c r="F1183" s="7"/>
      <c r="G1183" s="7"/>
      <c r="H1183" s="35"/>
      <c r="I1183" s="7"/>
      <c r="J1183" s="35"/>
      <c r="K1183" s="7"/>
      <c r="L1183" s="35"/>
      <c r="M1183" s="7"/>
      <c r="N1183" s="35"/>
      <c r="O1183" s="7"/>
      <c r="P1183" s="35"/>
      <c r="Q1183" s="7">
        <f>Q1184</f>
        <v>585.4</v>
      </c>
      <c r="R1183" s="35">
        <f t="shared" si="262"/>
        <v>585.4</v>
      </c>
      <c r="S1183" s="7">
        <f>S1184</f>
        <v>-322.2</v>
      </c>
      <c r="T1183" s="35">
        <f t="shared" si="268"/>
        <v>263.2</v>
      </c>
    </row>
    <row r="1184" spans="1:20" ht="33">
      <c r="A1184" s="61" t="str">
        <f ca="1">IF(ISERROR(MATCH(E1184,Код_КВР,0)),"",INDIRECT(ADDRESS(MATCH(E1184,Код_КВР,0)+1,2,,,"КВР")))</f>
        <v>Бюджетные инвестиции в объекты капитального строительства муниципальной собственности</v>
      </c>
      <c r="B1184" s="55" t="s">
        <v>652</v>
      </c>
      <c r="C1184" s="8" t="s">
        <v>216</v>
      </c>
      <c r="D1184" s="8" t="s">
        <v>219</v>
      </c>
      <c r="E1184" s="116">
        <v>414</v>
      </c>
      <c r="F1184" s="7"/>
      <c r="G1184" s="7"/>
      <c r="H1184" s="35"/>
      <c r="I1184" s="7"/>
      <c r="J1184" s="35"/>
      <c r="K1184" s="7"/>
      <c r="L1184" s="35"/>
      <c r="M1184" s="7"/>
      <c r="N1184" s="35"/>
      <c r="O1184" s="7"/>
      <c r="P1184" s="35"/>
      <c r="Q1184" s="7">
        <f>прил.6!R1530</f>
        <v>585.4</v>
      </c>
      <c r="R1184" s="35">
        <f t="shared" si="262"/>
        <v>585.4</v>
      </c>
      <c r="S1184" s="7">
        <f>прил.6!T1530</f>
        <v>-322.2</v>
      </c>
      <c r="T1184" s="35">
        <f t="shared" si="268"/>
        <v>263.2</v>
      </c>
    </row>
    <row r="1185" spans="1:20">
      <c r="A1185" s="61" t="str">
        <f ca="1">IF(ISERROR(MATCH(B1185,Код_КЦСР,0)),"",INDIRECT(ADDRESS(MATCH(B1185,Код_КЦСР,0)+1,2,,,"КЦСР")))</f>
        <v>Реконструкция ул. Мамлеева</v>
      </c>
      <c r="B1185" s="55" t="s">
        <v>654</v>
      </c>
      <c r="C1185" s="8"/>
      <c r="D1185" s="1"/>
      <c r="E1185" s="116"/>
      <c r="F1185" s="7"/>
      <c r="G1185" s="7"/>
      <c r="H1185" s="35"/>
      <c r="I1185" s="7"/>
      <c r="J1185" s="35"/>
      <c r="K1185" s="7"/>
      <c r="L1185" s="35"/>
      <c r="M1185" s="7"/>
      <c r="N1185" s="35"/>
      <c r="O1185" s="7"/>
      <c r="P1185" s="35"/>
      <c r="Q1185" s="7">
        <f>Q1186</f>
        <v>524.70000000000005</v>
      </c>
      <c r="R1185" s="35">
        <f t="shared" si="262"/>
        <v>524.70000000000005</v>
      </c>
      <c r="S1185" s="7">
        <f>S1186</f>
        <v>-130.69999999999999</v>
      </c>
      <c r="T1185" s="35">
        <f t="shared" si="268"/>
        <v>394.00000000000006</v>
      </c>
    </row>
    <row r="1186" spans="1:20">
      <c r="A1186" s="61" t="str">
        <f ca="1">IF(ISERROR(MATCH(C1186,Код_Раздел,0)),"",INDIRECT(ADDRESS(MATCH(C1186,Код_Раздел,0)+1,2,,,"Раздел")))</f>
        <v>Национальная экономика</v>
      </c>
      <c r="B1186" s="55" t="s">
        <v>654</v>
      </c>
      <c r="C1186" s="8" t="s">
        <v>216</v>
      </c>
      <c r="D1186" s="1"/>
      <c r="E1186" s="116"/>
      <c r="F1186" s="7"/>
      <c r="G1186" s="7"/>
      <c r="H1186" s="35"/>
      <c r="I1186" s="7"/>
      <c r="J1186" s="35"/>
      <c r="K1186" s="7"/>
      <c r="L1186" s="35"/>
      <c r="M1186" s="7"/>
      <c r="N1186" s="35"/>
      <c r="O1186" s="7"/>
      <c r="P1186" s="35"/>
      <c r="Q1186" s="7">
        <f>Q1187</f>
        <v>524.70000000000005</v>
      </c>
      <c r="R1186" s="35">
        <f t="shared" si="262"/>
        <v>524.70000000000005</v>
      </c>
      <c r="S1186" s="7">
        <f>S1187</f>
        <v>-130.69999999999999</v>
      </c>
      <c r="T1186" s="35">
        <f t="shared" si="268"/>
        <v>394.00000000000006</v>
      </c>
    </row>
    <row r="1187" spans="1:20">
      <c r="A1187" s="77" t="s">
        <v>180</v>
      </c>
      <c r="B1187" s="55" t="s">
        <v>654</v>
      </c>
      <c r="C1187" s="8" t="s">
        <v>216</v>
      </c>
      <c r="D1187" s="8" t="s">
        <v>219</v>
      </c>
      <c r="E1187" s="116"/>
      <c r="F1187" s="7"/>
      <c r="G1187" s="7"/>
      <c r="H1187" s="35"/>
      <c r="I1187" s="7"/>
      <c r="J1187" s="35"/>
      <c r="K1187" s="7"/>
      <c r="L1187" s="35"/>
      <c r="M1187" s="7"/>
      <c r="N1187" s="35"/>
      <c r="O1187" s="7"/>
      <c r="P1187" s="35"/>
      <c r="Q1187" s="7">
        <f>Q1188</f>
        <v>524.70000000000005</v>
      </c>
      <c r="R1187" s="35">
        <f t="shared" si="262"/>
        <v>524.70000000000005</v>
      </c>
      <c r="S1187" s="7">
        <f>S1188</f>
        <v>-130.69999999999999</v>
      </c>
      <c r="T1187" s="35">
        <f t="shared" si="268"/>
        <v>394.00000000000006</v>
      </c>
    </row>
    <row r="1188" spans="1:20" ht="33">
      <c r="A1188" s="61" t="str">
        <f ca="1">IF(ISERROR(MATCH(E1188,Код_КВР,0)),"",INDIRECT(ADDRESS(MATCH(E1188,Код_КВР,0)+1,2,,,"КВР")))</f>
        <v>Капитальные вложения в объекты недвижимого имущества муниципальной собственности</v>
      </c>
      <c r="B1188" s="55" t="s">
        <v>654</v>
      </c>
      <c r="C1188" s="8" t="s">
        <v>216</v>
      </c>
      <c r="D1188" s="8" t="s">
        <v>219</v>
      </c>
      <c r="E1188" s="116">
        <v>400</v>
      </c>
      <c r="F1188" s="7"/>
      <c r="G1188" s="7"/>
      <c r="H1188" s="35"/>
      <c r="I1188" s="7"/>
      <c r="J1188" s="35"/>
      <c r="K1188" s="7"/>
      <c r="L1188" s="35"/>
      <c r="M1188" s="7"/>
      <c r="N1188" s="35"/>
      <c r="O1188" s="7"/>
      <c r="P1188" s="35"/>
      <c r="Q1188" s="7">
        <f>Q1189</f>
        <v>524.70000000000005</v>
      </c>
      <c r="R1188" s="35">
        <f t="shared" si="262"/>
        <v>524.70000000000005</v>
      </c>
      <c r="S1188" s="7">
        <f>S1189</f>
        <v>-130.69999999999999</v>
      </c>
      <c r="T1188" s="35">
        <f t="shared" si="268"/>
        <v>394.00000000000006</v>
      </c>
    </row>
    <row r="1189" spans="1:20">
      <c r="A1189" s="61" t="str">
        <f ca="1">IF(ISERROR(MATCH(E1189,Код_КВР,0)),"",INDIRECT(ADDRESS(MATCH(E1189,Код_КВР,0)+1,2,,,"КВР")))</f>
        <v>Бюджетные инвестиции</v>
      </c>
      <c r="B1189" s="55" t="s">
        <v>654</v>
      </c>
      <c r="C1189" s="8" t="s">
        <v>216</v>
      </c>
      <c r="D1189" s="8" t="s">
        <v>219</v>
      </c>
      <c r="E1189" s="116">
        <v>410</v>
      </c>
      <c r="F1189" s="7"/>
      <c r="G1189" s="7"/>
      <c r="H1189" s="35"/>
      <c r="I1189" s="7"/>
      <c r="J1189" s="35"/>
      <c r="K1189" s="7"/>
      <c r="L1189" s="35"/>
      <c r="M1189" s="7"/>
      <c r="N1189" s="35"/>
      <c r="O1189" s="7"/>
      <c r="P1189" s="35"/>
      <c r="Q1189" s="7">
        <f>Q1190</f>
        <v>524.70000000000005</v>
      </c>
      <c r="R1189" s="35">
        <f t="shared" si="262"/>
        <v>524.70000000000005</v>
      </c>
      <c r="S1189" s="7">
        <f>S1190</f>
        <v>-130.69999999999999</v>
      </c>
      <c r="T1189" s="35">
        <f t="shared" si="268"/>
        <v>394.00000000000006</v>
      </c>
    </row>
    <row r="1190" spans="1:20" ht="33">
      <c r="A1190" s="61" t="str">
        <f ca="1">IF(ISERROR(MATCH(E1190,Код_КВР,0)),"",INDIRECT(ADDRESS(MATCH(E1190,Код_КВР,0)+1,2,,,"КВР")))</f>
        <v>Бюджетные инвестиции в объекты капитального строительства муниципальной собственности</v>
      </c>
      <c r="B1190" s="55" t="s">
        <v>654</v>
      </c>
      <c r="C1190" s="8" t="s">
        <v>216</v>
      </c>
      <c r="D1190" s="8" t="s">
        <v>219</v>
      </c>
      <c r="E1190" s="116">
        <v>414</v>
      </c>
      <c r="F1190" s="7"/>
      <c r="G1190" s="7"/>
      <c r="H1190" s="35"/>
      <c r="I1190" s="7"/>
      <c r="J1190" s="35"/>
      <c r="K1190" s="7"/>
      <c r="L1190" s="35"/>
      <c r="M1190" s="7"/>
      <c r="N1190" s="35"/>
      <c r="O1190" s="7"/>
      <c r="P1190" s="35"/>
      <c r="Q1190" s="7">
        <f>прил.6!R1534</f>
        <v>524.70000000000005</v>
      </c>
      <c r="R1190" s="35">
        <f t="shared" si="262"/>
        <v>524.70000000000005</v>
      </c>
      <c r="S1190" s="7">
        <f>прил.6!T1534</f>
        <v>-130.69999999999999</v>
      </c>
      <c r="T1190" s="35">
        <f t="shared" si="268"/>
        <v>394.00000000000006</v>
      </c>
    </row>
    <row r="1191" spans="1:20">
      <c r="A1191" s="61" t="str">
        <f ca="1">IF(ISERROR(MATCH(B1191,Код_КЦСР,0)),"",INDIRECT(ADDRESS(MATCH(B1191,Код_КЦСР,0)+1,2,,,"КЦСР")))</f>
        <v>Реконструкция ул. Данилова</v>
      </c>
      <c r="B1191" s="55" t="s">
        <v>656</v>
      </c>
      <c r="C1191" s="8"/>
      <c r="D1191" s="1"/>
      <c r="E1191" s="116"/>
      <c r="F1191" s="7"/>
      <c r="G1191" s="7"/>
      <c r="H1191" s="35"/>
      <c r="I1191" s="7"/>
      <c r="J1191" s="35"/>
      <c r="K1191" s="7"/>
      <c r="L1191" s="35"/>
      <c r="M1191" s="7"/>
      <c r="N1191" s="35"/>
      <c r="O1191" s="7"/>
      <c r="P1191" s="35"/>
      <c r="Q1191" s="7">
        <f>Q1192</f>
        <v>518.4</v>
      </c>
      <c r="R1191" s="35">
        <f t="shared" si="262"/>
        <v>518.4</v>
      </c>
      <c r="S1191" s="7">
        <f>S1192</f>
        <v>-191</v>
      </c>
      <c r="T1191" s="35">
        <f t="shared" si="268"/>
        <v>327.39999999999998</v>
      </c>
    </row>
    <row r="1192" spans="1:20">
      <c r="A1192" s="61" t="str">
        <f ca="1">IF(ISERROR(MATCH(C1192,Код_Раздел,0)),"",INDIRECT(ADDRESS(MATCH(C1192,Код_Раздел,0)+1,2,,,"Раздел")))</f>
        <v>Национальная экономика</v>
      </c>
      <c r="B1192" s="55" t="s">
        <v>656</v>
      </c>
      <c r="C1192" s="8" t="s">
        <v>216</v>
      </c>
      <c r="D1192" s="1"/>
      <c r="E1192" s="116"/>
      <c r="F1192" s="7"/>
      <c r="G1192" s="7"/>
      <c r="H1192" s="35"/>
      <c r="I1192" s="7"/>
      <c r="J1192" s="35"/>
      <c r="K1192" s="7"/>
      <c r="L1192" s="35"/>
      <c r="M1192" s="7"/>
      <c r="N1192" s="35"/>
      <c r="O1192" s="7"/>
      <c r="P1192" s="35"/>
      <c r="Q1192" s="7">
        <f>Q1193</f>
        <v>518.4</v>
      </c>
      <c r="R1192" s="35">
        <f t="shared" si="262"/>
        <v>518.4</v>
      </c>
      <c r="S1192" s="7">
        <f>S1193</f>
        <v>-191</v>
      </c>
      <c r="T1192" s="35">
        <f t="shared" si="268"/>
        <v>327.39999999999998</v>
      </c>
    </row>
    <row r="1193" spans="1:20">
      <c r="A1193" s="77" t="s">
        <v>180</v>
      </c>
      <c r="B1193" s="55" t="s">
        <v>656</v>
      </c>
      <c r="C1193" s="8" t="s">
        <v>216</v>
      </c>
      <c r="D1193" s="8" t="s">
        <v>219</v>
      </c>
      <c r="E1193" s="116"/>
      <c r="F1193" s="7"/>
      <c r="G1193" s="7"/>
      <c r="H1193" s="35"/>
      <c r="I1193" s="7"/>
      <c r="J1193" s="35"/>
      <c r="K1193" s="7"/>
      <c r="L1193" s="35"/>
      <c r="M1193" s="7"/>
      <c r="N1193" s="35"/>
      <c r="O1193" s="7"/>
      <c r="P1193" s="35"/>
      <c r="Q1193" s="7">
        <f>Q1194</f>
        <v>518.4</v>
      </c>
      <c r="R1193" s="35">
        <f t="shared" si="262"/>
        <v>518.4</v>
      </c>
      <c r="S1193" s="7">
        <f>S1194</f>
        <v>-191</v>
      </c>
      <c r="T1193" s="35">
        <f t="shared" si="268"/>
        <v>327.39999999999998</v>
      </c>
    </row>
    <row r="1194" spans="1:20" ht="33">
      <c r="A1194" s="61" t="str">
        <f ca="1">IF(ISERROR(MATCH(E1194,Код_КВР,0)),"",INDIRECT(ADDRESS(MATCH(E1194,Код_КВР,0)+1,2,,,"КВР")))</f>
        <v>Капитальные вложения в объекты недвижимого имущества муниципальной собственности</v>
      </c>
      <c r="B1194" s="55" t="s">
        <v>656</v>
      </c>
      <c r="C1194" s="8" t="s">
        <v>216</v>
      </c>
      <c r="D1194" s="8" t="s">
        <v>219</v>
      </c>
      <c r="E1194" s="116">
        <v>400</v>
      </c>
      <c r="F1194" s="7"/>
      <c r="G1194" s="7"/>
      <c r="H1194" s="35"/>
      <c r="I1194" s="7"/>
      <c r="J1194" s="35"/>
      <c r="K1194" s="7"/>
      <c r="L1194" s="35"/>
      <c r="M1194" s="7"/>
      <c r="N1194" s="35"/>
      <c r="O1194" s="7"/>
      <c r="P1194" s="35"/>
      <c r="Q1194" s="7">
        <f>Q1195</f>
        <v>518.4</v>
      </c>
      <c r="R1194" s="35">
        <f t="shared" si="262"/>
        <v>518.4</v>
      </c>
      <c r="S1194" s="7">
        <f>S1195</f>
        <v>-191</v>
      </c>
      <c r="T1194" s="35">
        <f t="shared" si="268"/>
        <v>327.39999999999998</v>
      </c>
    </row>
    <row r="1195" spans="1:20">
      <c r="A1195" s="61" t="str">
        <f ca="1">IF(ISERROR(MATCH(E1195,Код_КВР,0)),"",INDIRECT(ADDRESS(MATCH(E1195,Код_КВР,0)+1,2,,,"КВР")))</f>
        <v>Бюджетные инвестиции</v>
      </c>
      <c r="B1195" s="55" t="s">
        <v>656</v>
      </c>
      <c r="C1195" s="8" t="s">
        <v>216</v>
      </c>
      <c r="D1195" s="8" t="s">
        <v>219</v>
      </c>
      <c r="E1195" s="116">
        <v>410</v>
      </c>
      <c r="F1195" s="7"/>
      <c r="G1195" s="7"/>
      <c r="H1195" s="35"/>
      <c r="I1195" s="7"/>
      <c r="J1195" s="35"/>
      <c r="K1195" s="7"/>
      <c r="L1195" s="35"/>
      <c r="M1195" s="7"/>
      <c r="N1195" s="35"/>
      <c r="O1195" s="7"/>
      <c r="P1195" s="35"/>
      <c r="Q1195" s="7">
        <f>Q1196</f>
        <v>518.4</v>
      </c>
      <c r="R1195" s="35">
        <f t="shared" si="262"/>
        <v>518.4</v>
      </c>
      <c r="S1195" s="7">
        <f>S1196</f>
        <v>-191</v>
      </c>
      <c r="T1195" s="35">
        <f t="shared" si="268"/>
        <v>327.39999999999998</v>
      </c>
    </row>
    <row r="1196" spans="1:20" ht="33">
      <c r="A1196" s="61" t="str">
        <f ca="1">IF(ISERROR(MATCH(E1196,Код_КВР,0)),"",INDIRECT(ADDRESS(MATCH(E1196,Код_КВР,0)+1,2,,,"КВР")))</f>
        <v>Бюджетные инвестиции в объекты капитального строительства муниципальной собственности</v>
      </c>
      <c r="B1196" s="55" t="s">
        <v>656</v>
      </c>
      <c r="C1196" s="8" t="s">
        <v>216</v>
      </c>
      <c r="D1196" s="8" t="s">
        <v>219</v>
      </c>
      <c r="E1196" s="116">
        <v>414</v>
      </c>
      <c r="F1196" s="7"/>
      <c r="G1196" s="7"/>
      <c r="H1196" s="35"/>
      <c r="I1196" s="7"/>
      <c r="J1196" s="35"/>
      <c r="K1196" s="7"/>
      <c r="L1196" s="35"/>
      <c r="M1196" s="7"/>
      <c r="N1196" s="35"/>
      <c r="O1196" s="7"/>
      <c r="P1196" s="35"/>
      <c r="Q1196" s="7">
        <f>прил.6!R1538</f>
        <v>518.4</v>
      </c>
      <c r="R1196" s="35">
        <f t="shared" si="262"/>
        <v>518.4</v>
      </c>
      <c r="S1196" s="7">
        <f>прил.6!T1538</f>
        <v>-191</v>
      </c>
      <c r="T1196" s="35">
        <f t="shared" si="268"/>
        <v>327.39999999999998</v>
      </c>
    </row>
    <row r="1197" spans="1:20">
      <c r="A1197" s="61" t="str">
        <f ca="1">IF(ISERROR(MATCH(B1197,Код_КЦСР,0)),"",INDIRECT(ADDRESS(MATCH(B1197,Код_КЦСР,0)+1,2,,,"КЦСР")))</f>
        <v>Капитальный ремонт  объектов муниципальной собственности</v>
      </c>
      <c r="B1197" s="45" t="s">
        <v>77</v>
      </c>
      <c r="C1197" s="8"/>
      <c r="D1197" s="1"/>
      <c r="E1197" s="104"/>
      <c r="F1197" s="7">
        <f>F1198+F1213</f>
        <v>47796</v>
      </c>
      <c r="G1197" s="7">
        <f>G1198+G1213</f>
        <v>0</v>
      </c>
      <c r="H1197" s="35">
        <f t="shared" si="258"/>
        <v>47796</v>
      </c>
      <c r="I1197" s="7">
        <f>I1198+I1203+I1213</f>
        <v>594.6</v>
      </c>
      <c r="J1197" s="35">
        <f t="shared" si="256"/>
        <v>48390.6</v>
      </c>
      <c r="K1197" s="7">
        <f>K1198+K1203+K1213+K1222</f>
        <v>1712.9</v>
      </c>
      <c r="L1197" s="35">
        <f t="shared" si="269"/>
        <v>50103.5</v>
      </c>
      <c r="M1197" s="7">
        <f>M1198+M1203+M1213+M1222</f>
        <v>0</v>
      </c>
      <c r="N1197" s="35">
        <f t="shared" si="270"/>
        <v>50103.5</v>
      </c>
      <c r="O1197" s="7">
        <f>O1198+O1203+O1213+O1222</f>
        <v>0</v>
      </c>
      <c r="P1197" s="35">
        <f t="shared" si="265"/>
        <v>50103.5</v>
      </c>
      <c r="Q1197" s="7">
        <f>Q1198+Q1203+Q1213+Q1222+Q1208</f>
        <v>-8577.1</v>
      </c>
      <c r="R1197" s="35">
        <f t="shared" si="262"/>
        <v>41526.400000000001</v>
      </c>
      <c r="S1197" s="7">
        <f>S1198+S1203+S1213+S1222+S1208</f>
        <v>-3994.5</v>
      </c>
      <c r="T1197" s="35">
        <f t="shared" si="268"/>
        <v>37531.9</v>
      </c>
    </row>
    <row r="1198" spans="1:20">
      <c r="A1198" s="61" t="str">
        <f ca="1">IF(ISERROR(MATCH(C1198,Код_Раздел,0)),"",INDIRECT(ADDRESS(MATCH(C1198,Код_Раздел,0)+1,2,,,"Раздел")))</f>
        <v>Общегосударственные  вопросы</v>
      </c>
      <c r="B1198" s="45" t="s">
        <v>77</v>
      </c>
      <c r="C1198" s="8" t="s">
        <v>213</v>
      </c>
      <c r="D1198" s="1"/>
      <c r="E1198" s="104"/>
      <c r="F1198" s="7">
        <f t="shared" ref="F1198:S1201" si="271">F1199</f>
        <v>10110.9</v>
      </c>
      <c r="G1198" s="7">
        <f t="shared" si="271"/>
        <v>0</v>
      </c>
      <c r="H1198" s="35">
        <f t="shared" si="258"/>
        <v>10110.9</v>
      </c>
      <c r="I1198" s="7">
        <f t="shared" si="271"/>
        <v>0</v>
      </c>
      <c r="J1198" s="35">
        <f t="shared" si="256"/>
        <v>10110.9</v>
      </c>
      <c r="K1198" s="7">
        <f t="shared" si="271"/>
        <v>0</v>
      </c>
      <c r="L1198" s="35">
        <f t="shared" si="269"/>
        <v>10110.9</v>
      </c>
      <c r="M1198" s="7">
        <f t="shared" si="271"/>
        <v>0</v>
      </c>
      <c r="N1198" s="35">
        <f t="shared" si="270"/>
        <v>10110.9</v>
      </c>
      <c r="O1198" s="7">
        <f t="shared" si="271"/>
        <v>0</v>
      </c>
      <c r="P1198" s="35">
        <f t="shared" si="265"/>
        <v>10110.9</v>
      </c>
      <c r="Q1198" s="7">
        <f t="shared" si="271"/>
        <v>0</v>
      </c>
      <c r="R1198" s="35">
        <f t="shared" si="262"/>
        <v>10110.9</v>
      </c>
      <c r="S1198" s="7">
        <f t="shared" si="271"/>
        <v>-2086.1</v>
      </c>
      <c r="T1198" s="35">
        <f t="shared" si="268"/>
        <v>8024.7999999999993</v>
      </c>
    </row>
    <row r="1199" spans="1:20">
      <c r="A1199" s="12" t="s">
        <v>237</v>
      </c>
      <c r="B1199" s="45" t="s">
        <v>77</v>
      </c>
      <c r="C1199" s="8" t="s">
        <v>213</v>
      </c>
      <c r="D1199" s="1" t="s">
        <v>190</v>
      </c>
      <c r="E1199" s="104"/>
      <c r="F1199" s="7">
        <f t="shared" si="271"/>
        <v>10110.9</v>
      </c>
      <c r="G1199" s="7">
        <f t="shared" si="271"/>
        <v>0</v>
      </c>
      <c r="H1199" s="35">
        <f t="shared" si="258"/>
        <v>10110.9</v>
      </c>
      <c r="I1199" s="7">
        <f t="shared" si="271"/>
        <v>0</v>
      </c>
      <c r="J1199" s="35">
        <f t="shared" si="256"/>
        <v>10110.9</v>
      </c>
      <c r="K1199" s="7">
        <f t="shared" si="271"/>
        <v>0</v>
      </c>
      <c r="L1199" s="35">
        <f t="shared" si="269"/>
        <v>10110.9</v>
      </c>
      <c r="M1199" s="7">
        <f t="shared" si="271"/>
        <v>0</v>
      </c>
      <c r="N1199" s="35">
        <f t="shared" si="270"/>
        <v>10110.9</v>
      </c>
      <c r="O1199" s="7">
        <f t="shared" si="271"/>
        <v>0</v>
      </c>
      <c r="P1199" s="35">
        <f t="shared" si="265"/>
        <v>10110.9</v>
      </c>
      <c r="Q1199" s="7">
        <f t="shared" si="271"/>
        <v>0</v>
      </c>
      <c r="R1199" s="35">
        <f t="shared" si="262"/>
        <v>10110.9</v>
      </c>
      <c r="S1199" s="7">
        <f t="shared" si="271"/>
        <v>-2086.1</v>
      </c>
      <c r="T1199" s="35">
        <f t="shared" si="268"/>
        <v>8024.7999999999993</v>
      </c>
    </row>
    <row r="1200" spans="1:20">
      <c r="A1200" s="61" t="str">
        <f ca="1">IF(ISERROR(MATCH(E1200,Код_КВР,0)),"",INDIRECT(ADDRESS(MATCH(E1200,Код_КВР,0)+1,2,,,"КВР")))</f>
        <v>Закупка товаров, работ и услуг для муниципальных нужд</v>
      </c>
      <c r="B1200" s="45" t="s">
        <v>77</v>
      </c>
      <c r="C1200" s="8" t="s">
        <v>213</v>
      </c>
      <c r="D1200" s="1" t="s">
        <v>190</v>
      </c>
      <c r="E1200" s="104">
        <v>200</v>
      </c>
      <c r="F1200" s="7">
        <f t="shared" si="271"/>
        <v>10110.9</v>
      </c>
      <c r="G1200" s="7">
        <f t="shared" si="271"/>
        <v>0</v>
      </c>
      <c r="H1200" s="35">
        <f t="shared" si="258"/>
        <v>10110.9</v>
      </c>
      <c r="I1200" s="7">
        <f t="shared" si="271"/>
        <v>0</v>
      </c>
      <c r="J1200" s="35">
        <f t="shared" si="256"/>
        <v>10110.9</v>
      </c>
      <c r="K1200" s="7">
        <f t="shared" si="271"/>
        <v>0</v>
      </c>
      <c r="L1200" s="35">
        <f t="shared" si="269"/>
        <v>10110.9</v>
      </c>
      <c r="M1200" s="7">
        <f t="shared" si="271"/>
        <v>0</v>
      </c>
      <c r="N1200" s="35">
        <f t="shared" si="270"/>
        <v>10110.9</v>
      </c>
      <c r="O1200" s="7">
        <f t="shared" si="271"/>
        <v>0</v>
      </c>
      <c r="P1200" s="35">
        <f t="shared" si="265"/>
        <v>10110.9</v>
      </c>
      <c r="Q1200" s="7">
        <f t="shared" si="271"/>
        <v>0</v>
      </c>
      <c r="R1200" s="35">
        <f t="shared" si="262"/>
        <v>10110.9</v>
      </c>
      <c r="S1200" s="7">
        <f t="shared" si="271"/>
        <v>-2086.1</v>
      </c>
      <c r="T1200" s="35">
        <f t="shared" si="268"/>
        <v>8024.7999999999993</v>
      </c>
    </row>
    <row r="1201" spans="1:20" ht="33">
      <c r="A1201" s="61" t="str">
        <f ca="1">IF(ISERROR(MATCH(E1201,Код_КВР,0)),"",INDIRECT(ADDRESS(MATCH(E1201,Код_КВР,0)+1,2,,,"КВР")))</f>
        <v>Иные закупки товаров, работ и услуг для обеспечения муниципальных нужд</v>
      </c>
      <c r="B1201" s="45" t="s">
        <v>77</v>
      </c>
      <c r="C1201" s="8" t="s">
        <v>213</v>
      </c>
      <c r="D1201" s="1" t="s">
        <v>190</v>
      </c>
      <c r="E1201" s="104">
        <v>240</v>
      </c>
      <c r="F1201" s="7">
        <f t="shared" si="271"/>
        <v>10110.9</v>
      </c>
      <c r="G1201" s="7">
        <f t="shared" si="271"/>
        <v>0</v>
      </c>
      <c r="H1201" s="35">
        <f t="shared" si="258"/>
        <v>10110.9</v>
      </c>
      <c r="I1201" s="7">
        <f t="shared" si="271"/>
        <v>0</v>
      </c>
      <c r="J1201" s="35">
        <f t="shared" si="256"/>
        <v>10110.9</v>
      </c>
      <c r="K1201" s="7">
        <f t="shared" si="271"/>
        <v>0</v>
      </c>
      <c r="L1201" s="35">
        <f t="shared" si="269"/>
        <v>10110.9</v>
      </c>
      <c r="M1201" s="7">
        <f t="shared" si="271"/>
        <v>0</v>
      </c>
      <c r="N1201" s="35">
        <f t="shared" si="270"/>
        <v>10110.9</v>
      </c>
      <c r="O1201" s="7">
        <f t="shared" si="271"/>
        <v>0</v>
      </c>
      <c r="P1201" s="35">
        <f t="shared" si="265"/>
        <v>10110.9</v>
      </c>
      <c r="Q1201" s="7">
        <f t="shared" si="271"/>
        <v>0</v>
      </c>
      <c r="R1201" s="35">
        <f t="shared" si="262"/>
        <v>10110.9</v>
      </c>
      <c r="S1201" s="7">
        <f t="shared" si="271"/>
        <v>-2086.1</v>
      </c>
      <c r="T1201" s="35">
        <f t="shared" si="268"/>
        <v>8024.7999999999993</v>
      </c>
    </row>
    <row r="1202" spans="1:20" ht="33">
      <c r="A1202" s="61" t="str">
        <f ca="1">IF(ISERROR(MATCH(E1202,Код_КВР,0)),"",INDIRECT(ADDRESS(MATCH(E1202,Код_КВР,0)+1,2,,,"КВР")))</f>
        <v>Закупка товаров, работ, услуг в целях капитального ремонта муниципального имущества</v>
      </c>
      <c r="B1202" s="45" t="s">
        <v>77</v>
      </c>
      <c r="C1202" s="8" t="s">
        <v>213</v>
      </c>
      <c r="D1202" s="1" t="s">
        <v>190</v>
      </c>
      <c r="E1202" s="104">
        <v>243</v>
      </c>
      <c r="F1202" s="7">
        <f>прил.6!G1499</f>
        <v>10110.9</v>
      </c>
      <c r="G1202" s="7">
        <f>прил.6!H1499</f>
        <v>0</v>
      </c>
      <c r="H1202" s="35">
        <f t="shared" si="258"/>
        <v>10110.9</v>
      </c>
      <c r="I1202" s="7">
        <f>прил.6!J1499</f>
        <v>0</v>
      </c>
      <c r="J1202" s="35">
        <f t="shared" si="256"/>
        <v>10110.9</v>
      </c>
      <c r="K1202" s="7">
        <f>прил.6!L1499</f>
        <v>0</v>
      </c>
      <c r="L1202" s="35">
        <f t="shared" si="269"/>
        <v>10110.9</v>
      </c>
      <c r="M1202" s="7">
        <f>прил.6!N1499</f>
        <v>0</v>
      </c>
      <c r="N1202" s="35">
        <f t="shared" si="270"/>
        <v>10110.9</v>
      </c>
      <c r="O1202" s="7">
        <f>прил.6!P1499</f>
        <v>0</v>
      </c>
      <c r="P1202" s="35">
        <f t="shared" si="265"/>
        <v>10110.9</v>
      </c>
      <c r="Q1202" s="7">
        <f>прил.6!R1499</f>
        <v>0</v>
      </c>
      <c r="R1202" s="35">
        <f t="shared" si="262"/>
        <v>10110.9</v>
      </c>
      <c r="S1202" s="7">
        <f>прил.6!T1499</f>
        <v>-2086.1</v>
      </c>
      <c r="T1202" s="35">
        <f t="shared" si="268"/>
        <v>8024.7999999999993</v>
      </c>
    </row>
    <row r="1203" spans="1:20">
      <c r="A1203" s="61" t="str">
        <f ca="1">IF(ISERROR(MATCH(C1203,Код_Раздел,0)),"",INDIRECT(ADDRESS(MATCH(C1203,Код_Раздел,0)+1,2,,,"Раздел")))</f>
        <v>Национальная экономика</v>
      </c>
      <c r="B1203" s="45" t="s">
        <v>77</v>
      </c>
      <c r="C1203" s="8" t="s">
        <v>216</v>
      </c>
      <c r="D1203" s="1"/>
      <c r="E1203" s="104"/>
      <c r="F1203" s="7"/>
      <c r="G1203" s="7"/>
      <c r="H1203" s="35"/>
      <c r="I1203" s="7">
        <f>I1204</f>
        <v>594.6</v>
      </c>
      <c r="J1203" s="35">
        <f t="shared" si="256"/>
        <v>594.6</v>
      </c>
      <c r="K1203" s="7">
        <f>K1204</f>
        <v>0</v>
      </c>
      <c r="L1203" s="35">
        <f t="shared" si="269"/>
        <v>594.6</v>
      </c>
      <c r="M1203" s="7">
        <f>M1204</f>
        <v>0</v>
      </c>
      <c r="N1203" s="35">
        <f t="shared" si="270"/>
        <v>594.6</v>
      </c>
      <c r="O1203" s="7">
        <f>O1204</f>
        <v>0</v>
      </c>
      <c r="P1203" s="35">
        <f t="shared" si="265"/>
        <v>594.6</v>
      </c>
      <c r="Q1203" s="7">
        <f>Q1204</f>
        <v>-118.7</v>
      </c>
      <c r="R1203" s="35">
        <f t="shared" si="262"/>
        <v>475.90000000000003</v>
      </c>
      <c r="S1203" s="7">
        <f>S1204</f>
        <v>0</v>
      </c>
      <c r="T1203" s="35">
        <f t="shared" si="268"/>
        <v>475.90000000000003</v>
      </c>
    </row>
    <row r="1204" spans="1:20">
      <c r="A1204" s="12" t="s">
        <v>223</v>
      </c>
      <c r="B1204" s="45" t="s">
        <v>77</v>
      </c>
      <c r="C1204" s="8" t="s">
        <v>216</v>
      </c>
      <c r="D1204" s="1" t="s">
        <v>196</v>
      </c>
      <c r="E1204" s="104"/>
      <c r="F1204" s="7"/>
      <c r="G1204" s="7"/>
      <c r="H1204" s="35"/>
      <c r="I1204" s="7">
        <f>I1205</f>
        <v>594.6</v>
      </c>
      <c r="J1204" s="35">
        <f t="shared" si="256"/>
        <v>594.6</v>
      </c>
      <c r="K1204" s="7">
        <f>K1205</f>
        <v>0</v>
      </c>
      <c r="L1204" s="35">
        <f t="shared" si="269"/>
        <v>594.6</v>
      </c>
      <c r="M1204" s="7">
        <f>M1205</f>
        <v>0</v>
      </c>
      <c r="N1204" s="35">
        <f t="shared" si="270"/>
        <v>594.6</v>
      </c>
      <c r="O1204" s="7">
        <f>O1205</f>
        <v>0</v>
      </c>
      <c r="P1204" s="35">
        <f t="shared" si="265"/>
        <v>594.6</v>
      </c>
      <c r="Q1204" s="7">
        <f>Q1205</f>
        <v>-118.7</v>
      </c>
      <c r="R1204" s="35">
        <f t="shared" si="262"/>
        <v>475.90000000000003</v>
      </c>
      <c r="S1204" s="7">
        <f>S1205</f>
        <v>0</v>
      </c>
      <c r="T1204" s="35">
        <f t="shared" si="268"/>
        <v>475.90000000000003</v>
      </c>
    </row>
    <row r="1205" spans="1:20">
      <c r="A1205" s="61" t="str">
        <f ca="1">IF(ISERROR(MATCH(E1205,Код_КВР,0)),"",INDIRECT(ADDRESS(MATCH(E1205,Код_КВР,0)+1,2,,,"КВР")))</f>
        <v>Закупка товаров, работ и услуг для муниципальных нужд</v>
      </c>
      <c r="B1205" s="45" t="s">
        <v>77</v>
      </c>
      <c r="C1205" s="8" t="s">
        <v>216</v>
      </c>
      <c r="D1205" s="1" t="s">
        <v>196</v>
      </c>
      <c r="E1205" s="104">
        <v>200</v>
      </c>
      <c r="F1205" s="7"/>
      <c r="G1205" s="7"/>
      <c r="H1205" s="35"/>
      <c r="I1205" s="7">
        <f>I1206</f>
        <v>594.6</v>
      </c>
      <c r="J1205" s="35">
        <f t="shared" si="256"/>
        <v>594.6</v>
      </c>
      <c r="K1205" s="7">
        <f>K1206</f>
        <v>0</v>
      </c>
      <c r="L1205" s="35">
        <f t="shared" si="269"/>
        <v>594.6</v>
      </c>
      <c r="M1205" s="7">
        <f>M1206</f>
        <v>0</v>
      </c>
      <c r="N1205" s="35">
        <f t="shared" si="270"/>
        <v>594.6</v>
      </c>
      <c r="O1205" s="7">
        <f>O1206</f>
        <v>0</v>
      </c>
      <c r="P1205" s="35">
        <f t="shared" si="265"/>
        <v>594.6</v>
      </c>
      <c r="Q1205" s="7">
        <f>Q1206</f>
        <v>-118.7</v>
      </c>
      <c r="R1205" s="35">
        <f t="shared" si="262"/>
        <v>475.90000000000003</v>
      </c>
      <c r="S1205" s="7">
        <f>S1206</f>
        <v>0</v>
      </c>
      <c r="T1205" s="35">
        <f t="shared" si="268"/>
        <v>475.90000000000003</v>
      </c>
    </row>
    <row r="1206" spans="1:20" ht="33">
      <c r="A1206" s="61" t="str">
        <f ca="1">IF(ISERROR(MATCH(E1206,Код_КВР,0)),"",INDIRECT(ADDRESS(MATCH(E1206,Код_КВР,0)+1,2,,,"КВР")))</f>
        <v>Иные закупки товаров, работ и услуг для обеспечения муниципальных нужд</v>
      </c>
      <c r="B1206" s="45" t="s">
        <v>77</v>
      </c>
      <c r="C1206" s="8" t="s">
        <v>216</v>
      </c>
      <c r="D1206" s="1" t="s">
        <v>196</v>
      </c>
      <c r="E1206" s="104">
        <v>240</v>
      </c>
      <c r="F1206" s="7"/>
      <c r="G1206" s="7"/>
      <c r="H1206" s="35"/>
      <c r="I1206" s="7">
        <f>I1207</f>
        <v>594.6</v>
      </c>
      <c r="J1206" s="35">
        <f t="shared" si="256"/>
        <v>594.6</v>
      </c>
      <c r="K1206" s="7">
        <f>K1207</f>
        <v>0</v>
      </c>
      <c r="L1206" s="35">
        <f t="shared" si="269"/>
        <v>594.6</v>
      </c>
      <c r="M1206" s="7">
        <f>M1207</f>
        <v>0</v>
      </c>
      <c r="N1206" s="35">
        <f t="shared" si="270"/>
        <v>594.6</v>
      </c>
      <c r="O1206" s="7">
        <f>O1207</f>
        <v>0</v>
      </c>
      <c r="P1206" s="35">
        <f t="shared" si="265"/>
        <v>594.6</v>
      </c>
      <c r="Q1206" s="7">
        <f>Q1207</f>
        <v>-118.7</v>
      </c>
      <c r="R1206" s="35">
        <f t="shared" si="262"/>
        <v>475.90000000000003</v>
      </c>
      <c r="S1206" s="7">
        <f>S1207</f>
        <v>0</v>
      </c>
      <c r="T1206" s="35">
        <f t="shared" si="268"/>
        <v>475.90000000000003</v>
      </c>
    </row>
    <row r="1207" spans="1:20" ht="33">
      <c r="A1207" s="61" t="str">
        <f ca="1">IF(ISERROR(MATCH(E1207,Код_КВР,0)),"",INDIRECT(ADDRESS(MATCH(E1207,Код_КВР,0)+1,2,,,"КВР")))</f>
        <v>Закупка товаров, работ, услуг в целях капитального ремонта муниципального имущества</v>
      </c>
      <c r="B1207" s="45" t="s">
        <v>77</v>
      </c>
      <c r="C1207" s="8" t="s">
        <v>216</v>
      </c>
      <c r="D1207" s="1" t="s">
        <v>196</v>
      </c>
      <c r="E1207" s="104">
        <v>243</v>
      </c>
      <c r="F1207" s="7"/>
      <c r="G1207" s="7"/>
      <c r="H1207" s="35"/>
      <c r="I1207" s="7">
        <f>прил.6!J1565</f>
        <v>594.6</v>
      </c>
      <c r="J1207" s="35">
        <f t="shared" si="256"/>
        <v>594.6</v>
      </c>
      <c r="K1207" s="7">
        <f>прил.6!L1565</f>
        <v>0</v>
      </c>
      <c r="L1207" s="35">
        <f t="shared" si="269"/>
        <v>594.6</v>
      </c>
      <c r="M1207" s="7">
        <f>прил.6!N1565</f>
        <v>0</v>
      </c>
      <c r="N1207" s="35">
        <f t="shared" si="270"/>
        <v>594.6</v>
      </c>
      <c r="O1207" s="7">
        <f>прил.6!P1565</f>
        <v>0</v>
      </c>
      <c r="P1207" s="35">
        <f t="shared" si="265"/>
        <v>594.6</v>
      </c>
      <c r="Q1207" s="7">
        <f>прил.6!R1565</f>
        <v>-118.7</v>
      </c>
      <c r="R1207" s="35">
        <f t="shared" si="262"/>
        <v>475.90000000000003</v>
      </c>
      <c r="S1207" s="7">
        <f>прил.6!T1565</f>
        <v>0</v>
      </c>
      <c r="T1207" s="35">
        <f t="shared" si="268"/>
        <v>475.90000000000003</v>
      </c>
    </row>
    <row r="1208" spans="1:20">
      <c r="A1208" s="61" t="str">
        <f ca="1">IF(ISERROR(MATCH(C1208,Код_Раздел,0)),"",INDIRECT(ADDRESS(MATCH(C1208,Код_Раздел,0)+1,2,,,"Раздел")))</f>
        <v>Жилищно-коммунальное хозяйство</v>
      </c>
      <c r="B1208" s="45" t="s">
        <v>77</v>
      </c>
      <c r="C1208" s="8" t="s">
        <v>221</v>
      </c>
      <c r="D1208" s="1"/>
      <c r="E1208" s="116"/>
      <c r="F1208" s="7"/>
      <c r="G1208" s="7"/>
      <c r="H1208" s="35"/>
      <c r="I1208" s="7"/>
      <c r="J1208" s="35"/>
      <c r="K1208" s="7"/>
      <c r="L1208" s="35"/>
      <c r="M1208" s="7"/>
      <c r="N1208" s="35"/>
      <c r="O1208" s="7"/>
      <c r="P1208" s="35"/>
      <c r="Q1208" s="7">
        <f>Q1209</f>
        <v>186.4</v>
      </c>
      <c r="R1208" s="35">
        <f t="shared" si="262"/>
        <v>186.4</v>
      </c>
      <c r="S1208" s="7">
        <f>S1209</f>
        <v>0</v>
      </c>
      <c r="T1208" s="35">
        <f t="shared" si="268"/>
        <v>186.4</v>
      </c>
    </row>
    <row r="1209" spans="1:20">
      <c r="A1209" s="12" t="s">
        <v>226</v>
      </c>
      <c r="B1209" s="45" t="s">
        <v>77</v>
      </c>
      <c r="C1209" s="8" t="s">
        <v>221</v>
      </c>
      <c r="D1209" s="1" t="s">
        <v>213</v>
      </c>
      <c r="E1209" s="116"/>
      <c r="F1209" s="7"/>
      <c r="G1209" s="7"/>
      <c r="H1209" s="35"/>
      <c r="I1209" s="7"/>
      <c r="J1209" s="35"/>
      <c r="K1209" s="7"/>
      <c r="L1209" s="35"/>
      <c r="M1209" s="7"/>
      <c r="N1209" s="35"/>
      <c r="O1209" s="7"/>
      <c r="P1209" s="35"/>
      <c r="Q1209" s="7">
        <f>Q1210</f>
        <v>186.4</v>
      </c>
      <c r="R1209" s="35">
        <f t="shared" si="262"/>
        <v>186.4</v>
      </c>
      <c r="S1209" s="7">
        <f>S1210</f>
        <v>0</v>
      </c>
      <c r="T1209" s="35">
        <f t="shared" si="268"/>
        <v>186.4</v>
      </c>
    </row>
    <row r="1210" spans="1:20">
      <c r="A1210" s="61" t="str">
        <f ca="1">IF(ISERROR(MATCH(E1210,Код_КВР,0)),"",INDIRECT(ADDRESS(MATCH(E1210,Код_КВР,0)+1,2,,,"КВР")))</f>
        <v>Закупка товаров, работ и услуг для муниципальных нужд</v>
      </c>
      <c r="B1210" s="45" t="s">
        <v>77</v>
      </c>
      <c r="C1210" s="8" t="s">
        <v>221</v>
      </c>
      <c r="D1210" s="1" t="s">
        <v>213</v>
      </c>
      <c r="E1210" s="116">
        <v>200</v>
      </c>
      <c r="F1210" s="7"/>
      <c r="G1210" s="7"/>
      <c r="H1210" s="35"/>
      <c r="I1210" s="7"/>
      <c r="J1210" s="35"/>
      <c r="K1210" s="7"/>
      <c r="L1210" s="35"/>
      <c r="M1210" s="7"/>
      <c r="N1210" s="35"/>
      <c r="O1210" s="7"/>
      <c r="P1210" s="35"/>
      <c r="Q1210" s="7">
        <f>Q1211</f>
        <v>186.4</v>
      </c>
      <c r="R1210" s="35">
        <f t="shared" si="262"/>
        <v>186.4</v>
      </c>
      <c r="S1210" s="7">
        <f>S1211</f>
        <v>0</v>
      </c>
      <c r="T1210" s="35">
        <f t="shared" si="268"/>
        <v>186.4</v>
      </c>
    </row>
    <row r="1211" spans="1:20" ht="33">
      <c r="A1211" s="61" t="str">
        <f ca="1">IF(ISERROR(MATCH(E1211,Код_КВР,0)),"",INDIRECT(ADDRESS(MATCH(E1211,Код_КВР,0)+1,2,,,"КВР")))</f>
        <v>Иные закупки товаров, работ и услуг для обеспечения муниципальных нужд</v>
      </c>
      <c r="B1211" s="45" t="s">
        <v>77</v>
      </c>
      <c r="C1211" s="8" t="s">
        <v>221</v>
      </c>
      <c r="D1211" s="1" t="s">
        <v>213</v>
      </c>
      <c r="E1211" s="116">
        <v>240</v>
      </c>
      <c r="F1211" s="7"/>
      <c r="G1211" s="7"/>
      <c r="H1211" s="35"/>
      <c r="I1211" s="7"/>
      <c r="J1211" s="35"/>
      <c r="K1211" s="7"/>
      <c r="L1211" s="35"/>
      <c r="M1211" s="7"/>
      <c r="N1211" s="35"/>
      <c r="O1211" s="7"/>
      <c r="P1211" s="35"/>
      <c r="Q1211" s="7">
        <f>Q1212</f>
        <v>186.4</v>
      </c>
      <c r="R1211" s="35">
        <f t="shared" si="262"/>
        <v>186.4</v>
      </c>
      <c r="S1211" s="7">
        <f>S1212</f>
        <v>0</v>
      </c>
      <c r="T1211" s="35">
        <f t="shared" si="268"/>
        <v>186.4</v>
      </c>
    </row>
    <row r="1212" spans="1:20" ht="33">
      <c r="A1212" s="61" t="str">
        <f ca="1">IF(ISERROR(MATCH(E1212,Код_КВР,0)),"",INDIRECT(ADDRESS(MATCH(E1212,Код_КВР,0)+1,2,,,"КВР")))</f>
        <v>Закупка товаров, работ, услуг в целях капитального ремонта муниципального имущества</v>
      </c>
      <c r="B1212" s="45" t="s">
        <v>77</v>
      </c>
      <c r="C1212" s="8" t="s">
        <v>221</v>
      </c>
      <c r="D1212" s="1" t="s">
        <v>213</v>
      </c>
      <c r="E1212" s="116">
        <v>243</v>
      </c>
      <c r="F1212" s="7"/>
      <c r="G1212" s="7"/>
      <c r="H1212" s="35"/>
      <c r="I1212" s="7"/>
      <c r="J1212" s="35"/>
      <c r="K1212" s="7"/>
      <c r="L1212" s="35"/>
      <c r="M1212" s="7"/>
      <c r="N1212" s="35"/>
      <c r="O1212" s="7"/>
      <c r="P1212" s="35"/>
      <c r="Q1212" s="7">
        <f>прил.6!R1601</f>
        <v>186.4</v>
      </c>
      <c r="R1212" s="35">
        <f t="shared" si="262"/>
        <v>186.4</v>
      </c>
      <c r="S1212" s="7">
        <f>прил.6!T1601</f>
        <v>0</v>
      </c>
      <c r="T1212" s="35">
        <f t="shared" si="268"/>
        <v>186.4</v>
      </c>
    </row>
    <row r="1213" spans="1:20">
      <c r="A1213" s="61" t="str">
        <f ca="1">IF(ISERROR(MATCH(C1213,Код_Раздел,0)),"",INDIRECT(ADDRESS(MATCH(C1213,Код_Раздел,0)+1,2,,,"Раздел")))</f>
        <v>Образование</v>
      </c>
      <c r="B1213" s="45" t="s">
        <v>77</v>
      </c>
      <c r="C1213" s="8" t="s">
        <v>195</v>
      </c>
      <c r="D1213" s="1"/>
      <c r="E1213" s="104"/>
      <c r="F1213" s="7">
        <f>F1214+F1218</f>
        <v>37685.1</v>
      </c>
      <c r="G1213" s="7">
        <f>G1214+G1218</f>
        <v>0</v>
      </c>
      <c r="H1213" s="35">
        <f t="shared" si="258"/>
        <v>37685.1</v>
      </c>
      <c r="I1213" s="7">
        <f>I1214+I1218</f>
        <v>0</v>
      </c>
      <c r="J1213" s="35">
        <f t="shared" si="256"/>
        <v>37685.1</v>
      </c>
      <c r="K1213" s="7">
        <f>K1214+K1218</f>
        <v>0</v>
      </c>
      <c r="L1213" s="35">
        <f t="shared" si="269"/>
        <v>37685.1</v>
      </c>
      <c r="M1213" s="7">
        <f>M1214+M1218</f>
        <v>0</v>
      </c>
      <c r="N1213" s="35">
        <f t="shared" si="270"/>
        <v>37685.1</v>
      </c>
      <c r="O1213" s="7">
        <f>O1214+O1218</f>
        <v>0</v>
      </c>
      <c r="P1213" s="35">
        <f t="shared" si="265"/>
        <v>37685.1</v>
      </c>
      <c r="Q1213" s="7">
        <f>Q1214+Q1218</f>
        <v>-8644.7999999999993</v>
      </c>
      <c r="R1213" s="35">
        <f t="shared" si="262"/>
        <v>29040.3</v>
      </c>
      <c r="S1213" s="7">
        <f>S1214+S1218</f>
        <v>-1908.4</v>
      </c>
      <c r="T1213" s="35">
        <f t="shared" si="268"/>
        <v>27131.899999999998</v>
      </c>
    </row>
    <row r="1214" spans="1:20">
      <c r="A1214" s="12" t="s">
        <v>250</v>
      </c>
      <c r="B1214" s="45" t="s">
        <v>77</v>
      </c>
      <c r="C1214" s="8" t="s">
        <v>195</v>
      </c>
      <c r="D1214" s="1" t="s">
        <v>214</v>
      </c>
      <c r="E1214" s="104"/>
      <c r="F1214" s="7">
        <f t="shared" ref="F1214:S1216" si="272">F1215</f>
        <v>31933.8</v>
      </c>
      <c r="G1214" s="7">
        <f t="shared" si="272"/>
        <v>0</v>
      </c>
      <c r="H1214" s="35">
        <f t="shared" si="258"/>
        <v>31933.8</v>
      </c>
      <c r="I1214" s="7">
        <f t="shared" si="272"/>
        <v>0</v>
      </c>
      <c r="J1214" s="35">
        <f t="shared" si="256"/>
        <v>31933.8</v>
      </c>
      <c r="K1214" s="7">
        <f t="shared" si="272"/>
        <v>0</v>
      </c>
      <c r="L1214" s="35">
        <f t="shared" si="269"/>
        <v>31933.8</v>
      </c>
      <c r="M1214" s="7">
        <f t="shared" si="272"/>
        <v>0</v>
      </c>
      <c r="N1214" s="35">
        <f t="shared" si="270"/>
        <v>31933.8</v>
      </c>
      <c r="O1214" s="7">
        <f t="shared" si="272"/>
        <v>0</v>
      </c>
      <c r="P1214" s="35">
        <f t="shared" si="265"/>
        <v>31933.8</v>
      </c>
      <c r="Q1214" s="7">
        <f t="shared" si="272"/>
        <v>-2893.5</v>
      </c>
      <c r="R1214" s="35">
        <f t="shared" si="262"/>
        <v>29040.3</v>
      </c>
      <c r="S1214" s="7">
        <f t="shared" si="272"/>
        <v>-1908.4</v>
      </c>
      <c r="T1214" s="35">
        <f t="shared" si="268"/>
        <v>27131.899999999998</v>
      </c>
    </row>
    <row r="1215" spans="1:20">
      <c r="A1215" s="61" t="str">
        <f ca="1">IF(ISERROR(MATCH(E1215,Код_КВР,0)),"",INDIRECT(ADDRESS(MATCH(E1215,Код_КВР,0)+1,2,,,"КВР")))</f>
        <v>Закупка товаров, работ и услуг для муниципальных нужд</v>
      </c>
      <c r="B1215" s="45" t="s">
        <v>77</v>
      </c>
      <c r="C1215" s="8" t="s">
        <v>195</v>
      </c>
      <c r="D1215" s="1" t="s">
        <v>214</v>
      </c>
      <c r="E1215" s="104">
        <v>200</v>
      </c>
      <c r="F1215" s="7">
        <f t="shared" si="272"/>
        <v>31933.8</v>
      </c>
      <c r="G1215" s="7">
        <f t="shared" si="272"/>
        <v>0</v>
      </c>
      <c r="H1215" s="35">
        <f t="shared" si="258"/>
        <v>31933.8</v>
      </c>
      <c r="I1215" s="7">
        <f t="shared" si="272"/>
        <v>0</v>
      </c>
      <c r="J1215" s="35">
        <f t="shared" si="256"/>
        <v>31933.8</v>
      </c>
      <c r="K1215" s="7">
        <f t="shared" si="272"/>
        <v>0</v>
      </c>
      <c r="L1215" s="35">
        <f t="shared" si="269"/>
        <v>31933.8</v>
      </c>
      <c r="M1215" s="7">
        <f t="shared" si="272"/>
        <v>0</v>
      </c>
      <c r="N1215" s="35">
        <f t="shared" si="270"/>
        <v>31933.8</v>
      </c>
      <c r="O1215" s="7">
        <f t="shared" si="272"/>
        <v>0</v>
      </c>
      <c r="P1215" s="35">
        <f t="shared" si="265"/>
        <v>31933.8</v>
      </c>
      <c r="Q1215" s="7">
        <f t="shared" si="272"/>
        <v>-2893.5</v>
      </c>
      <c r="R1215" s="35">
        <f t="shared" si="262"/>
        <v>29040.3</v>
      </c>
      <c r="S1215" s="7">
        <f t="shared" si="272"/>
        <v>-1908.4</v>
      </c>
      <c r="T1215" s="35">
        <f t="shared" si="268"/>
        <v>27131.899999999998</v>
      </c>
    </row>
    <row r="1216" spans="1:20" ht="33">
      <c r="A1216" s="61" t="str">
        <f ca="1">IF(ISERROR(MATCH(E1216,Код_КВР,0)),"",INDIRECT(ADDRESS(MATCH(E1216,Код_КВР,0)+1,2,,,"КВР")))</f>
        <v>Иные закупки товаров, работ и услуг для обеспечения муниципальных нужд</v>
      </c>
      <c r="B1216" s="45" t="s">
        <v>77</v>
      </c>
      <c r="C1216" s="8" t="s">
        <v>195</v>
      </c>
      <c r="D1216" s="1" t="s">
        <v>214</v>
      </c>
      <c r="E1216" s="104">
        <v>240</v>
      </c>
      <c r="F1216" s="7">
        <f t="shared" si="272"/>
        <v>31933.8</v>
      </c>
      <c r="G1216" s="7">
        <f t="shared" si="272"/>
        <v>0</v>
      </c>
      <c r="H1216" s="35">
        <f t="shared" si="258"/>
        <v>31933.8</v>
      </c>
      <c r="I1216" s="7">
        <f t="shared" si="272"/>
        <v>0</v>
      </c>
      <c r="J1216" s="35">
        <f t="shared" si="256"/>
        <v>31933.8</v>
      </c>
      <c r="K1216" s="7">
        <f t="shared" si="272"/>
        <v>0</v>
      </c>
      <c r="L1216" s="35">
        <f t="shared" si="269"/>
        <v>31933.8</v>
      </c>
      <c r="M1216" s="7">
        <f t="shared" si="272"/>
        <v>0</v>
      </c>
      <c r="N1216" s="35">
        <f t="shared" si="270"/>
        <v>31933.8</v>
      </c>
      <c r="O1216" s="7">
        <f t="shared" si="272"/>
        <v>0</v>
      </c>
      <c r="P1216" s="35">
        <f t="shared" si="265"/>
        <v>31933.8</v>
      </c>
      <c r="Q1216" s="7">
        <f t="shared" si="272"/>
        <v>-2893.5</v>
      </c>
      <c r="R1216" s="35">
        <f t="shared" si="262"/>
        <v>29040.3</v>
      </c>
      <c r="S1216" s="7">
        <f t="shared" si="272"/>
        <v>-1908.4</v>
      </c>
      <c r="T1216" s="35">
        <f t="shared" si="268"/>
        <v>27131.899999999998</v>
      </c>
    </row>
    <row r="1217" spans="1:20" ht="33">
      <c r="A1217" s="61" t="str">
        <f ca="1">IF(ISERROR(MATCH(E1217,Код_КВР,0)),"",INDIRECT(ADDRESS(MATCH(E1217,Код_КВР,0)+1,2,,,"КВР")))</f>
        <v>Закупка товаров, работ, услуг в целях капитального ремонта муниципального имущества</v>
      </c>
      <c r="B1217" s="45" t="s">
        <v>77</v>
      </c>
      <c r="C1217" s="8" t="s">
        <v>195</v>
      </c>
      <c r="D1217" s="1" t="s">
        <v>214</v>
      </c>
      <c r="E1217" s="104">
        <v>243</v>
      </c>
      <c r="F1217" s="7">
        <f>прил.6!G1626</f>
        <v>31933.8</v>
      </c>
      <c r="G1217" s="7">
        <f>прил.6!H1626</f>
        <v>0</v>
      </c>
      <c r="H1217" s="35">
        <f t="shared" si="258"/>
        <v>31933.8</v>
      </c>
      <c r="I1217" s="7">
        <f>прил.6!J1626</f>
        <v>0</v>
      </c>
      <c r="J1217" s="35">
        <f t="shared" si="256"/>
        <v>31933.8</v>
      </c>
      <c r="K1217" s="7">
        <f>прил.6!L1626</f>
        <v>0</v>
      </c>
      <c r="L1217" s="35">
        <f t="shared" si="269"/>
        <v>31933.8</v>
      </c>
      <c r="M1217" s="7">
        <f>прил.6!N1626</f>
        <v>0</v>
      </c>
      <c r="N1217" s="35">
        <f t="shared" si="270"/>
        <v>31933.8</v>
      </c>
      <c r="O1217" s="7">
        <f>прил.6!P1626</f>
        <v>0</v>
      </c>
      <c r="P1217" s="35">
        <f t="shared" si="265"/>
        <v>31933.8</v>
      </c>
      <c r="Q1217" s="7">
        <f>прил.6!R1626</f>
        <v>-2893.5</v>
      </c>
      <c r="R1217" s="35">
        <f t="shared" si="262"/>
        <v>29040.3</v>
      </c>
      <c r="S1217" s="7">
        <f>прил.6!T1626</f>
        <v>-1908.4</v>
      </c>
      <c r="T1217" s="35">
        <f t="shared" ref="T1217:T1292" si="273">R1217+S1217</f>
        <v>27131.899999999998</v>
      </c>
    </row>
    <row r="1218" spans="1:20" hidden="1">
      <c r="A1218" s="12" t="s">
        <v>251</v>
      </c>
      <c r="B1218" s="45" t="s">
        <v>77</v>
      </c>
      <c r="C1218" s="8" t="s">
        <v>195</v>
      </c>
      <c r="D1218" s="1" t="s">
        <v>219</v>
      </c>
      <c r="E1218" s="104"/>
      <c r="F1218" s="7">
        <f t="shared" ref="F1218:S1220" si="274">F1219</f>
        <v>5751.3</v>
      </c>
      <c r="G1218" s="7">
        <f t="shared" si="274"/>
        <v>0</v>
      </c>
      <c r="H1218" s="35">
        <f t="shared" si="258"/>
        <v>5751.3</v>
      </c>
      <c r="I1218" s="7">
        <f t="shared" si="274"/>
        <v>0</v>
      </c>
      <c r="J1218" s="35">
        <f t="shared" si="256"/>
        <v>5751.3</v>
      </c>
      <c r="K1218" s="7">
        <f t="shared" si="274"/>
        <v>0</v>
      </c>
      <c r="L1218" s="35">
        <f t="shared" si="269"/>
        <v>5751.3</v>
      </c>
      <c r="M1218" s="7">
        <f t="shared" si="274"/>
        <v>0</v>
      </c>
      <c r="N1218" s="35">
        <f t="shared" si="270"/>
        <v>5751.3</v>
      </c>
      <c r="O1218" s="7">
        <f t="shared" si="274"/>
        <v>0</v>
      </c>
      <c r="P1218" s="35">
        <f t="shared" si="265"/>
        <v>5751.3</v>
      </c>
      <c r="Q1218" s="7">
        <f t="shared" si="274"/>
        <v>-5751.3</v>
      </c>
      <c r="R1218" s="35">
        <f t="shared" si="262"/>
        <v>0</v>
      </c>
      <c r="S1218" s="7">
        <f t="shared" si="274"/>
        <v>0</v>
      </c>
      <c r="T1218" s="35">
        <f t="shared" si="273"/>
        <v>0</v>
      </c>
    </row>
    <row r="1219" spans="1:20" hidden="1">
      <c r="A1219" s="61" t="str">
        <f ca="1">IF(ISERROR(MATCH(E1219,Код_КВР,0)),"",INDIRECT(ADDRESS(MATCH(E1219,Код_КВР,0)+1,2,,,"КВР")))</f>
        <v>Закупка товаров, работ и услуг для муниципальных нужд</v>
      </c>
      <c r="B1219" s="45" t="s">
        <v>77</v>
      </c>
      <c r="C1219" s="8" t="s">
        <v>195</v>
      </c>
      <c r="D1219" s="1" t="s">
        <v>219</v>
      </c>
      <c r="E1219" s="104">
        <v>200</v>
      </c>
      <c r="F1219" s="7">
        <f t="shared" si="274"/>
        <v>5751.3</v>
      </c>
      <c r="G1219" s="7">
        <f t="shared" si="274"/>
        <v>0</v>
      </c>
      <c r="H1219" s="35">
        <f t="shared" si="258"/>
        <v>5751.3</v>
      </c>
      <c r="I1219" s="7">
        <f t="shared" si="274"/>
        <v>0</v>
      </c>
      <c r="J1219" s="35">
        <f t="shared" si="256"/>
        <v>5751.3</v>
      </c>
      <c r="K1219" s="7">
        <f t="shared" si="274"/>
        <v>0</v>
      </c>
      <c r="L1219" s="35">
        <f t="shared" si="269"/>
        <v>5751.3</v>
      </c>
      <c r="M1219" s="7">
        <f t="shared" si="274"/>
        <v>0</v>
      </c>
      <c r="N1219" s="35">
        <f t="shared" si="270"/>
        <v>5751.3</v>
      </c>
      <c r="O1219" s="7">
        <f t="shared" si="274"/>
        <v>0</v>
      </c>
      <c r="P1219" s="35">
        <f t="shared" si="265"/>
        <v>5751.3</v>
      </c>
      <c r="Q1219" s="7">
        <f t="shared" si="274"/>
        <v>-5751.3</v>
      </c>
      <c r="R1219" s="35">
        <f t="shared" si="262"/>
        <v>0</v>
      </c>
      <c r="S1219" s="7">
        <f t="shared" si="274"/>
        <v>0</v>
      </c>
      <c r="T1219" s="35">
        <f t="shared" si="273"/>
        <v>0</v>
      </c>
    </row>
    <row r="1220" spans="1:20" ht="33" hidden="1">
      <c r="A1220" s="61" t="str">
        <f ca="1">IF(ISERROR(MATCH(E1220,Код_КВР,0)),"",INDIRECT(ADDRESS(MATCH(E1220,Код_КВР,0)+1,2,,,"КВР")))</f>
        <v>Иные закупки товаров, работ и услуг для обеспечения муниципальных нужд</v>
      </c>
      <c r="B1220" s="45" t="s">
        <v>77</v>
      </c>
      <c r="C1220" s="8" t="s">
        <v>195</v>
      </c>
      <c r="D1220" s="1" t="s">
        <v>219</v>
      </c>
      <c r="E1220" s="104">
        <v>240</v>
      </c>
      <c r="F1220" s="7">
        <f t="shared" si="274"/>
        <v>5751.3</v>
      </c>
      <c r="G1220" s="7">
        <f t="shared" si="274"/>
        <v>0</v>
      </c>
      <c r="H1220" s="35">
        <f t="shared" si="258"/>
        <v>5751.3</v>
      </c>
      <c r="I1220" s="7">
        <f t="shared" si="274"/>
        <v>0</v>
      </c>
      <c r="J1220" s="35">
        <f t="shared" si="256"/>
        <v>5751.3</v>
      </c>
      <c r="K1220" s="7">
        <f t="shared" si="274"/>
        <v>0</v>
      </c>
      <c r="L1220" s="35">
        <f t="shared" si="269"/>
        <v>5751.3</v>
      </c>
      <c r="M1220" s="7">
        <f t="shared" si="274"/>
        <v>0</v>
      </c>
      <c r="N1220" s="35">
        <f t="shared" si="270"/>
        <v>5751.3</v>
      </c>
      <c r="O1220" s="7">
        <f t="shared" si="274"/>
        <v>0</v>
      </c>
      <c r="P1220" s="35">
        <f t="shared" si="265"/>
        <v>5751.3</v>
      </c>
      <c r="Q1220" s="7">
        <f t="shared" si="274"/>
        <v>-5751.3</v>
      </c>
      <c r="R1220" s="35">
        <f t="shared" si="262"/>
        <v>0</v>
      </c>
      <c r="S1220" s="7">
        <f t="shared" si="274"/>
        <v>0</v>
      </c>
      <c r="T1220" s="35">
        <f t="shared" si="273"/>
        <v>0</v>
      </c>
    </row>
    <row r="1221" spans="1:20" ht="33" hidden="1">
      <c r="A1221" s="61" t="str">
        <f ca="1">IF(ISERROR(MATCH(E1221,Код_КВР,0)),"",INDIRECT(ADDRESS(MATCH(E1221,Код_КВР,0)+1,2,,,"КВР")))</f>
        <v>Закупка товаров, работ, услуг в целях капитального ремонта муниципального имущества</v>
      </c>
      <c r="B1221" s="45" t="s">
        <v>77</v>
      </c>
      <c r="C1221" s="8" t="s">
        <v>195</v>
      </c>
      <c r="D1221" s="1" t="s">
        <v>219</v>
      </c>
      <c r="E1221" s="104">
        <v>243</v>
      </c>
      <c r="F1221" s="7">
        <f>прил.6!G1666</f>
        <v>5751.3</v>
      </c>
      <c r="G1221" s="7">
        <f>прил.6!H1666</f>
        <v>0</v>
      </c>
      <c r="H1221" s="35">
        <f t="shared" si="258"/>
        <v>5751.3</v>
      </c>
      <c r="I1221" s="7">
        <f>прил.6!J1666</f>
        <v>0</v>
      </c>
      <c r="J1221" s="35">
        <f t="shared" si="256"/>
        <v>5751.3</v>
      </c>
      <c r="K1221" s="7">
        <f>прил.6!L1666</f>
        <v>0</v>
      </c>
      <c r="L1221" s="35">
        <f t="shared" si="269"/>
        <v>5751.3</v>
      </c>
      <c r="M1221" s="7">
        <f>прил.6!N1666</f>
        <v>0</v>
      </c>
      <c r="N1221" s="35">
        <f t="shared" si="270"/>
        <v>5751.3</v>
      </c>
      <c r="O1221" s="7">
        <f>прил.6!P1666</f>
        <v>0</v>
      </c>
      <c r="P1221" s="35">
        <f t="shared" si="265"/>
        <v>5751.3</v>
      </c>
      <c r="Q1221" s="7">
        <f>прил.6!R1666</f>
        <v>-5751.3</v>
      </c>
      <c r="R1221" s="35">
        <f t="shared" si="262"/>
        <v>0</v>
      </c>
      <c r="S1221" s="7">
        <f>прил.6!T1666</f>
        <v>0</v>
      </c>
      <c r="T1221" s="35">
        <f t="shared" si="273"/>
        <v>0</v>
      </c>
    </row>
    <row r="1222" spans="1:20">
      <c r="A1222" s="61" t="str">
        <f ca="1">IF(ISERROR(MATCH(C1222,Код_Раздел,0)),"",INDIRECT(ADDRESS(MATCH(C1222,Код_Раздел,0)+1,2,,,"Раздел")))</f>
        <v>Культура, кинематография</v>
      </c>
      <c r="B1222" s="45" t="s">
        <v>77</v>
      </c>
      <c r="C1222" s="8" t="s">
        <v>222</v>
      </c>
      <c r="D1222" s="1"/>
      <c r="E1222" s="104"/>
      <c r="F1222" s="7"/>
      <c r="G1222" s="7"/>
      <c r="H1222" s="35"/>
      <c r="I1222" s="7"/>
      <c r="J1222" s="35"/>
      <c r="K1222" s="7">
        <f>K1223</f>
        <v>1712.9</v>
      </c>
      <c r="L1222" s="35">
        <f t="shared" si="269"/>
        <v>1712.9</v>
      </c>
      <c r="M1222" s="7">
        <f>M1223</f>
        <v>0</v>
      </c>
      <c r="N1222" s="35">
        <f t="shared" si="270"/>
        <v>1712.9</v>
      </c>
      <c r="O1222" s="7">
        <f>O1223</f>
        <v>0</v>
      </c>
      <c r="P1222" s="35">
        <f t="shared" si="265"/>
        <v>1712.9</v>
      </c>
      <c r="Q1222" s="7">
        <f>Q1223</f>
        <v>0</v>
      </c>
      <c r="R1222" s="35">
        <f t="shared" si="262"/>
        <v>1712.9</v>
      </c>
      <c r="S1222" s="7">
        <f>S1223</f>
        <v>0</v>
      </c>
      <c r="T1222" s="35">
        <f t="shared" si="273"/>
        <v>1712.9</v>
      </c>
    </row>
    <row r="1223" spans="1:20">
      <c r="A1223" s="12" t="s">
        <v>184</v>
      </c>
      <c r="B1223" s="45" t="s">
        <v>77</v>
      </c>
      <c r="C1223" s="8" t="s">
        <v>222</v>
      </c>
      <c r="D1223" s="1" t="s">
        <v>213</v>
      </c>
      <c r="E1223" s="104"/>
      <c r="F1223" s="7"/>
      <c r="G1223" s="7"/>
      <c r="H1223" s="35"/>
      <c r="I1223" s="7"/>
      <c r="J1223" s="35"/>
      <c r="K1223" s="7">
        <f>K1224</f>
        <v>1712.9</v>
      </c>
      <c r="L1223" s="35">
        <f t="shared" si="269"/>
        <v>1712.9</v>
      </c>
      <c r="M1223" s="7">
        <f>M1224</f>
        <v>0</v>
      </c>
      <c r="N1223" s="35">
        <f t="shared" si="270"/>
        <v>1712.9</v>
      </c>
      <c r="O1223" s="7">
        <f>O1224</f>
        <v>0</v>
      </c>
      <c r="P1223" s="35">
        <f t="shared" si="265"/>
        <v>1712.9</v>
      </c>
      <c r="Q1223" s="7">
        <f>Q1224</f>
        <v>0</v>
      </c>
      <c r="R1223" s="35">
        <f t="shared" si="262"/>
        <v>1712.9</v>
      </c>
      <c r="S1223" s="7">
        <f>S1224</f>
        <v>0</v>
      </c>
      <c r="T1223" s="35">
        <f t="shared" si="273"/>
        <v>1712.9</v>
      </c>
    </row>
    <row r="1224" spans="1:20">
      <c r="A1224" s="61" t="str">
        <f ca="1">IF(ISERROR(MATCH(E1224,Код_КВР,0)),"",INDIRECT(ADDRESS(MATCH(E1224,Код_КВР,0)+1,2,,,"КВР")))</f>
        <v>Закупка товаров, работ и услуг для муниципальных нужд</v>
      </c>
      <c r="B1224" s="45" t="s">
        <v>77</v>
      </c>
      <c r="C1224" s="8" t="s">
        <v>222</v>
      </c>
      <c r="D1224" s="1" t="s">
        <v>213</v>
      </c>
      <c r="E1224" s="104">
        <v>200</v>
      </c>
      <c r="F1224" s="7"/>
      <c r="G1224" s="7"/>
      <c r="H1224" s="35"/>
      <c r="I1224" s="7"/>
      <c r="J1224" s="35"/>
      <c r="K1224" s="7">
        <f>K1225</f>
        <v>1712.9</v>
      </c>
      <c r="L1224" s="35">
        <f t="shared" si="269"/>
        <v>1712.9</v>
      </c>
      <c r="M1224" s="7">
        <f>M1225</f>
        <v>0</v>
      </c>
      <c r="N1224" s="35">
        <f t="shared" si="270"/>
        <v>1712.9</v>
      </c>
      <c r="O1224" s="7">
        <f>O1225</f>
        <v>0</v>
      </c>
      <c r="P1224" s="35">
        <f t="shared" si="265"/>
        <v>1712.9</v>
      </c>
      <c r="Q1224" s="7">
        <f>Q1225</f>
        <v>0</v>
      </c>
      <c r="R1224" s="35">
        <f t="shared" si="262"/>
        <v>1712.9</v>
      </c>
      <c r="S1224" s="7">
        <f>S1225</f>
        <v>0</v>
      </c>
      <c r="T1224" s="35">
        <f t="shared" si="273"/>
        <v>1712.9</v>
      </c>
    </row>
    <row r="1225" spans="1:20" ht="33">
      <c r="A1225" s="61" t="str">
        <f ca="1">IF(ISERROR(MATCH(E1225,Код_КВР,0)),"",INDIRECT(ADDRESS(MATCH(E1225,Код_КВР,0)+1,2,,,"КВР")))</f>
        <v>Иные закупки товаров, работ и услуг для обеспечения муниципальных нужд</v>
      </c>
      <c r="B1225" s="45" t="s">
        <v>77</v>
      </c>
      <c r="C1225" s="8" t="s">
        <v>222</v>
      </c>
      <c r="D1225" s="1" t="s">
        <v>213</v>
      </c>
      <c r="E1225" s="104">
        <v>240</v>
      </c>
      <c r="F1225" s="7"/>
      <c r="G1225" s="7"/>
      <c r="H1225" s="35"/>
      <c r="I1225" s="7"/>
      <c r="J1225" s="35"/>
      <c r="K1225" s="7">
        <f>K1226</f>
        <v>1712.9</v>
      </c>
      <c r="L1225" s="35">
        <f t="shared" si="269"/>
        <v>1712.9</v>
      </c>
      <c r="M1225" s="7">
        <f>M1226</f>
        <v>0</v>
      </c>
      <c r="N1225" s="35">
        <f t="shared" si="270"/>
        <v>1712.9</v>
      </c>
      <c r="O1225" s="7">
        <f>O1226</f>
        <v>0</v>
      </c>
      <c r="P1225" s="35">
        <f t="shared" si="265"/>
        <v>1712.9</v>
      </c>
      <c r="Q1225" s="7">
        <f>Q1226</f>
        <v>0</v>
      </c>
      <c r="R1225" s="35">
        <f t="shared" si="262"/>
        <v>1712.9</v>
      </c>
      <c r="S1225" s="7">
        <f>S1226</f>
        <v>0</v>
      </c>
      <c r="T1225" s="35">
        <f t="shared" si="273"/>
        <v>1712.9</v>
      </c>
    </row>
    <row r="1226" spans="1:20" ht="33">
      <c r="A1226" s="61" t="str">
        <f ca="1">IF(ISERROR(MATCH(E1226,Код_КВР,0)),"",INDIRECT(ADDRESS(MATCH(E1226,Код_КВР,0)+1,2,,,"КВР")))</f>
        <v>Закупка товаров, работ, услуг в целях капитального ремонта муниципального имущества</v>
      </c>
      <c r="B1226" s="45" t="s">
        <v>77</v>
      </c>
      <c r="C1226" s="8" t="s">
        <v>222</v>
      </c>
      <c r="D1226" s="1" t="s">
        <v>213</v>
      </c>
      <c r="E1226" s="104">
        <v>243</v>
      </c>
      <c r="F1226" s="7"/>
      <c r="G1226" s="7"/>
      <c r="H1226" s="35"/>
      <c r="I1226" s="7"/>
      <c r="J1226" s="35"/>
      <c r="K1226" s="7">
        <f>прил.6!L1677</f>
        <v>1712.9</v>
      </c>
      <c r="L1226" s="35">
        <f t="shared" si="269"/>
        <v>1712.9</v>
      </c>
      <c r="M1226" s="7">
        <f>прил.6!N1677</f>
        <v>0</v>
      </c>
      <c r="N1226" s="35">
        <f t="shared" si="270"/>
        <v>1712.9</v>
      </c>
      <c r="O1226" s="7">
        <f>прил.6!P1677</f>
        <v>0</v>
      </c>
      <c r="P1226" s="35">
        <f t="shared" si="265"/>
        <v>1712.9</v>
      </c>
      <c r="Q1226" s="7">
        <f>прил.6!R1677</f>
        <v>0</v>
      </c>
      <c r="R1226" s="35">
        <f t="shared" si="262"/>
        <v>1712.9</v>
      </c>
      <c r="S1226" s="7">
        <f>прил.6!T1677</f>
        <v>0</v>
      </c>
      <c r="T1226" s="35">
        <f t="shared" si="273"/>
        <v>1712.9</v>
      </c>
    </row>
    <row r="1227" spans="1:20" ht="38.25" customHeight="1">
      <c r="A1227" s="61" t="str">
        <f ca="1">IF(ISERROR(MATCH(B1227,Код_КЦСР,0)),"",INDIRECT(ADDRESS(MATCH(B1227,Код_КЦСР,0)+1,2,,,"КЦСР")))</f>
        <v xml:space="preserve">Обеспечение создания условий для реализации муниципальной программы </v>
      </c>
      <c r="B1227" s="45" t="s">
        <v>78</v>
      </c>
      <c r="C1227" s="8"/>
      <c r="D1227" s="1"/>
      <c r="E1227" s="104"/>
      <c r="F1227" s="7">
        <f>F1228</f>
        <v>49603.399999999994</v>
      </c>
      <c r="G1227" s="7">
        <f>G1228</f>
        <v>0</v>
      </c>
      <c r="H1227" s="35">
        <f t="shared" si="258"/>
        <v>49603.399999999994</v>
      </c>
      <c r="I1227" s="7">
        <f>I1228</f>
        <v>0</v>
      </c>
      <c r="J1227" s="35">
        <f t="shared" ref="J1227:J1331" si="275">H1227+I1227</f>
        <v>49603.399999999994</v>
      </c>
      <c r="K1227" s="7">
        <f>K1228</f>
        <v>13.300000000000011</v>
      </c>
      <c r="L1227" s="35">
        <f t="shared" si="269"/>
        <v>49616.7</v>
      </c>
      <c r="M1227" s="7">
        <f>M1228</f>
        <v>0</v>
      </c>
      <c r="N1227" s="35">
        <f t="shared" si="270"/>
        <v>49616.7</v>
      </c>
      <c r="O1227" s="7">
        <f>O1228</f>
        <v>0</v>
      </c>
      <c r="P1227" s="35">
        <f t="shared" si="265"/>
        <v>49616.7</v>
      </c>
      <c r="Q1227" s="7">
        <f>Q1228</f>
        <v>378</v>
      </c>
      <c r="R1227" s="35">
        <f t="shared" si="262"/>
        <v>49994.7</v>
      </c>
      <c r="S1227" s="7">
        <f>S1228</f>
        <v>-39.099999999999994</v>
      </c>
      <c r="T1227" s="35">
        <f t="shared" si="273"/>
        <v>49955.6</v>
      </c>
    </row>
    <row r="1228" spans="1:20">
      <c r="A1228" s="61" t="str">
        <f ca="1">IF(ISERROR(MATCH(C1228,Код_Раздел,0)),"",INDIRECT(ADDRESS(MATCH(C1228,Код_Раздел,0)+1,2,,,"Раздел")))</f>
        <v>Национальная экономика</v>
      </c>
      <c r="B1228" s="45" t="s">
        <v>78</v>
      </c>
      <c r="C1228" s="8" t="s">
        <v>216</v>
      </c>
      <c r="D1228" s="1"/>
      <c r="E1228" s="104"/>
      <c r="F1228" s="7">
        <f>F1229</f>
        <v>49603.399999999994</v>
      </c>
      <c r="G1228" s="7">
        <f>G1229</f>
        <v>0</v>
      </c>
      <c r="H1228" s="35">
        <f t="shared" si="258"/>
        <v>49603.399999999994</v>
      </c>
      <c r="I1228" s="7">
        <f>I1229</f>
        <v>0</v>
      </c>
      <c r="J1228" s="35">
        <f t="shared" si="275"/>
        <v>49603.399999999994</v>
      </c>
      <c r="K1228" s="7">
        <f>K1229</f>
        <v>13.300000000000011</v>
      </c>
      <c r="L1228" s="35">
        <f t="shared" si="269"/>
        <v>49616.7</v>
      </c>
      <c r="M1228" s="7">
        <f>M1229</f>
        <v>0</v>
      </c>
      <c r="N1228" s="35">
        <f t="shared" si="270"/>
        <v>49616.7</v>
      </c>
      <c r="O1228" s="7">
        <f>O1229</f>
        <v>0</v>
      </c>
      <c r="P1228" s="35">
        <f t="shared" si="265"/>
        <v>49616.7</v>
      </c>
      <c r="Q1228" s="7">
        <f>Q1229</f>
        <v>378</v>
      </c>
      <c r="R1228" s="35">
        <f t="shared" si="262"/>
        <v>49994.7</v>
      </c>
      <c r="S1228" s="7">
        <f>S1229</f>
        <v>-39.099999999999994</v>
      </c>
      <c r="T1228" s="35">
        <f t="shared" si="273"/>
        <v>49955.6</v>
      </c>
    </row>
    <row r="1229" spans="1:20">
      <c r="A1229" s="12" t="s">
        <v>223</v>
      </c>
      <c r="B1229" s="45" t="s">
        <v>78</v>
      </c>
      <c r="C1229" s="8" t="s">
        <v>216</v>
      </c>
      <c r="D1229" s="8" t="s">
        <v>196</v>
      </c>
      <c r="E1229" s="104"/>
      <c r="F1229" s="7">
        <f>F1230+F1232+F1235</f>
        <v>49603.399999999994</v>
      </c>
      <c r="G1229" s="7">
        <f>G1230+G1232+G1235</f>
        <v>0</v>
      </c>
      <c r="H1229" s="35">
        <f t="shared" si="258"/>
        <v>49603.399999999994</v>
      </c>
      <c r="I1229" s="7">
        <f>I1230+I1232+I1235</f>
        <v>0</v>
      </c>
      <c r="J1229" s="35">
        <f t="shared" si="275"/>
        <v>49603.399999999994</v>
      </c>
      <c r="K1229" s="7">
        <f>K1230+K1232+K1235</f>
        <v>13.300000000000011</v>
      </c>
      <c r="L1229" s="35">
        <f t="shared" si="269"/>
        <v>49616.7</v>
      </c>
      <c r="M1229" s="7">
        <f>M1230+M1232+M1235</f>
        <v>0</v>
      </c>
      <c r="N1229" s="35">
        <f t="shared" si="270"/>
        <v>49616.7</v>
      </c>
      <c r="O1229" s="7">
        <f>O1230+O1232+O1235</f>
        <v>0</v>
      </c>
      <c r="P1229" s="35">
        <f t="shared" si="265"/>
        <v>49616.7</v>
      </c>
      <c r="Q1229" s="7">
        <f>Q1230+Q1232+Q1235</f>
        <v>378</v>
      </c>
      <c r="R1229" s="35">
        <f t="shared" ref="R1229:R1328" si="276">P1229+Q1229</f>
        <v>49994.7</v>
      </c>
      <c r="S1229" s="7">
        <f>S1230+S1232+S1235</f>
        <v>-39.099999999999994</v>
      </c>
      <c r="T1229" s="35">
        <f t="shared" si="273"/>
        <v>49955.6</v>
      </c>
    </row>
    <row r="1230" spans="1:20" ht="33">
      <c r="A1230" s="61" t="str">
        <f t="shared" ref="A1230:A1238" ca="1" si="277">IF(ISERROR(MATCH(E1230,Код_КВР,0)),"",INDIRECT(ADDRESS(MATCH(E1230,Код_КВР,0)+1,2,,,"КВР")))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230" s="45" t="s">
        <v>78</v>
      </c>
      <c r="C1230" s="8" t="s">
        <v>216</v>
      </c>
      <c r="D1230" s="8" t="s">
        <v>196</v>
      </c>
      <c r="E1230" s="104">
        <v>100</v>
      </c>
      <c r="F1230" s="7">
        <f>F1231</f>
        <v>46091.199999999997</v>
      </c>
      <c r="G1230" s="7">
        <f>G1231</f>
        <v>0</v>
      </c>
      <c r="H1230" s="35">
        <f t="shared" si="258"/>
        <v>46091.199999999997</v>
      </c>
      <c r="I1230" s="7">
        <f>I1231</f>
        <v>0</v>
      </c>
      <c r="J1230" s="35">
        <f t="shared" si="275"/>
        <v>46091.199999999997</v>
      </c>
      <c r="K1230" s="7">
        <f>K1231</f>
        <v>-380.3</v>
      </c>
      <c r="L1230" s="35">
        <f t="shared" si="269"/>
        <v>45710.899999999994</v>
      </c>
      <c r="M1230" s="7">
        <f>M1231</f>
        <v>0</v>
      </c>
      <c r="N1230" s="35">
        <f t="shared" si="270"/>
        <v>45710.899999999994</v>
      </c>
      <c r="O1230" s="7">
        <f>O1231</f>
        <v>0</v>
      </c>
      <c r="P1230" s="35">
        <f t="shared" si="265"/>
        <v>45710.899999999994</v>
      </c>
      <c r="Q1230" s="7">
        <f>Q1231</f>
        <v>-76.2</v>
      </c>
      <c r="R1230" s="35">
        <f t="shared" si="276"/>
        <v>45634.7</v>
      </c>
      <c r="S1230" s="7">
        <f>S1231</f>
        <v>0</v>
      </c>
      <c r="T1230" s="35">
        <f t="shared" si="273"/>
        <v>45634.7</v>
      </c>
    </row>
    <row r="1231" spans="1:20">
      <c r="A1231" s="61" t="str">
        <f t="shared" ca="1" si="277"/>
        <v>Расходы на выплаты персоналу казенных учреждений</v>
      </c>
      <c r="B1231" s="45" t="s">
        <v>78</v>
      </c>
      <c r="C1231" s="8" t="s">
        <v>216</v>
      </c>
      <c r="D1231" s="8" t="s">
        <v>196</v>
      </c>
      <c r="E1231" s="104">
        <v>110</v>
      </c>
      <c r="F1231" s="7">
        <f>прил.6!G1568</f>
        <v>46091.199999999997</v>
      </c>
      <c r="G1231" s="7">
        <f>прил.6!H1568</f>
        <v>0</v>
      </c>
      <c r="H1231" s="35">
        <f t="shared" si="258"/>
        <v>46091.199999999997</v>
      </c>
      <c r="I1231" s="7">
        <f>прил.6!J1568</f>
        <v>0</v>
      </c>
      <c r="J1231" s="35">
        <f t="shared" si="275"/>
        <v>46091.199999999997</v>
      </c>
      <c r="K1231" s="7">
        <f>прил.6!L1568</f>
        <v>-380.3</v>
      </c>
      <c r="L1231" s="35">
        <f t="shared" si="269"/>
        <v>45710.899999999994</v>
      </c>
      <c r="M1231" s="7">
        <f>прил.6!N1568</f>
        <v>0</v>
      </c>
      <c r="N1231" s="35">
        <f t="shared" si="270"/>
        <v>45710.899999999994</v>
      </c>
      <c r="O1231" s="7">
        <f>прил.6!P1568</f>
        <v>0</v>
      </c>
      <c r="P1231" s="35">
        <f t="shared" si="265"/>
        <v>45710.899999999994</v>
      </c>
      <c r="Q1231" s="7">
        <f>прил.6!R1568</f>
        <v>-76.2</v>
      </c>
      <c r="R1231" s="35">
        <f t="shared" si="276"/>
        <v>45634.7</v>
      </c>
      <c r="S1231" s="7">
        <f>прил.6!T1568</f>
        <v>0</v>
      </c>
      <c r="T1231" s="35">
        <f t="shared" si="273"/>
        <v>45634.7</v>
      </c>
    </row>
    <row r="1232" spans="1:20">
      <c r="A1232" s="61" t="str">
        <f t="shared" ca="1" si="277"/>
        <v>Закупка товаров, работ и услуг для муниципальных нужд</v>
      </c>
      <c r="B1232" s="45" t="s">
        <v>78</v>
      </c>
      <c r="C1232" s="8" t="s">
        <v>216</v>
      </c>
      <c r="D1232" s="8" t="s">
        <v>196</v>
      </c>
      <c r="E1232" s="104">
        <v>200</v>
      </c>
      <c r="F1232" s="7">
        <f>F1233</f>
        <v>2827.7</v>
      </c>
      <c r="G1232" s="7">
        <f>G1233</f>
        <v>0</v>
      </c>
      <c r="H1232" s="35">
        <f t="shared" si="258"/>
        <v>2827.7</v>
      </c>
      <c r="I1232" s="7">
        <f>I1233</f>
        <v>0</v>
      </c>
      <c r="J1232" s="35">
        <f t="shared" si="275"/>
        <v>2827.7</v>
      </c>
      <c r="K1232" s="7">
        <f>K1233</f>
        <v>393.6</v>
      </c>
      <c r="L1232" s="35">
        <f t="shared" si="269"/>
        <v>3221.2999999999997</v>
      </c>
      <c r="M1232" s="7">
        <f>M1233</f>
        <v>0</v>
      </c>
      <c r="N1232" s="35">
        <f t="shared" si="270"/>
        <v>3221.2999999999997</v>
      </c>
      <c r="O1232" s="7">
        <f>O1233</f>
        <v>0</v>
      </c>
      <c r="P1232" s="35">
        <f t="shared" si="265"/>
        <v>3221.2999999999997</v>
      </c>
      <c r="Q1232" s="7">
        <f>Q1233</f>
        <v>651.70000000000005</v>
      </c>
      <c r="R1232" s="35">
        <f t="shared" si="276"/>
        <v>3873</v>
      </c>
      <c r="S1232" s="7">
        <f>S1233</f>
        <v>0</v>
      </c>
      <c r="T1232" s="35">
        <f t="shared" si="273"/>
        <v>3873</v>
      </c>
    </row>
    <row r="1233" spans="1:20" ht="33">
      <c r="A1233" s="61" t="str">
        <f t="shared" ca="1" si="277"/>
        <v>Иные закупки товаров, работ и услуг для обеспечения муниципальных нужд</v>
      </c>
      <c r="B1233" s="45" t="s">
        <v>78</v>
      </c>
      <c r="C1233" s="8" t="s">
        <v>216</v>
      </c>
      <c r="D1233" s="8" t="s">
        <v>196</v>
      </c>
      <c r="E1233" s="104">
        <v>240</v>
      </c>
      <c r="F1233" s="7">
        <f>F1234</f>
        <v>2827.7</v>
      </c>
      <c r="G1233" s="7">
        <f>G1234</f>
        <v>0</v>
      </c>
      <c r="H1233" s="35">
        <f t="shared" si="258"/>
        <v>2827.7</v>
      </c>
      <c r="I1233" s="7">
        <f>I1234</f>
        <v>0</v>
      </c>
      <c r="J1233" s="35">
        <f t="shared" si="275"/>
        <v>2827.7</v>
      </c>
      <c r="K1233" s="7">
        <f>K1234</f>
        <v>393.6</v>
      </c>
      <c r="L1233" s="35">
        <f t="shared" si="269"/>
        <v>3221.2999999999997</v>
      </c>
      <c r="M1233" s="7">
        <f>M1234</f>
        <v>0</v>
      </c>
      <c r="N1233" s="35">
        <f t="shared" si="270"/>
        <v>3221.2999999999997</v>
      </c>
      <c r="O1233" s="7">
        <f>O1234</f>
        <v>0</v>
      </c>
      <c r="P1233" s="35">
        <f t="shared" si="265"/>
        <v>3221.2999999999997</v>
      </c>
      <c r="Q1233" s="7">
        <f>Q1234</f>
        <v>651.70000000000005</v>
      </c>
      <c r="R1233" s="35">
        <f t="shared" si="276"/>
        <v>3873</v>
      </c>
      <c r="S1233" s="7">
        <f>S1234</f>
        <v>0</v>
      </c>
      <c r="T1233" s="35">
        <f t="shared" si="273"/>
        <v>3873</v>
      </c>
    </row>
    <row r="1234" spans="1:20" ht="33">
      <c r="A1234" s="61" t="str">
        <f t="shared" ca="1" si="277"/>
        <v xml:space="preserve">Прочая закупка товаров, работ и услуг для обеспечения муниципальных нужд         </v>
      </c>
      <c r="B1234" s="45" t="s">
        <v>78</v>
      </c>
      <c r="C1234" s="8" t="s">
        <v>216</v>
      </c>
      <c r="D1234" s="8" t="s">
        <v>196</v>
      </c>
      <c r="E1234" s="104">
        <v>244</v>
      </c>
      <c r="F1234" s="7">
        <f>прил.6!G1571</f>
        <v>2827.7</v>
      </c>
      <c r="G1234" s="7">
        <f>прил.6!H1571</f>
        <v>0</v>
      </c>
      <c r="H1234" s="35">
        <f t="shared" si="258"/>
        <v>2827.7</v>
      </c>
      <c r="I1234" s="7">
        <f>прил.6!J1571</f>
        <v>0</v>
      </c>
      <c r="J1234" s="35">
        <f t="shared" si="275"/>
        <v>2827.7</v>
      </c>
      <c r="K1234" s="7">
        <f>прил.6!L1571</f>
        <v>393.6</v>
      </c>
      <c r="L1234" s="35">
        <f t="shared" si="269"/>
        <v>3221.2999999999997</v>
      </c>
      <c r="M1234" s="7">
        <f>прил.6!N1571</f>
        <v>0</v>
      </c>
      <c r="N1234" s="35">
        <f t="shared" si="270"/>
        <v>3221.2999999999997</v>
      </c>
      <c r="O1234" s="7">
        <f>прил.6!P1571</f>
        <v>0</v>
      </c>
      <c r="P1234" s="35">
        <f t="shared" si="265"/>
        <v>3221.2999999999997</v>
      </c>
      <c r="Q1234" s="7">
        <f>прил.6!R1571</f>
        <v>651.70000000000005</v>
      </c>
      <c r="R1234" s="35">
        <f t="shared" si="276"/>
        <v>3873</v>
      </c>
      <c r="S1234" s="7">
        <f>прил.6!T1571</f>
        <v>0</v>
      </c>
      <c r="T1234" s="35">
        <f t="shared" si="273"/>
        <v>3873</v>
      </c>
    </row>
    <row r="1235" spans="1:20">
      <c r="A1235" s="61" t="str">
        <f t="shared" ca="1" si="277"/>
        <v>Иные бюджетные ассигнования</v>
      </c>
      <c r="B1235" s="45" t="s">
        <v>78</v>
      </c>
      <c r="C1235" s="8" t="s">
        <v>216</v>
      </c>
      <c r="D1235" s="8" t="s">
        <v>196</v>
      </c>
      <c r="E1235" s="104">
        <v>800</v>
      </c>
      <c r="F1235" s="7">
        <f>F1236</f>
        <v>684.5</v>
      </c>
      <c r="G1235" s="7">
        <f>G1236</f>
        <v>0</v>
      </c>
      <c r="H1235" s="35">
        <f t="shared" ref="H1235:H1342" si="278">F1235+G1235</f>
        <v>684.5</v>
      </c>
      <c r="I1235" s="7">
        <f>I1236</f>
        <v>0</v>
      </c>
      <c r="J1235" s="35">
        <f t="shared" si="275"/>
        <v>684.5</v>
      </c>
      <c r="K1235" s="7">
        <f>K1236</f>
        <v>0</v>
      </c>
      <c r="L1235" s="35">
        <f t="shared" si="269"/>
        <v>684.5</v>
      </c>
      <c r="M1235" s="7">
        <f>M1236</f>
        <v>0</v>
      </c>
      <c r="N1235" s="35">
        <f t="shared" si="270"/>
        <v>684.5</v>
      </c>
      <c r="O1235" s="7">
        <f>O1236</f>
        <v>0</v>
      </c>
      <c r="P1235" s="35">
        <f t="shared" si="265"/>
        <v>684.5</v>
      </c>
      <c r="Q1235" s="7">
        <f>Q1236</f>
        <v>-197.5</v>
      </c>
      <c r="R1235" s="35">
        <f t="shared" si="276"/>
        <v>487</v>
      </c>
      <c r="S1235" s="7">
        <f>S1236</f>
        <v>-39.099999999999994</v>
      </c>
      <c r="T1235" s="35">
        <f t="shared" si="273"/>
        <v>447.9</v>
      </c>
    </row>
    <row r="1236" spans="1:20">
      <c r="A1236" s="61" t="str">
        <f t="shared" ca="1" si="277"/>
        <v>Уплата налогов, сборов и иных платежей</v>
      </c>
      <c r="B1236" s="45" t="s">
        <v>78</v>
      </c>
      <c r="C1236" s="8" t="s">
        <v>216</v>
      </c>
      <c r="D1236" s="8" t="s">
        <v>196</v>
      </c>
      <c r="E1236" s="104">
        <v>850</v>
      </c>
      <c r="F1236" s="7">
        <f>SUM(F1237:F1238)</f>
        <v>684.5</v>
      </c>
      <c r="G1236" s="7">
        <f>SUM(G1237:G1238)</f>
        <v>0</v>
      </c>
      <c r="H1236" s="35">
        <f t="shared" si="278"/>
        <v>684.5</v>
      </c>
      <c r="I1236" s="7">
        <f>SUM(I1237:I1238)</f>
        <v>0</v>
      </c>
      <c r="J1236" s="35">
        <f t="shared" si="275"/>
        <v>684.5</v>
      </c>
      <c r="K1236" s="7">
        <f>SUM(K1237:K1238)</f>
        <v>0</v>
      </c>
      <c r="L1236" s="35">
        <f t="shared" si="269"/>
        <v>684.5</v>
      </c>
      <c r="M1236" s="7">
        <f>SUM(M1237:M1238)</f>
        <v>0</v>
      </c>
      <c r="N1236" s="35">
        <f t="shared" si="270"/>
        <v>684.5</v>
      </c>
      <c r="O1236" s="7">
        <f>SUM(O1237:O1238)</f>
        <v>0</v>
      </c>
      <c r="P1236" s="35">
        <f t="shared" si="265"/>
        <v>684.5</v>
      </c>
      <c r="Q1236" s="7">
        <f>SUM(Q1237:Q1238)</f>
        <v>-197.5</v>
      </c>
      <c r="R1236" s="35">
        <f t="shared" si="276"/>
        <v>487</v>
      </c>
      <c r="S1236" s="7">
        <f>SUM(S1237:S1238)</f>
        <v>-39.099999999999994</v>
      </c>
      <c r="T1236" s="35">
        <f t="shared" si="273"/>
        <v>447.9</v>
      </c>
    </row>
    <row r="1237" spans="1:20">
      <c r="A1237" s="61" t="str">
        <f t="shared" ca="1" si="277"/>
        <v>Уплата налога на имущество организаций и земельного налога</v>
      </c>
      <c r="B1237" s="45" t="s">
        <v>78</v>
      </c>
      <c r="C1237" s="8" t="s">
        <v>216</v>
      </c>
      <c r="D1237" s="8" t="s">
        <v>196</v>
      </c>
      <c r="E1237" s="104">
        <v>851</v>
      </c>
      <c r="F1237" s="7">
        <f>прил.6!G1574</f>
        <v>183.1</v>
      </c>
      <c r="G1237" s="7">
        <f>прил.6!H1574</f>
        <v>0</v>
      </c>
      <c r="H1237" s="35">
        <f t="shared" si="278"/>
        <v>183.1</v>
      </c>
      <c r="I1237" s="7">
        <f>прил.6!J1574</f>
        <v>0</v>
      </c>
      <c r="J1237" s="35">
        <f t="shared" si="275"/>
        <v>183.1</v>
      </c>
      <c r="K1237" s="7">
        <f>прил.6!L1574</f>
        <v>0</v>
      </c>
      <c r="L1237" s="35">
        <f t="shared" si="269"/>
        <v>183.1</v>
      </c>
      <c r="M1237" s="7">
        <f>прил.6!N1574</f>
        <v>0</v>
      </c>
      <c r="N1237" s="35">
        <f t="shared" si="270"/>
        <v>183.1</v>
      </c>
      <c r="O1237" s="7">
        <f>прил.6!P1574</f>
        <v>0</v>
      </c>
      <c r="P1237" s="35">
        <f t="shared" ref="P1237:P1336" si="279">N1237+O1237</f>
        <v>183.1</v>
      </c>
      <c r="Q1237" s="7">
        <f>прил.6!R1574</f>
        <v>-130</v>
      </c>
      <c r="R1237" s="35">
        <f t="shared" si="276"/>
        <v>53.099999999999994</v>
      </c>
      <c r="S1237" s="7">
        <f>прил.6!T1574</f>
        <v>-35.799999999999997</v>
      </c>
      <c r="T1237" s="35">
        <f t="shared" si="273"/>
        <v>17.299999999999997</v>
      </c>
    </row>
    <row r="1238" spans="1:20">
      <c r="A1238" s="61" t="str">
        <f t="shared" ca="1" si="277"/>
        <v>Уплата прочих налогов, сборов и иных платежей</v>
      </c>
      <c r="B1238" s="45" t="s">
        <v>78</v>
      </c>
      <c r="C1238" s="8" t="s">
        <v>216</v>
      </c>
      <c r="D1238" s="8" t="s">
        <v>196</v>
      </c>
      <c r="E1238" s="104">
        <v>852</v>
      </c>
      <c r="F1238" s="7">
        <f>прил.6!G1575</f>
        <v>501.4</v>
      </c>
      <c r="G1238" s="7">
        <f>прил.6!H1575</f>
        <v>0</v>
      </c>
      <c r="H1238" s="35">
        <f t="shared" si="278"/>
        <v>501.4</v>
      </c>
      <c r="I1238" s="7">
        <f>прил.6!J1575</f>
        <v>0</v>
      </c>
      <c r="J1238" s="35">
        <f t="shared" si="275"/>
        <v>501.4</v>
      </c>
      <c r="K1238" s="7">
        <f>прил.6!L1575</f>
        <v>0</v>
      </c>
      <c r="L1238" s="35">
        <f t="shared" si="269"/>
        <v>501.4</v>
      </c>
      <c r="M1238" s="7">
        <f>прил.6!N1575</f>
        <v>0</v>
      </c>
      <c r="N1238" s="35">
        <f t="shared" si="270"/>
        <v>501.4</v>
      </c>
      <c r="O1238" s="7">
        <f>прил.6!P1575</f>
        <v>0</v>
      </c>
      <c r="P1238" s="35">
        <f t="shared" si="279"/>
        <v>501.4</v>
      </c>
      <c r="Q1238" s="7">
        <f>прил.6!R1575</f>
        <v>-67.5</v>
      </c>
      <c r="R1238" s="35">
        <f t="shared" si="276"/>
        <v>433.9</v>
      </c>
      <c r="S1238" s="7">
        <f>прил.6!T1575</f>
        <v>-3.3</v>
      </c>
      <c r="T1238" s="35">
        <f t="shared" si="273"/>
        <v>430.59999999999997</v>
      </c>
    </row>
    <row r="1239" spans="1:20" ht="43.5" customHeight="1">
      <c r="A1239" s="61" t="str">
        <f ca="1">IF(ISERROR(MATCH(B1239,Код_КЦСР,0)),"",INDIRECT(ADDRESS(MATCH(B1239,Код_КЦСР,0)+1,2,,,"КЦСР")))</f>
        <v>Модернизация региональных систем дошкольного образования за счет субсидии из федерального бюджета</v>
      </c>
      <c r="B1239" s="45" t="s">
        <v>640</v>
      </c>
      <c r="C1239" s="8"/>
      <c r="D1239" s="1"/>
      <c r="E1239" s="111"/>
      <c r="F1239" s="7"/>
      <c r="G1239" s="7"/>
      <c r="H1239" s="35"/>
      <c r="I1239" s="7"/>
      <c r="J1239" s="35"/>
      <c r="K1239" s="7"/>
      <c r="L1239" s="35"/>
      <c r="M1239" s="7"/>
      <c r="N1239" s="35"/>
      <c r="O1239" s="7"/>
      <c r="P1239" s="35"/>
      <c r="Q1239" s="7">
        <f>Q1240</f>
        <v>215795.7</v>
      </c>
      <c r="R1239" s="35">
        <f t="shared" si="276"/>
        <v>215795.7</v>
      </c>
      <c r="S1239" s="7">
        <f>S1240</f>
        <v>0</v>
      </c>
      <c r="T1239" s="35">
        <f t="shared" si="273"/>
        <v>215795.7</v>
      </c>
    </row>
    <row r="1240" spans="1:20">
      <c r="A1240" s="61" t="str">
        <f ca="1">IF(ISERROR(MATCH(C1240,Код_Раздел,0)),"",INDIRECT(ADDRESS(MATCH(C1240,Код_Раздел,0)+1,2,,,"Раздел")))</f>
        <v>Образование</v>
      </c>
      <c r="B1240" s="45" t="s">
        <v>640</v>
      </c>
      <c r="C1240" s="8" t="s">
        <v>195</v>
      </c>
      <c r="D1240" s="1"/>
      <c r="E1240" s="111"/>
      <c r="F1240" s="7"/>
      <c r="G1240" s="7"/>
      <c r="H1240" s="35"/>
      <c r="I1240" s="7"/>
      <c r="J1240" s="35"/>
      <c r="K1240" s="7"/>
      <c r="L1240" s="35"/>
      <c r="M1240" s="7"/>
      <c r="N1240" s="35"/>
      <c r="O1240" s="7"/>
      <c r="P1240" s="35"/>
      <c r="Q1240" s="7">
        <f>Q1241</f>
        <v>215795.7</v>
      </c>
      <c r="R1240" s="35">
        <f t="shared" si="276"/>
        <v>215795.7</v>
      </c>
      <c r="S1240" s="7">
        <f>S1241</f>
        <v>0</v>
      </c>
      <c r="T1240" s="35">
        <f t="shared" si="273"/>
        <v>215795.7</v>
      </c>
    </row>
    <row r="1241" spans="1:20">
      <c r="A1241" s="12" t="s">
        <v>251</v>
      </c>
      <c r="B1241" s="45" t="s">
        <v>640</v>
      </c>
      <c r="C1241" s="8" t="s">
        <v>195</v>
      </c>
      <c r="D1241" s="8" t="s">
        <v>219</v>
      </c>
      <c r="E1241" s="111"/>
      <c r="F1241" s="7"/>
      <c r="G1241" s="7"/>
      <c r="H1241" s="35"/>
      <c r="I1241" s="7"/>
      <c r="J1241" s="35"/>
      <c r="K1241" s="7"/>
      <c r="L1241" s="35"/>
      <c r="M1241" s="7"/>
      <c r="N1241" s="35"/>
      <c r="O1241" s="7"/>
      <c r="P1241" s="35"/>
      <c r="Q1241" s="7">
        <f>Q1242</f>
        <v>215795.7</v>
      </c>
      <c r="R1241" s="35">
        <f t="shared" si="276"/>
        <v>215795.7</v>
      </c>
      <c r="S1241" s="7">
        <f>S1242</f>
        <v>0</v>
      </c>
      <c r="T1241" s="35">
        <f t="shared" si="273"/>
        <v>215795.7</v>
      </c>
    </row>
    <row r="1242" spans="1:20" ht="33">
      <c r="A1242" s="61" t="str">
        <f t="shared" ref="A1242:A1244" ca="1" si="280">IF(ISERROR(MATCH(E1242,Код_КВР,0)),"",INDIRECT(ADDRESS(MATCH(E1242,Код_КВР,0)+1,2,,,"КВР")))</f>
        <v>Капитальные вложения в объекты недвижимого имущества муниципальной собственности</v>
      </c>
      <c r="B1242" s="45" t="s">
        <v>640</v>
      </c>
      <c r="C1242" s="8" t="s">
        <v>195</v>
      </c>
      <c r="D1242" s="8" t="s">
        <v>219</v>
      </c>
      <c r="E1242" s="111">
        <v>400</v>
      </c>
      <c r="F1242" s="7"/>
      <c r="G1242" s="7"/>
      <c r="H1242" s="35"/>
      <c r="I1242" s="7"/>
      <c r="J1242" s="35"/>
      <c r="K1242" s="7"/>
      <c r="L1242" s="35"/>
      <c r="M1242" s="7"/>
      <c r="N1242" s="35"/>
      <c r="O1242" s="7"/>
      <c r="P1242" s="35"/>
      <c r="Q1242" s="7">
        <f>Q1243</f>
        <v>215795.7</v>
      </c>
      <c r="R1242" s="35">
        <f t="shared" si="276"/>
        <v>215795.7</v>
      </c>
      <c r="S1242" s="7">
        <f>S1243</f>
        <v>0</v>
      </c>
      <c r="T1242" s="35">
        <f t="shared" si="273"/>
        <v>215795.7</v>
      </c>
    </row>
    <row r="1243" spans="1:20">
      <c r="A1243" s="61" t="str">
        <f t="shared" ca="1" si="280"/>
        <v>Бюджетные инвестиции</v>
      </c>
      <c r="B1243" s="45" t="s">
        <v>640</v>
      </c>
      <c r="C1243" s="8" t="s">
        <v>195</v>
      </c>
      <c r="D1243" s="8" t="s">
        <v>219</v>
      </c>
      <c r="E1243" s="111">
        <v>410</v>
      </c>
      <c r="F1243" s="7"/>
      <c r="G1243" s="7"/>
      <c r="H1243" s="35"/>
      <c r="I1243" s="7"/>
      <c r="J1243" s="35"/>
      <c r="K1243" s="7"/>
      <c r="L1243" s="35"/>
      <c r="M1243" s="7"/>
      <c r="N1243" s="35"/>
      <c r="O1243" s="7"/>
      <c r="P1243" s="35"/>
      <c r="Q1243" s="7">
        <f>прил.6!R1669</f>
        <v>215795.7</v>
      </c>
      <c r="R1243" s="35">
        <f t="shared" si="276"/>
        <v>215795.7</v>
      </c>
      <c r="S1243" s="7">
        <f>прил.6!T1669</f>
        <v>0</v>
      </c>
      <c r="T1243" s="35">
        <f t="shared" si="273"/>
        <v>215795.7</v>
      </c>
    </row>
    <row r="1244" spans="1:20" ht="40.5" customHeight="1">
      <c r="A1244" s="61" t="str">
        <f t="shared" ca="1" si="280"/>
        <v>Бюджетные инвестиции в объекты капитального строительства муниципальной собственности</v>
      </c>
      <c r="B1244" s="45" t="s">
        <v>640</v>
      </c>
      <c r="C1244" s="8" t="s">
        <v>195</v>
      </c>
      <c r="D1244" s="8" t="s">
        <v>219</v>
      </c>
      <c r="E1244" s="111">
        <v>414</v>
      </c>
      <c r="F1244" s="7"/>
      <c r="G1244" s="7"/>
      <c r="H1244" s="35"/>
      <c r="I1244" s="7"/>
      <c r="J1244" s="35"/>
      <c r="K1244" s="7"/>
      <c r="L1244" s="35"/>
      <c r="M1244" s="7"/>
      <c r="N1244" s="35"/>
      <c r="O1244" s="7"/>
      <c r="P1244" s="35"/>
      <c r="Q1244" s="7">
        <f>прил.6!R1670</f>
        <v>215795.7</v>
      </c>
      <c r="R1244" s="35">
        <f t="shared" si="276"/>
        <v>215795.7</v>
      </c>
      <c r="S1244" s="7">
        <f>прил.6!T1670</f>
        <v>0</v>
      </c>
      <c r="T1244" s="35">
        <f t="shared" si="273"/>
        <v>215795.7</v>
      </c>
    </row>
    <row r="1245" spans="1:20" ht="57.75" customHeight="1">
      <c r="A1245" s="61" t="str">
        <f ca="1">IF(ISERROR(MATCH(B1245,Код_КЦСР,0)),"",INDIRECT(ADDRESS(MATCH(B1245,Код_КЦСР,0)+1,2,,,"КЦСР")))</f>
        <v>Создание и развитие сети многофункциональных центров предоставления государственных и муниципальных услуг за счет иных межбюджетных трасфертов из федерального бюджета</v>
      </c>
      <c r="B1245" s="45" t="s">
        <v>692</v>
      </c>
      <c r="C1245" s="8"/>
      <c r="D1245" s="8"/>
      <c r="E1245" s="140"/>
      <c r="F1245" s="7"/>
      <c r="G1245" s="7"/>
      <c r="H1245" s="35"/>
      <c r="I1245" s="7"/>
      <c r="J1245" s="35"/>
      <c r="K1245" s="7"/>
      <c r="L1245" s="35"/>
      <c r="M1245" s="7"/>
      <c r="N1245" s="35"/>
      <c r="O1245" s="7"/>
      <c r="P1245" s="35"/>
      <c r="Q1245" s="7"/>
      <c r="R1245" s="35">
        <f t="shared" si="276"/>
        <v>0</v>
      </c>
      <c r="S1245" s="7">
        <f>S1246</f>
        <v>13403.3</v>
      </c>
      <c r="T1245" s="35">
        <f t="shared" si="273"/>
        <v>13403.3</v>
      </c>
    </row>
    <row r="1246" spans="1:20">
      <c r="A1246" s="61" t="str">
        <f ca="1">IF(ISERROR(MATCH(C1246,Код_Раздел,0)),"",INDIRECT(ADDRESS(MATCH(C1246,Код_Раздел,0)+1,2,,,"Раздел")))</f>
        <v>Общегосударственные  вопросы</v>
      </c>
      <c r="B1246" s="45" t="s">
        <v>692</v>
      </c>
      <c r="C1246" s="8" t="s">
        <v>213</v>
      </c>
      <c r="D1246" s="8"/>
      <c r="E1246" s="140"/>
      <c r="F1246" s="7"/>
      <c r="G1246" s="7"/>
      <c r="H1246" s="35"/>
      <c r="I1246" s="7"/>
      <c r="J1246" s="35"/>
      <c r="K1246" s="7"/>
      <c r="L1246" s="35"/>
      <c r="M1246" s="7"/>
      <c r="N1246" s="35"/>
      <c r="O1246" s="7"/>
      <c r="P1246" s="35"/>
      <c r="Q1246" s="7"/>
      <c r="R1246" s="35">
        <f t="shared" si="276"/>
        <v>0</v>
      </c>
      <c r="S1246" s="7">
        <f>S1247</f>
        <v>13403.3</v>
      </c>
      <c r="T1246" s="35">
        <f t="shared" si="273"/>
        <v>13403.3</v>
      </c>
    </row>
    <row r="1247" spans="1:20">
      <c r="A1247" s="12" t="s">
        <v>237</v>
      </c>
      <c r="B1247" s="45" t="s">
        <v>692</v>
      </c>
      <c r="C1247" s="8" t="s">
        <v>213</v>
      </c>
      <c r="D1247" s="8" t="s">
        <v>190</v>
      </c>
      <c r="E1247" s="140"/>
      <c r="F1247" s="7"/>
      <c r="G1247" s="7"/>
      <c r="H1247" s="35"/>
      <c r="I1247" s="7"/>
      <c r="J1247" s="35"/>
      <c r="K1247" s="7"/>
      <c r="L1247" s="35"/>
      <c r="M1247" s="7"/>
      <c r="N1247" s="35"/>
      <c r="O1247" s="7"/>
      <c r="P1247" s="35"/>
      <c r="Q1247" s="7"/>
      <c r="R1247" s="35">
        <f t="shared" si="276"/>
        <v>0</v>
      </c>
      <c r="S1247" s="7">
        <f>S1248</f>
        <v>13403.3</v>
      </c>
      <c r="T1247" s="35">
        <f t="shared" si="273"/>
        <v>13403.3</v>
      </c>
    </row>
    <row r="1248" spans="1:20">
      <c r="A1248" s="61" t="str">
        <f t="shared" ref="A1248:A1250" ca="1" si="281">IF(ISERROR(MATCH(E1248,Код_КВР,0)),"",INDIRECT(ADDRESS(MATCH(E1248,Код_КВР,0)+1,2,,,"КВР")))</f>
        <v>Закупка товаров, работ и услуг для муниципальных нужд</v>
      </c>
      <c r="B1248" s="45" t="s">
        <v>692</v>
      </c>
      <c r="C1248" s="8" t="s">
        <v>213</v>
      </c>
      <c r="D1248" s="8" t="s">
        <v>190</v>
      </c>
      <c r="E1248" s="140">
        <v>200</v>
      </c>
      <c r="F1248" s="7"/>
      <c r="G1248" s="7"/>
      <c r="H1248" s="35"/>
      <c r="I1248" s="7"/>
      <c r="J1248" s="35"/>
      <c r="K1248" s="7"/>
      <c r="L1248" s="35"/>
      <c r="M1248" s="7"/>
      <c r="N1248" s="35"/>
      <c r="O1248" s="7"/>
      <c r="P1248" s="35"/>
      <c r="Q1248" s="7"/>
      <c r="R1248" s="35">
        <f t="shared" si="276"/>
        <v>0</v>
      </c>
      <c r="S1248" s="7">
        <f>S1249</f>
        <v>13403.3</v>
      </c>
      <c r="T1248" s="35">
        <f t="shared" si="273"/>
        <v>13403.3</v>
      </c>
    </row>
    <row r="1249" spans="1:20" ht="33">
      <c r="A1249" s="61" t="str">
        <f t="shared" ca="1" si="281"/>
        <v>Иные закупки товаров, работ и услуг для обеспечения муниципальных нужд</v>
      </c>
      <c r="B1249" s="45" t="s">
        <v>692</v>
      </c>
      <c r="C1249" s="8" t="s">
        <v>213</v>
      </c>
      <c r="D1249" s="8" t="s">
        <v>190</v>
      </c>
      <c r="E1249" s="140">
        <v>240</v>
      </c>
      <c r="F1249" s="7"/>
      <c r="G1249" s="7"/>
      <c r="H1249" s="35"/>
      <c r="I1249" s="7"/>
      <c r="J1249" s="35"/>
      <c r="K1249" s="7"/>
      <c r="L1249" s="35"/>
      <c r="M1249" s="7"/>
      <c r="N1249" s="35"/>
      <c r="O1249" s="7"/>
      <c r="P1249" s="35"/>
      <c r="Q1249" s="7"/>
      <c r="R1249" s="35">
        <f t="shared" si="276"/>
        <v>0</v>
      </c>
      <c r="S1249" s="7">
        <f>прил.6!T1502</f>
        <v>13403.3</v>
      </c>
      <c r="T1249" s="35">
        <f t="shared" si="273"/>
        <v>13403.3</v>
      </c>
    </row>
    <row r="1250" spans="1:20" ht="36" customHeight="1">
      <c r="A1250" s="61" t="str">
        <f t="shared" ca="1" si="281"/>
        <v>Закупка товаров, работ, услуг в целях капитального ремонта муниципального имущества</v>
      </c>
      <c r="B1250" s="45" t="s">
        <v>692</v>
      </c>
      <c r="C1250" s="8" t="s">
        <v>213</v>
      </c>
      <c r="D1250" s="8" t="s">
        <v>190</v>
      </c>
      <c r="E1250" s="140">
        <v>243</v>
      </c>
      <c r="F1250" s="7"/>
      <c r="G1250" s="7"/>
      <c r="H1250" s="35"/>
      <c r="I1250" s="7"/>
      <c r="J1250" s="35"/>
      <c r="K1250" s="7"/>
      <c r="L1250" s="35"/>
      <c r="M1250" s="7"/>
      <c r="N1250" s="35"/>
      <c r="O1250" s="7"/>
      <c r="P1250" s="35"/>
      <c r="Q1250" s="7"/>
      <c r="R1250" s="35">
        <f t="shared" si="276"/>
        <v>0</v>
      </c>
      <c r="S1250" s="7">
        <f>прил.6!T1503</f>
        <v>13403.3</v>
      </c>
      <c r="T1250" s="35">
        <f t="shared" si="273"/>
        <v>13403.3</v>
      </c>
    </row>
    <row r="1251" spans="1:20" ht="36" customHeight="1">
      <c r="A1251" s="61" t="str">
        <f ca="1">IF(ISERROR(MATCH(B1251,Код_КЦСР,0)),"",INDIRECT(ADDRESS(MATCH(B1251,Код_КЦСР,0)+1,2,,,"КЦСР")))</f>
        <v>Реализация перспективных проектов в сфере развития туризма за счет субсидии из областного бюджета</v>
      </c>
      <c r="B1251" s="45" t="s">
        <v>690</v>
      </c>
      <c r="C1251" s="8"/>
      <c r="D1251" s="8"/>
      <c r="E1251" s="140"/>
      <c r="F1251" s="7"/>
      <c r="G1251" s="7"/>
      <c r="H1251" s="35"/>
      <c r="I1251" s="7"/>
      <c r="J1251" s="35"/>
      <c r="K1251" s="7"/>
      <c r="L1251" s="35"/>
      <c r="M1251" s="7"/>
      <c r="N1251" s="35"/>
      <c r="O1251" s="7"/>
      <c r="P1251" s="35"/>
      <c r="Q1251" s="7"/>
      <c r="R1251" s="35">
        <f t="shared" si="276"/>
        <v>0</v>
      </c>
      <c r="S1251" s="7">
        <f>S1252</f>
        <v>5350</v>
      </c>
      <c r="T1251" s="35">
        <f t="shared" si="273"/>
        <v>5350</v>
      </c>
    </row>
    <row r="1252" spans="1:20">
      <c r="A1252" s="61" t="str">
        <f ca="1">IF(ISERROR(MATCH(C1252,Код_Раздел,0)),"",INDIRECT(ADDRESS(MATCH(C1252,Код_Раздел,0)+1,2,,,"Раздел")))</f>
        <v>Национальная экономика</v>
      </c>
      <c r="B1252" s="45" t="s">
        <v>690</v>
      </c>
      <c r="C1252" s="8" t="s">
        <v>216</v>
      </c>
      <c r="D1252" s="8"/>
      <c r="E1252" s="140"/>
      <c r="F1252" s="7"/>
      <c r="G1252" s="7"/>
      <c r="H1252" s="35"/>
      <c r="I1252" s="7"/>
      <c r="J1252" s="35"/>
      <c r="K1252" s="7"/>
      <c r="L1252" s="35"/>
      <c r="M1252" s="7"/>
      <c r="N1252" s="35"/>
      <c r="O1252" s="7"/>
      <c r="P1252" s="35"/>
      <c r="Q1252" s="7"/>
      <c r="R1252" s="35">
        <f t="shared" si="276"/>
        <v>0</v>
      </c>
      <c r="S1252" s="7">
        <f>S1253</f>
        <v>5350</v>
      </c>
      <c r="T1252" s="35">
        <f t="shared" si="273"/>
        <v>5350</v>
      </c>
    </row>
    <row r="1253" spans="1:20">
      <c r="A1253" s="12" t="s">
        <v>223</v>
      </c>
      <c r="B1253" s="45" t="s">
        <v>690</v>
      </c>
      <c r="C1253" s="8" t="s">
        <v>216</v>
      </c>
      <c r="D1253" s="8" t="s">
        <v>196</v>
      </c>
      <c r="E1253" s="140"/>
      <c r="F1253" s="7"/>
      <c r="G1253" s="7"/>
      <c r="H1253" s="35"/>
      <c r="I1253" s="7"/>
      <c r="J1253" s="35"/>
      <c r="K1253" s="7"/>
      <c r="L1253" s="35"/>
      <c r="M1253" s="7"/>
      <c r="N1253" s="35"/>
      <c r="O1253" s="7"/>
      <c r="P1253" s="35"/>
      <c r="Q1253" s="7"/>
      <c r="R1253" s="35">
        <f t="shared" si="276"/>
        <v>0</v>
      </c>
      <c r="S1253" s="7">
        <f>S1254</f>
        <v>5350</v>
      </c>
      <c r="T1253" s="35">
        <f t="shared" si="273"/>
        <v>5350</v>
      </c>
    </row>
    <row r="1254" spans="1:20" ht="33">
      <c r="A1254" s="61" t="str">
        <f t="shared" ref="A1254:A1256" ca="1" si="282">IF(ISERROR(MATCH(E1254,Код_КВР,0)),"",INDIRECT(ADDRESS(MATCH(E1254,Код_КВР,0)+1,2,,,"КВР")))</f>
        <v>Капитальные вложения в объекты недвижимого имущества муниципальной собственности</v>
      </c>
      <c r="B1254" s="45" t="s">
        <v>690</v>
      </c>
      <c r="C1254" s="8" t="s">
        <v>216</v>
      </c>
      <c r="D1254" s="8" t="s">
        <v>196</v>
      </c>
      <c r="E1254" s="140">
        <v>400</v>
      </c>
      <c r="F1254" s="7"/>
      <c r="G1254" s="7"/>
      <c r="H1254" s="35"/>
      <c r="I1254" s="7"/>
      <c r="J1254" s="35"/>
      <c r="K1254" s="7"/>
      <c r="L1254" s="35"/>
      <c r="M1254" s="7"/>
      <c r="N1254" s="35"/>
      <c r="O1254" s="7"/>
      <c r="P1254" s="35"/>
      <c r="Q1254" s="7"/>
      <c r="R1254" s="35">
        <f t="shared" si="276"/>
        <v>0</v>
      </c>
      <c r="S1254" s="7">
        <f>S1255</f>
        <v>5350</v>
      </c>
      <c r="T1254" s="35">
        <f t="shared" si="273"/>
        <v>5350</v>
      </c>
    </row>
    <row r="1255" spans="1:20">
      <c r="A1255" s="61" t="str">
        <f t="shared" ca="1" si="282"/>
        <v>Бюджетные инвестиции</v>
      </c>
      <c r="B1255" s="45" t="s">
        <v>690</v>
      </c>
      <c r="C1255" s="8" t="s">
        <v>216</v>
      </c>
      <c r="D1255" s="8" t="s">
        <v>196</v>
      </c>
      <c r="E1255" s="140">
        <v>410</v>
      </c>
      <c r="F1255" s="7"/>
      <c r="G1255" s="7"/>
      <c r="H1255" s="35"/>
      <c r="I1255" s="7"/>
      <c r="J1255" s="35"/>
      <c r="K1255" s="7"/>
      <c r="L1255" s="35"/>
      <c r="M1255" s="7"/>
      <c r="N1255" s="35"/>
      <c r="O1255" s="7"/>
      <c r="P1255" s="35"/>
      <c r="Q1255" s="7"/>
      <c r="R1255" s="35">
        <f t="shared" si="276"/>
        <v>0</v>
      </c>
      <c r="S1255" s="7">
        <f>прил.6!T1578</f>
        <v>5350</v>
      </c>
      <c r="T1255" s="35">
        <f t="shared" si="273"/>
        <v>5350</v>
      </c>
    </row>
    <row r="1256" spans="1:20" ht="33">
      <c r="A1256" s="61" t="str">
        <f t="shared" ca="1" si="282"/>
        <v>Бюджетные инвестиции в объекты капитального строительства муниципальной собственности</v>
      </c>
      <c r="B1256" s="45" t="s">
        <v>690</v>
      </c>
      <c r="C1256" s="8" t="s">
        <v>216</v>
      </c>
      <c r="D1256" s="8" t="s">
        <v>196</v>
      </c>
      <c r="E1256" s="140">
        <v>414</v>
      </c>
      <c r="F1256" s="7"/>
      <c r="G1256" s="7"/>
      <c r="H1256" s="35"/>
      <c r="I1256" s="7"/>
      <c r="J1256" s="35"/>
      <c r="K1256" s="7"/>
      <c r="L1256" s="35"/>
      <c r="M1256" s="7"/>
      <c r="N1256" s="35"/>
      <c r="O1256" s="7"/>
      <c r="P1256" s="35"/>
      <c r="Q1256" s="7"/>
      <c r="R1256" s="35">
        <f t="shared" si="276"/>
        <v>0</v>
      </c>
      <c r="S1256" s="7">
        <f>прил.6!T1579</f>
        <v>5350</v>
      </c>
      <c r="T1256" s="35">
        <f t="shared" si="273"/>
        <v>5350</v>
      </c>
    </row>
    <row r="1257" spans="1:20" ht="49.5">
      <c r="A1257" s="61" t="str">
        <f ca="1">IF(ISERROR(MATCH(B1257,Код_КЦСР,0)),"",INDIRECT(ADDRESS(MATCH(B1257,Код_КЦСР,0)+1,2,,,"КЦСР")))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1257" s="45" t="s">
        <v>79</v>
      </c>
      <c r="C1257" s="8"/>
      <c r="D1257" s="1"/>
      <c r="E1257" s="104"/>
      <c r="F1257" s="7">
        <f>F1258+F1326</f>
        <v>54441.599999999999</v>
      </c>
      <c r="G1257" s="7">
        <f>G1258+G1326</f>
        <v>0</v>
      </c>
      <c r="H1257" s="35">
        <f t="shared" si="278"/>
        <v>54441.599999999999</v>
      </c>
      <c r="I1257" s="7">
        <f>I1258+I1326</f>
        <v>7.5</v>
      </c>
      <c r="J1257" s="35">
        <f t="shared" si="275"/>
        <v>54449.1</v>
      </c>
      <c r="K1257" s="7">
        <f>K1258+K1326</f>
        <v>-3424</v>
      </c>
      <c r="L1257" s="35">
        <f t="shared" si="269"/>
        <v>51025.1</v>
      </c>
      <c r="M1257" s="7">
        <f>M1258+M1326</f>
        <v>0</v>
      </c>
      <c r="N1257" s="35">
        <f t="shared" si="270"/>
        <v>51025.1</v>
      </c>
      <c r="O1257" s="7">
        <f>O1258+O1326</f>
        <v>0</v>
      </c>
      <c r="P1257" s="35">
        <f t="shared" si="279"/>
        <v>51025.1</v>
      </c>
      <c r="Q1257" s="7">
        <f>Q1258+Q1326</f>
        <v>80.099999999999994</v>
      </c>
      <c r="R1257" s="35">
        <f t="shared" si="276"/>
        <v>51105.2</v>
      </c>
      <c r="S1257" s="7">
        <f>S1258+S1326</f>
        <v>0</v>
      </c>
      <c r="T1257" s="35">
        <f t="shared" si="273"/>
        <v>51105.2</v>
      </c>
    </row>
    <row r="1258" spans="1:20" ht="33">
      <c r="A1258" s="61" t="str">
        <f ca="1">IF(ISERROR(MATCH(B1258,Код_КЦСР,0)),"",INDIRECT(ADDRESS(MATCH(B1258,Код_КЦСР,0)+1,2,,,"КЦСР")))</f>
        <v>Обеспечение пожарной безопасности муниципальных учреждений города</v>
      </c>
      <c r="B1258" s="45" t="s">
        <v>81</v>
      </c>
      <c r="C1258" s="8"/>
      <c r="D1258" s="1"/>
      <c r="E1258" s="104"/>
      <c r="F1258" s="7">
        <f>F1259+F1285+F1318</f>
        <v>5000</v>
      </c>
      <c r="G1258" s="7">
        <f>G1259+G1285+G1318</f>
        <v>0</v>
      </c>
      <c r="H1258" s="35">
        <f t="shared" si="278"/>
        <v>5000</v>
      </c>
      <c r="I1258" s="7">
        <f>I1259+I1285+I1318</f>
        <v>7.5</v>
      </c>
      <c r="J1258" s="35">
        <f t="shared" si="275"/>
        <v>5007.5</v>
      </c>
      <c r="K1258" s="7">
        <f>K1259+K1285+K1318</f>
        <v>0</v>
      </c>
      <c r="L1258" s="35">
        <f t="shared" si="269"/>
        <v>5007.5</v>
      </c>
      <c r="M1258" s="7">
        <f>M1259+M1285+M1318</f>
        <v>0</v>
      </c>
      <c r="N1258" s="35">
        <f t="shared" si="270"/>
        <v>5007.5</v>
      </c>
      <c r="O1258" s="7">
        <f>O1259+O1285+O1318</f>
        <v>0</v>
      </c>
      <c r="P1258" s="35">
        <f t="shared" si="279"/>
        <v>5007.5</v>
      </c>
      <c r="Q1258" s="7">
        <f>Q1259+Q1285+Q1318</f>
        <v>0</v>
      </c>
      <c r="R1258" s="35">
        <f t="shared" si="276"/>
        <v>5007.5</v>
      </c>
      <c r="S1258" s="7">
        <f>S1259+S1285+S1318+S1300+S1306+S1312</f>
        <v>0</v>
      </c>
      <c r="T1258" s="35">
        <f t="shared" si="273"/>
        <v>5007.5</v>
      </c>
    </row>
    <row r="1259" spans="1:20" ht="49.5">
      <c r="A1259" s="61" t="str">
        <f ca="1">IF(ISERROR(MATCH(B1259,Код_КЦСР,0)),"",INDIRECT(ADDRESS(MATCH(B1259,Код_КЦСР,0)+1,2,,,"КЦСР")))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1259" s="45" t="s">
        <v>83</v>
      </c>
      <c r="C1259" s="8"/>
      <c r="D1259" s="1"/>
      <c r="E1259" s="104"/>
      <c r="F1259" s="7">
        <f>F1260+F1265+F1275</f>
        <v>1655</v>
      </c>
      <c r="G1259" s="7">
        <f>G1260+G1265+G1275</f>
        <v>0</v>
      </c>
      <c r="H1259" s="35">
        <f t="shared" si="278"/>
        <v>1655</v>
      </c>
      <c r="I1259" s="7">
        <f>I1260+I1265+I1275+I1280</f>
        <v>7.5</v>
      </c>
      <c r="J1259" s="35">
        <f t="shared" si="275"/>
        <v>1662.5</v>
      </c>
      <c r="K1259" s="7">
        <f>K1260+K1265+K1275+K1280</f>
        <v>0</v>
      </c>
      <c r="L1259" s="35">
        <f t="shared" si="269"/>
        <v>1662.5</v>
      </c>
      <c r="M1259" s="7">
        <f>M1260+M1265+M1275+M1280</f>
        <v>0</v>
      </c>
      <c r="N1259" s="35">
        <f t="shared" si="270"/>
        <v>1662.5</v>
      </c>
      <c r="O1259" s="7">
        <f>O1260+O1265+O1275+O1280</f>
        <v>0</v>
      </c>
      <c r="P1259" s="35">
        <f t="shared" si="279"/>
        <v>1662.5</v>
      </c>
      <c r="Q1259" s="7">
        <f>Q1260+Q1265+Q1275+Q1280</f>
        <v>0</v>
      </c>
      <c r="R1259" s="35">
        <f t="shared" si="276"/>
        <v>1662.5</v>
      </c>
      <c r="S1259" s="7">
        <f>S1260+S1265+S1275+S1280</f>
        <v>-95.800000000000011</v>
      </c>
      <c r="T1259" s="35">
        <f t="shared" si="273"/>
        <v>1566.7</v>
      </c>
    </row>
    <row r="1260" spans="1:20">
      <c r="A1260" s="61" t="str">
        <f ca="1">IF(ISERROR(MATCH(C1260,Код_Раздел,0)),"",INDIRECT(ADDRESS(MATCH(C1260,Код_Раздел,0)+1,2,,,"Раздел")))</f>
        <v>Национальная безопасность и правоохранительная  деятельность</v>
      </c>
      <c r="B1260" s="45" t="s">
        <v>83</v>
      </c>
      <c r="C1260" s="8" t="s">
        <v>215</v>
      </c>
      <c r="D1260" s="1"/>
      <c r="E1260" s="104"/>
      <c r="F1260" s="7">
        <f t="shared" ref="F1260:S1263" si="283">F1261</f>
        <v>215</v>
      </c>
      <c r="G1260" s="7">
        <f t="shared" si="283"/>
        <v>0</v>
      </c>
      <c r="H1260" s="35">
        <f t="shared" si="278"/>
        <v>215</v>
      </c>
      <c r="I1260" s="7">
        <f t="shared" si="283"/>
        <v>0</v>
      </c>
      <c r="J1260" s="35">
        <f t="shared" si="275"/>
        <v>215</v>
      </c>
      <c r="K1260" s="7">
        <f t="shared" si="283"/>
        <v>0</v>
      </c>
      <c r="L1260" s="35">
        <f t="shared" si="269"/>
        <v>215</v>
      </c>
      <c r="M1260" s="7">
        <f t="shared" si="283"/>
        <v>0</v>
      </c>
      <c r="N1260" s="35">
        <f t="shared" si="270"/>
        <v>215</v>
      </c>
      <c r="O1260" s="7">
        <f t="shared" si="283"/>
        <v>0</v>
      </c>
      <c r="P1260" s="35">
        <f t="shared" si="279"/>
        <v>215</v>
      </c>
      <c r="Q1260" s="7">
        <f t="shared" si="283"/>
        <v>0</v>
      </c>
      <c r="R1260" s="35">
        <f t="shared" si="276"/>
        <v>215</v>
      </c>
      <c r="S1260" s="7">
        <f t="shared" si="283"/>
        <v>0</v>
      </c>
      <c r="T1260" s="35">
        <f t="shared" si="273"/>
        <v>215</v>
      </c>
    </row>
    <row r="1261" spans="1:20" ht="33">
      <c r="A1261" s="12" t="s">
        <v>262</v>
      </c>
      <c r="B1261" s="45" t="s">
        <v>83</v>
      </c>
      <c r="C1261" s="8" t="s">
        <v>215</v>
      </c>
      <c r="D1261" s="1" t="s">
        <v>219</v>
      </c>
      <c r="E1261" s="104"/>
      <c r="F1261" s="7">
        <f t="shared" si="283"/>
        <v>215</v>
      </c>
      <c r="G1261" s="7">
        <f t="shared" si="283"/>
        <v>0</v>
      </c>
      <c r="H1261" s="35">
        <f t="shared" si="278"/>
        <v>215</v>
      </c>
      <c r="I1261" s="7">
        <f t="shared" si="283"/>
        <v>0</v>
      </c>
      <c r="J1261" s="35">
        <f t="shared" si="275"/>
        <v>215</v>
      </c>
      <c r="K1261" s="7">
        <f t="shared" si="283"/>
        <v>0</v>
      </c>
      <c r="L1261" s="35">
        <f t="shared" si="269"/>
        <v>215</v>
      </c>
      <c r="M1261" s="7">
        <f t="shared" si="283"/>
        <v>0</v>
      </c>
      <c r="N1261" s="35">
        <f t="shared" si="270"/>
        <v>215</v>
      </c>
      <c r="O1261" s="7">
        <f t="shared" si="283"/>
        <v>0</v>
      </c>
      <c r="P1261" s="35">
        <f t="shared" si="279"/>
        <v>215</v>
      </c>
      <c r="Q1261" s="7">
        <f t="shared" si="283"/>
        <v>0</v>
      </c>
      <c r="R1261" s="35">
        <f t="shared" si="276"/>
        <v>215</v>
      </c>
      <c r="S1261" s="7">
        <f t="shared" si="283"/>
        <v>0</v>
      </c>
      <c r="T1261" s="35">
        <f t="shared" si="273"/>
        <v>215</v>
      </c>
    </row>
    <row r="1262" spans="1:20" ht="18.75" customHeight="1">
      <c r="A1262" s="61" t="str">
        <f ca="1">IF(ISERROR(MATCH(E1262,Код_КВР,0)),"",INDIRECT(ADDRESS(MATCH(E1262,Код_КВР,0)+1,2,,,"КВР")))</f>
        <v>Закупка товаров, работ и услуг для муниципальных нужд</v>
      </c>
      <c r="B1262" s="45" t="s">
        <v>83</v>
      </c>
      <c r="C1262" s="8" t="s">
        <v>215</v>
      </c>
      <c r="D1262" s="1" t="s">
        <v>219</v>
      </c>
      <c r="E1262" s="104">
        <v>200</v>
      </c>
      <c r="F1262" s="7">
        <f t="shared" si="283"/>
        <v>215</v>
      </c>
      <c r="G1262" s="7">
        <f t="shared" si="283"/>
        <v>0</v>
      </c>
      <c r="H1262" s="35">
        <f t="shared" si="278"/>
        <v>215</v>
      </c>
      <c r="I1262" s="7">
        <f t="shared" si="283"/>
        <v>0</v>
      </c>
      <c r="J1262" s="35">
        <f t="shared" si="275"/>
        <v>215</v>
      </c>
      <c r="K1262" s="7">
        <f t="shared" si="283"/>
        <v>0</v>
      </c>
      <c r="L1262" s="35">
        <f t="shared" si="269"/>
        <v>215</v>
      </c>
      <c r="M1262" s="7">
        <f t="shared" si="283"/>
        <v>0</v>
      </c>
      <c r="N1262" s="35">
        <f t="shared" si="270"/>
        <v>215</v>
      </c>
      <c r="O1262" s="7">
        <f t="shared" si="283"/>
        <v>0</v>
      </c>
      <c r="P1262" s="35">
        <f t="shared" si="279"/>
        <v>215</v>
      </c>
      <c r="Q1262" s="7">
        <f t="shared" si="283"/>
        <v>0</v>
      </c>
      <c r="R1262" s="35">
        <f t="shared" si="276"/>
        <v>215</v>
      </c>
      <c r="S1262" s="7">
        <f t="shared" si="283"/>
        <v>0</v>
      </c>
      <c r="T1262" s="35">
        <f t="shared" si="273"/>
        <v>215</v>
      </c>
    </row>
    <row r="1263" spans="1:20" ht="33">
      <c r="A1263" s="61" t="str">
        <f ca="1">IF(ISERROR(MATCH(E1263,Код_КВР,0)),"",INDIRECT(ADDRESS(MATCH(E1263,Код_КВР,0)+1,2,,,"КВР")))</f>
        <v>Иные закупки товаров, работ и услуг для обеспечения муниципальных нужд</v>
      </c>
      <c r="B1263" s="45" t="s">
        <v>83</v>
      </c>
      <c r="C1263" s="8" t="s">
        <v>215</v>
      </c>
      <c r="D1263" s="1" t="s">
        <v>219</v>
      </c>
      <c r="E1263" s="104">
        <v>240</v>
      </c>
      <c r="F1263" s="7">
        <f t="shared" si="283"/>
        <v>215</v>
      </c>
      <c r="G1263" s="7">
        <f t="shared" si="283"/>
        <v>0</v>
      </c>
      <c r="H1263" s="35">
        <f t="shared" si="278"/>
        <v>215</v>
      </c>
      <c r="I1263" s="7">
        <f t="shared" si="283"/>
        <v>0</v>
      </c>
      <c r="J1263" s="35">
        <f t="shared" si="275"/>
        <v>215</v>
      </c>
      <c r="K1263" s="7">
        <f t="shared" si="283"/>
        <v>0</v>
      </c>
      <c r="L1263" s="35">
        <f t="shared" si="269"/>
        <v>215</v>
      </c>
      <c r="M1263" s="7">
        <f t="shared" si="283"/>
        <v>0</v>
      </c>
      <c r="N1263" s="35">
        <f t="shared" si="270"/>
        <v>215</v>
      </c>
      <c r="O1263" s="7">
        <f t="shared" si="283"/>
        <v>0</v>
      </c>
      <c r="P1263" s="35">
        <f t="shared" si="279"/>
        <v>215</v>
      </c>
      <c r="Q1263" s="7">
        <f t="shared" si="283"/>
        <v>0</v>
      </c>
      <c r="R1263" s="35">
        <f t="shared" si="276"/>
        <v>215</v>
      </c>
      <c r="S1263" s="7">
        <f t="shared" si="283"/>
        <v>0</v>
      </c>
      <c r="T1263" s="35">
        <f t="shared" si="273"/>
        <v>215</v>
      </c>
    </row>
    <row r="1264" spans="1:20" ht="33">
      <c r="A1264" s="61" t="str">
        <f ca="1">IF(ISERROR(MATCH(E1264,Код_КВР,0)),"",INDIRECT(ADDRESS(MATCH(E1264,Код_КВР,0)+1,2,,,"КВР")))</f>
        <v xml:space="preserve">Прочая закупка товаров, работ и услуг для обеспечения муниципальных нужд         </v>
      </c>
      <c r="B1264" s="45" t="s">
        <v>83</v>
      </c>
      <c r="C1264" s="8" t="s">
        <v>215</v>
      </c>
      <c r="D1264" s="1" t="s">
        <v>219</v>
      </c>
      <c r="E1264" s="104">
        <v>244</v>
      </c>
      <c r="F1264" s="7">
        <f>прил.6!G191</f>
        <v>215</v>
      </c>
      <c r="G1264" s="7">
        <f>прил.6!H191</f>
        <v>0</v>
      </c>
      <c r="H1264" s="35">
        <f t="shared" si="278"/>
        <v>215</v>
      </c>
      <c r="I1264" s="7">
        <f>прил.6!J191</f>
        <v>0</v>
      </c>
      <c r="J1264" s="35">
        <f t="shared" si="275"/>
        <v>215</v>
      </c>
      <c r="K1264" s="7">
        <f>прил.6!L191</f>
        <v>0</v>
      </c>
      <c r="L1264" s="35">
        <f t="shared" si="269"/>
        <v>215</v>
      </c>
      <c r="M1264" s="7">
        <f>прил.6!N191</f>
        <v>0</v>
      </c>
      <c r="N1264" s="35">
        <f t="shared" si="270"/>
        <v>215</v>
      </c>
      <c r="O1264" s="7">
        <f>прил.6!P191</f>
        <v>0</v>
      </c>
      <c r="P1264" s="35">
        <f t="shared" si="279"/>
        <v>215</v>
      </c>
      <c r="Q1264" s="7">
        <f>прил.6!R191</f>
        <v>0</v>
      </c>
      <c r="R1264" s="35">
        <f t="shared" si="276"/>
        <v>215</v>
      </c>
      <c r="S1264" s="7">
        <f>прил.6!T191</f>
        <v>0</v>
      </c>
      <c r="T1264" s="35">
        <f t="shared" si="273"/>
        <v>215</v>
      </c>
    </row>
    <row r="1265" spans="1:20">
      <c r="A1265" s="61" t="str">
        <f ca="1">IF(ISERROR(MATCH(C1265,Код_Раздел,0)),"",INDIRECT(ADDRESS(MATCH(C1265,Код_Раздел,0)+1,2,,,"Раздел")))</f>
        <v>Образование</v>
      </c>
      <c r="B1265" s="45" t="s">
        <v>83</v>
      </c>
      <c r="C1265" s="8" t="s">
        <v>195</v>
      </c>
      <c r="D1265" s="1"/>
      <c r="E1265" s="104"/>
      <c r="F1265" s="7">
        <f>F1266</f>
        <v>849</v>
      </c>
      <c r="G1265" s="7">
        <f>G1266</f>
        <v>0</v>
      </c>
      <c r="H1265" s="35">
        <f t="shared" si="278"/>
        <v>849</v>
      </c>
      <c r="I1265" s="7">
        <f>I1266</f>
        <v>0</v>
      </c>
      <c r="J1265" s="35">
        <f t="shared" si="275"/>
        <v>849</v>
      </c>
      <c r="K1265" s="7">
        <f>K1266</f>
        <v>0</v>
      </c>
      <c r="L1265" s="35">
        <f t="shared" si="269"/>
        <v>849</v>
      </c>
      <c r="M1265" s="7">
        <f>M1266</f>
        <v>0</v>
      </c>
      <c r="N1265" s="35">
        <f t="shared" si="270"/>
        <v>849</v>
      </c>
      <c r="O1265" s="7">
        <f>O1266</f>
        <v>0</v>
      </c>
      <c r="P1265" s="35">
        <f t="shared" si="279"/>
        <v>849</v>
      </c>
      <c r="Q1265" s="7">
        <f>Q1266</f>
        <v>0</v>
      </c>
      <c r="R1265" s="35">
        <f t="shared" si="276"/>
        <v>849</v>
      </c>
      <c r="S1265" s="7">
        <f>S1266</f>
        <v>50</v>
      </c>
      <c r="T1265" s="35">
        <f t="shared" si="273"/>
        <v>899</v>
      </c>
    </row>
    <row r="1266" spans="1:20">
      <c r="A1266" s="12" t="s">
        <v>251</v>
      </c>
      <c r="B1266" s="45" t="s">
        <v>83</v>
      </c>
      <c r="C1266" s="8" t="s">
        <v>195</v>
      </c>
      <c r="D1266" s="1" t="s">
        <v>219</v>
      </c>
      <c r="E1266" s="104"/>
      <c r="F1266" s="7">
        <f>F1267+F1270</f>
        <v>849</v>
      </c>
      <c r="G1266" s="7">
        <f>G1267+G1270</f>
        <v>0</v>
      </c>
      <c r="H1266" s="35">
        <f t="shared" si="278"/>
        <v>849</v>
      </c>
      <c r="I1266" s="7">
        <f>I1267+I1270</f>
        <v>0</v>
      </c>
      <c r="J1266" s="35">
        <f t="shared" si="275"/>
        <v>849</v>
      </c>
      <c r="K1266" s="7">
        <f>K1267+K1270</f>
        <v>0</v>
      </c>
      <c r="L1266" s="35">
        <f t="shared" si="269"/>
        <v>849</v>
      </c>
      <c r="M1266" s="7">
        <f>M1267+M1270</f>
        <v>0</v>
      </c>
      <c r="N1266" s="35">
        <f t="shared" si="270"/>
        <v>849</v>
      </c>
      <c r="O1266" s="7">
        <f>O1267+O1270</f>
        <v>0</v>
      </c>
      <c r="P1266" s="35">
        <f t="shared" si="279"/>
        <v>849</v>
      </c>
      <c r="Q1266" s="7">
        <f>Q1267+Q1270</f>
        <v>0</v>
      </c>
      <c r="R1266" s="35">
        <f t="shared" si="276"/>
        <v>849</v>
      </c>
      <c r="S1266" s="7">
        <f>S1267+S1270</f>
        <v>50</v>
      </c>
      <c r="T1266" s="35">
        <f t="shared" si="273"/>
        <v>899</v>
      </c>
    </row>
    <row r="1267" spans="1:20" hidden="1">
      <c r="A1267" s="61" t="str">
        <f t="shared" ref="A1267:A1274" ca="1" si="284">IF(ISERROR(MATCH(E1267,Код_КВР,0)),"",INDIRECT(ADDRESS(MATCH(E1267,Код_КВР,0)+1,2,,,"КВР")))</f>
        <v>Закупка товаров, работ и услуг для муниципальных нужд</v>
      </c>
      <c r="B1267" s="45" t="s">
        <v>83</v>
      </c>
      <c r="C1267" s="8" t="s">
        <v>195</v>
      </c>
      <c r="D1267" s="1" t="s">
        <v>219</v>
      </c>
      <c r="E1267" s="104">
        <v>200</v>
      </c>
      <c r="F1267" s="7">
        <f>F1268</f>
        <v>0</v>
      </c>
      <c r="G1267" s="7">
        <f>G1268</f>
        <v>0</v>
      </c>
      <c r="H1267" s="35">
        <f t="shared" si="278"/>
        <v>0</v>
      </c>
      <c r="I1267" s="7">
        <f>I1268</f>
        <v>0</v>
      </c>
      <c r="J1267" s="35">
        <f t="shared" si="275"/>
        <v>0</v>
      </c>
      <c r="K1267" s="7">
        <f>K1268</f>
        <v>0</v>
      </c>
      <c r="L1267" s="35">
        <f t="shared" si="269"/>
        <v>0</v>
      </c>
      <c r="M1267" s="7">
        <f>M1268</f>
        <v>0</v>
      </c>
      <c r="N1267" s="35">
        <f t="shared" si="270"/>
        <v>0</v>
      </c>
      <c r="O1267" s="7">
        <f>O1268</f>
        <v>0</v>
      </c>
      <c r="P1267" s="35">
        <f t="shared" si="279"/>
        <v>0</v>
      </c>
      <c r="Q1267" s="7">
        <f>Q1268</f>
        <v>0</v>
      </c>
      <c r="R1267" s="35">
        <f t="shared" si="276"/>
        <v>0</v>
      </c>
      <c r="S1267" s="7">
        <f>S1268</f>
        <v>0</v>
      </c>
      <c r="T1267" s="35">
        <f t="shared" si="273"/>
        <v>0</v>
      </c>
    </row>
    <row r="1268" spans="1:20" ht="33" hidden="1">
      <c r="A1268" s="61" t="str">
        <f t="shared" ca="1" si="284"/>
        <v>Иные закупки товаров, работ и услуг для обеспечения муниципальных нужд</v>
      </c>
      <c r="B1268" s="45" t="s">
        <v>83</v>
      </c>
      <c r="C1268" s="8" t="s">
        <v>195</v>
      </c>
      <c r="D1268" s="1" t="s">
        <v>219</v>
      </c>
      <c r="E1268" s="104">
        <v>240</v>
      </c>
      <c r="F1268" s="7">
        <f>F1269</f>
        <v>0</v>
      </c>
      <c r="G1268" s="7">
        <f>G1269</f>
        <v>0</v>
      </c>
      <c r="H1268" s="35">
        <f t="shared" si="278"/>
        <v>0</v>
      </c>
      <c r="I1268" s="7">
        <f>I1269</f>
        <v>0</v>
      </c>
      <c r="J1268" s="35">
        <f t="shared" si="275"/>
        <v>0</v>
      </c>
      <c r="K1268" s="7">
        <f>K1269</f>
        <v>0</v>
      </c>
      <c r="L1268" s="35">
        <f t="shared" si="269"/>
        <v>0</v>
      </c>
      <c r="M1268" s="7">
        <f>M1269</f>
        <v>0</v>
      </c>
      <c r="N1268" s="35">
        <f t="shared" si="270"/>
        <v>0</v>
      </c>
      <c r="O1268" s="7">
        <f>O1269</f>
        <v>0</v>
      </c>
      <c r="P1268" s="35">
        <f t="shared" si="279"/>
        <v>0</v>
      </c>
      <c r="Q1268" s="7">
        <f>Q1269</f>
        <v>0</v>
      </c>
      <c r="R1268" s="35">
        <f t="shared" si="276"/>
        <v>0</v>
      </c>
      <c r="S1268" s="7">
        <f>S1269</f>
        <v>0</v>
      </c>
      <c r="T1268" s="35">
        <f t="shared" si="273"/>
        <v>0</v>
      </c>
    </row>
    <row r="1269" spans="1:20" ht="33" hidden="1">
      <c r="A1269" s="61" t="str">
        <f t="shared" ca="1" si="284"/>
        <v xml:space="preserve">Прочая закупка товаров, работ и услуг для обеспечения муниципальных нужд         </v>
      </c>
      <c r="B1269" s="45" t="s">
        <v>83</v>
      </c>
      <c r="C1269" s="8" t="s">
        <v>195</v>
      </c>
      <c r="D1269" s="1" t="s">
        <v>219</v>
      </c>
      <c r="E1269" s="104">
        <v>244</v>
      </c>
      <c r="F1269" s="7">
        <f>прил.6!G785</f>
        <v>0</v>
      </c>
      <c r="G1269" s="7">
        <f>прил.6!H785</f>
        <v>0</v>
      </c>
      <c r="H1269" s="35">
        <f t="shared" si="278"/>
        <v>0</v>
      </c>
      <c r="I1269" s="7">
        <f>прил.6!J785</f>
        <v>0</v>
      </c>
      <c r="J1269" s="35">
        <f t="shared" si="275"/>
        <v>0</v>
      </c>
      <c r="K1269" s="7">
        <f>прил.6!L785</f>
        <v>0</v>
      </c>
      <c r="L1269" s="35">
        <f t="shared" si="269"/>
        <v>0</v>
      </c>
      <c r="M1269" s="7">
        <f>прил.6!N785</f>
        <v>0</v>
      </c>
      <c r="N1269" s="35">
        <f t="shared" si="270"/>
        <v>0</v>
      </c>
      <c r="O1269" s="7">
        <f>прил.6!P785</f>
        <v>0</v>
      </c>
      <c r="P1269" s="35">
        <f t="shared" si="279"/>
        <v>0</v>
      </c>
      <c r="Q1269" s="7">
        <f>прил.6!R785</f>
        <v>0</v>
      </c>
      <c r="R1269" s="35">
        <f t="shared" si="276"/>
        <v>0</v>
      </c>
      <c r="S1269" s="7">
        <f>прил.6!T785</f>
        <v>0</v>
      </c>
      <c r="T1269" s="35">
        <f t="shared" si="273"/>
        <v>0</v>
      </c>
    </row>
    <row r="1270" spans="1:20" ht="34.700000000000003" customHeight="1">
      <c r="A1270" s="61" t="str">
        <f t="shared" ca="1" si="284"/>
        <v>Предоставление субсидий бюджетным, автономным учреждениям и иным некоммерческим организациям</v>
      </c>
      <c r="B1270" s="45" t="s">
        <v>83</v>
      </c>
      <c r="C1270" s="8" t="s">
        <v>195</v>
      </c>
      <c r="D1270" s="1" t="s">
        <v>219</v>
      </c>
      <c r="E1270" s="104">
        <v>600</v>
      </c>
      <c r="F1270" s="7">
        <f>F1271+F1273</f>
        <v>849</v>
      </c>
      <c r="G1270" s="7">
        <f>G1271+G1273</f>
        <v>0</v>
      </c>
      <c r="H1270" s="35">
        <f t="shared" si="278"/>
        <v>849</v>
      </c>
      <c r="I1270" s="7">
        <f>I1271+I1273</f>
        <v>0</v>
      </c>
      <c r="J1270" s="35">
        <f t="shared" si="275"/>
        <v>849</v>
      </c>
      <c r="K1270" s="7">
        <f>K1271+K1273</f>
        <v>0</v>
      </c>
      <c r="L1270" s="35">
        <f t="shared" si="269"/>
        <v>849</v>
      </c>
      <c r="M1270" s="7">
        <f>M1271+M1273</f>
        <v>0</v>
      </c>
      <c r="N1270" s="35">
        <f t="shared" si="270"/>
        <v>849</v>
      </c>
      <c r="O1270" s="7">
        <f>O1271+O1273</f>
        <v>0</v>
      </c>
      <c r="P1270" s="35">
        <f t="shared" si="279"/>
        <v>849</v>
      </c>
      <c r="Q1270" s="7">
        <f>Q1271+Q1273</f>
        <v>0</v>
      </c>
      <c r="R1270" s="35">
        <f t="shared" si="276"/>
        <v>849</v>
      </c>
      <c r="S1270" s="7">
        <f>S1271+S1273</f>
        <v>50</v>
      </c>
      <c r="T1270" s="35">
        <f t="shared" si="273"/>
        <v>899</v>
      </c>
    </row>
    <row r="1271" spans="1:20">
      <c r="A1271" s="61" t="str">
        <f t="shared" ca="1" si="284"/>
        <v>Субсидии бюджетным учреждениям</v>
      </c>
      <c r="B1271" s="45" t="s">
        <v>83</v>
      </c>
      <c r="C1271" s="8" t="s">
        <v>195</v>
      </c>
      <c r="D1271" s="1" t="s">
        <v>219</v>
      </c>
      <c r="E1271" s="104">
        <v>610</v>
      </c>
      <c r="F1271" s="7">
        <f>F1272</f>
        <v>849</v>
      </c>
      <c r="G1271" s="7">
        <f>G1272</f>
        <v>0</v>
      </c>
      <c r="H1271" s="35">
        <f t="shared" si="278"/>
        <v>849</v>
      </c>
      <c r="I1271" s="7">
        <f>I1272</f>
        <v>0</v>
      </c>
      <c r="J1271" s="35">
        <f t="shared" si="275"/>
        <v>849</v>
      </c>
      <c r="K1271" s="7">
        <f>K1272</f>
        <v>0</v>
      </c>
      <c r="L1271" s="35">
        <f t="shared" si="269"/>
        <v>849</v>
      </c>
      <c r="M1271" s="7">
        <f>M1272</f>
        <v>0</v>
      </c>
      <c r="N1271" s="35">
        <f t="shared" si="270"/>
        <v>849</v>
      </c>
      <c r="O1271" s="7">
        <f>O1272</f>
        <v>0</v>
      </c>
      <c r="P1271" s="35">
        <f t="shared" si="279"/>
        <v>849</v>
      </c>
      <c r="Q1271" s="7">
        <f>Q1272</f>
        <v>0</v>
      </c>
      <c r="R1271" s="35">
        <f t="shared" si="276"/>
        <v>849</v>
      </c>
      <c r="S1271" s="7">
        <f>S1272</f>
        <v>50</v>
      </c>
      <c r="T1271" s="35">
        <f t="shared" si="273"/>
        <v>899</v>
      </c>
    </row>
    <row r="1272" spans="1:20">
      <c r="A1272" s="61" t="str">
        <f t="shared" ca="1" si="284"/>
        <v>Субсидии бюджетным учреждениям на иные цели</v>
      </c>
      <c r="B1272" s="45" t="s">
        <v>83</v>
      </c>
      <c r="C1272" s="8" t="s">
        <v>195</v>
      </c>
      <c r="D1272" s="1" t="s">
        <v>219</v>
      </c>
      <c r="E1272" s="104">
        <v>612</v>
      </c>
      <c r="F1272" s="7">
        <f>прил.6!G788+прил.6!G961+прил.6!G1221</f>
        <v>849</v>
      </c>
      <c r="G1272" s="7">
        <f>прил.6!H788+прил.6!H961+прил.6!H1221</f>
        <v>0</v>
      </c>
      <c r="H1272" s="35">
        <f t="shared" si="278"/>
        <v>849</v>
      </c>
      <c r="I1272" s="7">
        <f>прил.6!J788+прил.6!J961+прил.6!J1221</f>
        <v>0</v>
      </c>
      <c r="J1272" s="35">
        <f t="shared" si="275"/>
        <v>849</v>
      </c>
      <c r="K1272" s="7">
        <f>прил.6!L788+прил.6!L961+прил.6!L1221</f>
        <v>0</v>
      </c>
      <c r="L1272" s="35">
        <f t="shared" si="269"/>
        <v>849</v>
      </c>
      <c r="M1272" s="7">
        <f>прил.6!N788+прил.6!N961+прил.6!N1221</f>
        <v>0</v>
      </c>
      <c r="N1272" s="35">
        <f t="shared" si="270"/>
        <v>849</v>
      </c>
      <c r="O1272" s="7">
        <f>прил.6!P788+прил.6!P961+прил.6!P1221</f>
        <v>0</v>
      </c>
      <c r="P1272" s="35">
        <f t="shared" si="279"/>
        <v>849</v>
      </c>
      <c r="Q1272" s="7">
        <f>прил.6!R788+прил.6!R961+прил.6!R1221</f>
        <v>0</v>
      </c>
      <c r="R1272" s="35">
        <f t="shared" si="276"/>
        <v>849</v>
      </c>
      <c r="S1272" s="7">
        <f>прил.6!T788+прил.6!T961+прил.6!T1221</f>
        <v>50</v>
      </c>
      <c r="T1272" s="35">
        <f t="shared" si="273"/>
        <v>899</v>
      </c>
    </row>
    <row r="1273" spans="1:20" hidden="1">
      <c r="A1273" s="61" t="str">
        <f t="shared" ca="1" si="284"/>
        <v>Субсидии автономным учреждениям</v>
      </c>
      <c r="B1273" s="45" t="s">
        <v>83</v>
      </c>
      <c r="C1273" s="8" t="s">
        <v>195</v>
      </c>
      <c r="D1273" s="1" t="s">
        <v>219</v>
      </c>
      <c r="E1273" s="104">
        <v>620</v>
      </c>
      <c r="F1273" s="7">
        <f>F1274</f>
        <v>0</v>
      </c>
      <c r="G1273" s="7">
        <f>G1274</f>
        <v>0</v>
      </c>
      <c r="H1273" s="35">
        <f t="shared" si="278"/>
        <v>0</v>
      </c>
      <c r="I1273" s="7">
        <f>I1274</f>
        <v>0</v>
      </c>
      <c r="J1273" s="35">
        <f t="shared" si="275"/>
        <v>0</v>
      </c>
      <c r="K1273" s="7">
        <f>K1274</f>
        <v>0</v>
      </c>
      <c r="L1273" s="35">
        <f t="shared" si="269"/>
        <v>0</v>
      </c>
      <c r="M1273" s="7">
        <f>M1274</f>
        <v>0</v>
      </c>
      <c r="N1273" s="35">
        <f t="shared" si="270"/>
        <v>0</v>
      </c>
      <c r="O1273" s="7">
        <f>O1274</f>
        <v>0</v>
      </c>
      <c r="P1273" s="35">
        <f t="shared" si="279"/>
        <v>0</v>
      </c>
      <c r="Q1273" s="7">
        <f>Q1274</f>
        <v>0</v>
      </c>
      <c r="R1273" s="35">
        <f t="shared" si="276"/>
        <v>0</v>
      </c>
      <c r="S1273" s="7">
        <f>S1274</f>
        <v>0</v>
      </c>
      <c r="T1273" s="35">
        <f t="shared" si="273"/>
        <v>0</v>
      </c>
    </row>
    <row r="1274" spans="1:20" hidden="1">
      <c r="A1274" s="61" t="str">
        <f t="shared" ca="1" si="284"/>
        <v>Субсидии автономным учреждениям на иные цели</v>
      </c>
      <c r="B1274" s="45" t="s">
        <v>83</v>
      </c>
      <c r="C1274" s="8" t="s">
        <v>195</v>
      </c>
      <c r="D1274" s="1" t="s">
        <v>219</v>
      </c>
      <c r="E1274" s="104">
        <v>622</v>
      </c>
      <c r="F1274" s="7">
        <f>прил.6!G1223</f>
        <v>0</v>
      </c>
      <c r="G1274" s="7">
        <f>прил.6!H1223</f>
        <v>0</v>
      </c>
      <c r="H1274" s="35">
        <f t="shared" si="278"/>
        <v>0</v>
      </c>
      <c r="I1274" s="7">
        <f>прил.6!J1223</f>
        <v>0</v>
      </c>
      <c r="J1274" s="35">
        <f t="shared" si="275"/>
        <v>0</v>
      </c>
      <c r="K1274" s="7">
        <f>прил.6!L1223</f>
        <v>0</v>
      </c>
      <c r="L1274" s="35">
        <f t="shared" si="269"/>
        <v>0</v>
      </c>
      <c r="M1274" s="7">
        <f>прил.6!N1223</f>
        <v>0</v>
      </c>
      <c r="N1274" s="35">
        <f t="shared" si="270"/>
        <v>0</v>
      </c>
      <c r="O1274" s="7">
        <f>прил.6!P1223</f>
        <v>0</v>
      </c>
      <c r="P1274" s="35">
        <f t="shared" si="279"/>
        <v>0</v>
      </c>
      <c r="Q1274" s="7">
        <f>прил.6!R1223</f>
        <v>0</v>
      </c>
      <c r="R1274" s="35">
        <f t="shared" si="276"/>
        <v>0</v>
      </c>
      <c r="S1274" s="7">
        <f>прил.6!T1223</f>
        <v>0</v>
      </c>
      <c r="T1274" s="35">
        <f t="shared" si="273"/>
        <v>0</v>
      </c>
    </row>
    <row r="1275" spans="1:20">
      <c r="A1275" s="61" t="str">
        <f ca="1">IF(ISERROR(MATCH(C1275,Код_Раздел,0)),"",INDIRECT(ADDRESS(MATCH(C1275,Код_Раздел,0)+1,2,,,"Раздел")))</f>
        <v>Культура, кинематография</v>
      </c>
      <c r="B1275" s="45" t="s">
        <v>83</v>
      </c>
      <c r="C1275" s="8" t="s">
        <v>222</v>
      </c>
      <c r="D1275" s="1"/>
      <c r="E1275" s="104"/>
      <c r="F1275" s="7">
        <f t="shared" ref="F1275:S1278" si="285">F1276</f>
        <v>591</v>
      </c>
      <c r="G1275" s="7">
        <f t="shared" si="285"/>
        <v>0</v>
      </c>
      <c r="H1275" s="35">
        <f t="shared" si="278"/>
        <v>591</v>
      </c>
      <c r="I1275" s="7">
        <f t="shared" si="285"/>
        <v>0</v>
      </c>
      <c r="J1275" s="35">
        <f t="shared" si="275"/>
        <v>591</v>
      </c>
      <c r="K1275" s="7">
        <f t="shared" si="285"/>
        <v>0</v>
      </c>
      <c r="L1275" s="35">
        <f t="shared" si="269"/>
        <v>591</v>
      </c>
      <c r="M1275" s="7">
        <f t="shared" si="285"/>
        <v>0</v>
      </c>
      <c r="N1275" s="35">
        <f t="shared" si="270"/>
        <v>591</v>
      </c>
      <c r="O1275" s="7">
        <f t="shared" si="285"/>
        <v>0</v>
      </c>
      <c r="P1275" s="35">
        <f t="shared" si="279"/>
        <v>591</v>
      </c>
      <c r="Q1275" s="7">
        <f t="shared" si="285"/>
        <v>0</v>
      </c>
      <c r="R1275" s="35">
        <f t="shared" si="276"/>
        <v>591</v>
      </c>
      <c r="S1275" s="7">
        <f t="shared" si="285"/>
        <v>-145.80000000000001</v>
      </c>
      <c r="T1275" s="35">
        <f t="shared" si="273"/>
        <v>445.2</v>
      </c>
    </row>
    <row r="1276" spans="1:20">
      <c r="A1276" s="12" t="s">
        <v>163</v>
      </c>
      <c r="B1276" s="45" t="s">
        <v>83</v>
      </c>
      <c r="C1276" s="8" t="s">
        <v>222</v>
      </c>
      <c r="D1276" s="1" t="s">
        <v>216</v>
      </c>
      <c r="E1276" s="104"/>
      <c r="F1276" s="7">
        <f t="shared" si="285"/>
        <v>591</v>
      </c>
      <c r="G1276" s="7">
        <f t="shared" si="285"/>
        <v>0</v>
      </c>
      <c r="H1276" s="35">
        <f t="shared" si="278"/>
        <v>591</v>
      </c>
      <c r="I1276" s="7">
        <f t="shared" si="285"/>
        <v>0</v>
      </c>
      <c r="J1276" s="35">
        <f t="shared" si="275"/>
        <v>591</v>
      </c>
      <c r="K1276" s="7">
        <f t="shared" si="285"/>
        <v>0</v>
      </c>
      <c r="L1276" s="35">
        <f t="shared" si="269"/>
        <v>591</v>
      </c>
      <c r="M1276" s="7">
        <f t="shared" si="285"/>
        <v>0</v>
      </c>
      <c r="N1276" s="35">
        <f t="shared" si="270"/>
        <v>591</v>
      </c>
      <c r="O1276" s="7">
        <f t="shared" si="285"/>
        <v>0</v>
      </c>
      <c r="P1276" s="35">
        <f t="shared" si="279"/>
        <v>591</v>
      </c>
      <c r="Q1276" s="7">
        <f t="shared" si="285"/>
        <v>0</v>
      </c>
      <c r="R1276" s="35">
        <f t="shared" si="276"/>
        <v>591</v>
      </c>
      <c r="S1276" s="7">
        <f t="shared" si="285"/>
        <v>-145.80000000000001</v>
      </c>
      <c r="T1276" s="35">
        <f t="shared" si="273"/>
        <v>445.2</v>
      </c>
    </row>
    <row r="1277" spans="1:20" ht="33">
      <c r="A1277" s="61" t="str">
        <f ca="1">IF(ISERROR(MATCH(E1277,Код_КВР,0)),"",INDIRECT(ADDRESS(MATCH(E1277,Код_КВР,0)+1,2,,,"КВР")))</f>
        <v>Предоставление субсидий бюджетным, автономным учреждениям и иным некоммерческим организациям</v>
      </c>
      <c r="B1277" s="45" t="s">
        <v>83</v>
      </c>
      <c r="C1277" s="8" t="s">
        <v>222</v>
      </c>
      <c r="D1277" s="1" t="s">
        <v>216</v>
      </c>
      <c r="E1277" s="104">
        <v>600</v>
      </c>
      <c r="F1277" s="7">
        <f t="shared" si="285"/>
        <v>591</v>
      </c>
      <c r="G1277" s="7">
        <f t="shared" si="285"/>
        <v>0</v>
      </c>
      <c r="H1277" s="35">
        <f t="shared" si="278"/>
        <v>591</v>
      </c>
      <c r="I1277" s="7">
        <f t="shared" si="285"/>
        <v>0</v>
      </c>
      <c r="J1277" s="35">
        <f t="shared" si="275"/>
        <v>591</v>
      </c>
      <c r="K1277" s="7">
        <f t="shared" si="285"/>
        <v>0</v>
      </c>
      <c r="L1277" s="35">
        <f t="shared" si="269"/>
        <v>591</v>
      </c>
      <c r="M1277" s="7">
        <f t="shared" si="285"/>
        <v>0</v>
      </c>
      <c r="N1277" s="35">
        <f t="shared" si="270"/>
        <v>591</v>
      </c>
      <c r="O1277" s="7">
        <f t="shared" si="285"/>
        <v>0</v>
      </c>
      <c r="P1277" s="35">
        <f t="shared" si="279"/>
        <v>591</v>
      </c>
      <c r="Q1277" s="7">
        <f t="shared" si="285"/>
        <v>0</v>
      </c>
      <c r="R1277" s="35">
        <f t="shared" si="276"/>
        <v>591</v>
      </c>
      <c r="S1277" s="7">
        <f t="shared" si="285"/>
        <v>-145.80000000000001</v>
      </c>
      <c r="T1277" s="35">
        <f t="shared" si="273"/>
        <v>445.2</v>
      </c>
    </row>
    <row r="1278" spans="1:20">
      <c r="A1278" s="61" t="str">
        <f ca="1">IF(ISERROR(MATCH(E1278,Код_КВР,0)),"",INDIRECT(ADDRESS(MATCH(E1278,Код_КВР,0)+1,2,,,"КВР")))</f>
        <v>Субсидии бюджетным учреждениям</v>
      </c>
      <c r="B1278" s="45" t="s">
        <v>83</v>
      </c>
      <c r="C1278" s="8" t="s">
        <v>222</v>
      </c>
      <c r="D1278" s="1" t="s">
        <v>216</v>
      </c>
      <c r="E1278" s="104">
        <v>610</v>
      </c>
      <c r="F1278" s="7">
        <f t="shared" si="285"/>
        <v>591</v>
      </c>
      <c r="G1278" s="7">
        <f t="shared" si="285"/>
        <v>0</v>
      </c>
      <c r="H1278" s="35">
        <f t="shared" si="278"/>
        <v>591</v>
      </c>
      <c r="I1278" s="7">
        <f t="shared" si="285"/>
        <v>0</v>
      </c>
      <c r="J1278" s="35">
        <f t="shared" si="275"/>
        <v>591</v>
      </c>
      <c r="K1278" s="7">
        <f t="shared" si="285"/>
        <v>0</v>
      </c>
      <c r="L1278" s="35">
        <f t="shared" si="269"/>
        <v>591</v>
      </c>
      <c r="M1278" s="7">
        <f t="shared" si="285"/>
        <v>0</v>
      </c>
      <c r="N1278" s="35">
        <f t="shared" si="270"/>
        <v>591</v>
      </c>
      <c r="O1278" s="7">
        <f t="shared" si="285"/>
        <v>0</v>
      </c>
      <c r="P1278" s="35">
        <f t="shared" si="279"/>
        <v>591</v>
      </c>
      <c r="Q1278" s="7">
        <f t="shared" si="285"/>
        <v>0</v>
      </c>
      <c r="R1278" s="35">
        <f t="shared" si="276"/>
        <v>591</v>
      </c>
      <c r="S1278" s="7">
        <f t="shared" si="285"/>
        <v>-145.80000000000001</v>
      </c>
      <c r="T1278" s="35">
        <f t="shared" si="273"/>
        <v>445.2</v>
      </c>
    </row>
    <row r="1279" spans="1:20">
      <c r="A1279" s="61" t="str">
        <f ca="1">IF(ISERROR(MATCH(E1279,Код_КВР,0)),"",INDIRECT(ADDRESS(MATCH(E1279,Код_КВР,0)+1,2,,,"КВР")))</f>
        <v>Субсидии бюджетным учреждениям на иные цели</v>
      </c>
      <c r="B1279" s="45" t="s">
        <v>83</v>
      </c>
      <c r="C1279" s="8" t="s">
        <v>222</v>
      </c>
      <c r="D1279" s="1" t="s">
        <v>216</v>
      </c>
      <c r="E1279" s="104">
        <v>612</v>
      </c>
      <c r="F1279" s="7">
        <f>прил.6!G1148</f>
        <v>591</v>
      </c>
      <c r="G1279" s="7">
        <f>прил.6!H1148</f>
        <v>0</v>
      </c>
      <c r="H1279" s="35">
        <f t="shared" si="278"/>
        <v>591</v>
      </c>
      <c r="I1279" s="7">
        <f>прил.6!J1148</f>
        <v>0</v>
      </c>
      <c r="J1279" s="35">
        <f t="shared" si="275"/>
        <v>591</v>
      </c>
      <c r="K1279" s="7">
        <f>прил.6!L1148</f>
        <v>0</v>
      </c>
      <c r="L1279" s="35">
        <f t="shared" si="269"/>
        <v>591</v>
      </c>
      <c r="M1279" s="7">
        <f>прил.6!N1148</f>
        <v>0</v>
      </c>
      <c r="N1279" s="35">
        <f t="shared" si="270"/>
        <v>591</v>
      </c>
      <c r="O1279" s="7">
        <f>прил.6!P1148</f>
        <v>0</v>
      </c>
      <c r="P1279" s="35">
        <f t="shared" si="279"/>
        <v>591</v>
      </c>
      <c r="Q1279" s="7">
        <f>прил.6!R1148</f>
        <v>0</v>
      </c>
      <c r="R1279" s="35">
        <f t="shared" si="276"/>
        <v>591</v>
      </c>
      <c r="S1279" s="7">
        <f>прил.6!T1148</f>
        <v>-145.80000000000001</v>
      </c>
      <c r="T1279" s="35">
        <f t="shared" si="273"/>
        <v>445.2</v>
      </c>
    </row>
    <row r="1280" spans="1:20">
      <c r="A1280" s="61" t="str">
        <f ca="1">IF(ISERROR(MATCH(C1280,Код_Раздел,0)),"",INDIRECT(ADDRESS(MATCH(C1280,Код_Раздел,0)+1,2,,,"Раздел")))</f>
        <v>Средства массовой информации</v>
      </c>
      <c r="B1280" s="45" t="s">
        <v>83</v>
      </c>
      <c r="C1280" s="8" t="s">
        <v>196</v>
      </c>
      <c r="D1280" s="1"/>
      <c r="E1280" s="104"/>
      <c r="F1280" s="7"/>
      <c r="G1280" s="7"/>
      <c r="H1280" s="35"/>
      <c r="I1280" s="7">
        <f>I1281</f>
        <v>7.5</v>
      </c>
      <c r="J1280" s="35">
        <f t="shared" si="275"/>
        <v>7.5</v>
      </c>
      <c r="K1280" s="7">
        <f>K1281</f>
        <v>0</v>
      </c>
      <c r="L1280" s="35">
        <f t="shared" si="269"/>
        <v>7.5</v>
      </c>
      <c r="M1280" s="7">
        <f>M1281</f>
        <v>0</v>
      </c>
      <c r="N1280" s="35">
        <f t="shared" si="270"/>
        <v>7.5</v>
      </c>
      <c r="O1280" s="7">
        <f>O1281</f>
        <v>0</v>
      </c>
      <c r="P1280" s="35">
        <f t="shared" si="279"/>
        <v>7.5</v>
      </c>
      <c r="Q1280" s="7">
        <f>Q1281</f>
        <v>0</v>
      </c>
      <c r="R1280" s="35">
        <f t="shared" si="276"/>
        <v>7.5</v>
      </c>
      <c r="S1280" s="7">
        <f>S1281</f>
        <v>0</v>
      </c>
      <c r="T1280" s="35">
        <f t="shared" si="273"/>
        <v>7.5</v>
      </c>
    </row>
    <row r="1281" spans="1:20">
      <c r="A1281" s="12" t="s">
        <v>198</v>
      </c>
      <c r="B1281" s="45" t="s">
        <v>83</v>
      </c>
      <c r="C1281" s="8" t="s">
        <v>196</v>
      </c>
      <c r="D1281" s="1" t="s">
        <v>214</v>
      </c>
      <c r="E1281" s="104"/>
      <c r="F1281" s="7"/>
      <c r="G1281" s="7"/>
      <c r="H1281" s="35"/>
      <c r="I1281" s="7">
        <f>I1282</f>
        <v>7.5</v>
      </c>
      <c r="J1281" s="35">
        <f t="shared" si="275"/>
        <v>7.5</v>
      </c>
      <c r="K1281" s="7">
        <f>K1282</f>
        <v>0</v>
      </c>
      <c r="L1281" s="35">
        <f t="shared" si="269"/>
        <v>7.5</v>
      </c>
      <c r="M1281" s="7">
        <f>M1282</f>
        <v>0</v>
      </c>
      <c r="N1281" s="35">
        <f t="shared" si="270"/>
        <v>7.5</v>
      </c>
      <c r="O1281" s="7">
        <f>O1282</f>
        <v>0</v>
      </c>
      <c r="P1281" s="35">
        <f t="shared" si="279"/>
        <v>7.5</v>
      </c>
      <c r="Q1281" s="7">
        <f>Q1282</f>
        <v>0</v>
      </c>
      <c r="R1281" s="35">
        <f t="shared" si="276"/>
        <v>7.5</v>
      </c>
      <c r="S1281" s="7">
        <f>S1282</f>
        <v>0</v>
      </c>
      <c r="T1281" s="35">
        <f t="shared" si="273"/>
        <v>7.5</v>
      </c>
    </row>
    <row r="1282" spans="1:20" ht="19.5" customHeight="1">
      <c r="A1282" s="61" t="str">
        <f ca="1">IF(ISERROR(MATCH(E1282,Код_КВР,0)),"",INDIRECT(ADDRESS(MATCH(E1282,Код_КВР,0)+1,2,,,"КВР")))</f>
        <v>Закупка товаров, работ и услуг для муниципальных нужд</v>
      </c>
      <c r="B1282" s="45" t="s">
        <v>83</v>
      </c>
      <c r="C1282" s="8" t="s">
        <v>196</v>
      </c>
      <c r="D1282" s="1" t="s">
        <v>214</v>
      </c>
      <c r="E1282" s="104">
        <v>200</v>
      </c>
      <c r="F1282" s="7"/>
      <c r="G1282" s="7"/>
      <c r="H1282" s="35"/>
      <c r="I1282" s="7">
        <f>I1283</f>
        <v>7.5</v>
      </c>
      <c r="J1282" s="35">
        <f t="shared" si="275"/>
        <v>7.5</v>
      </c>
      <c r="K1282" s="7">
        <f>K1283</f>
        <v>0</v>
      </c>
      <c r="L1282" s="35">
        <f t="shared" si="269"/>
        <v>7.5</v>
      </c>
      <c r="M1282" s="7">
        <f>M1283</f>
        <v>0</v>
      </c>
      <c r="N1282" s="35">
        <f t="shared" si="270"/>
        <v>7.5</v>
      </c>
      <c r="O1282" s="7">
        <f>O1283</f>
        <v>0</v>
      </c>
      <c r="P1282" s="35">
        <f t="shared" si="279"/>
        <v>7.5</v>
      </c>
      <c r="Q1282" s="7">
        <f>Q1283</f>
        <v>0</v>
      </c>
      <c r="R1282" s="35">
        <f t="shared" si="276"/>
        <v>7.5</v>
      </c>
      <c r="S1282" s="7">
        <f>S1283</f>
        <v>0</v>
      </c>
      <c r="T1282" s="35">
        <f t="shared" si="273"/>
        <v>7.5</v>
      </c>
    </row>
    <row r="1283" spans="1:20" ht="33">
      <c r="A1283" s="61" t="str">
        <f ca="1">IF(ISERROR(MATCH(E1283,Код_КВР,0)),"",INDIRECT(ADDRESS(MATCH(E1283,Код_КВР,0)+1,2,,,"КВР")))</f>
        <v>Иные закупки товаров, работ и услуг для обеспечения муниципальных нужд</v>
      </c>
      <c r="B1283" s="45" t="s">
        <v>83</v>
      </c>
      <c r="C1283" s="8" t="s">
        <v>196</v>
      </c>
      <c r="D1283" s="1" t="s">
        <v>214</v>
      </c>
      <c r="E1283" s="104">
        <v>240</v>
      </c>
      <c r="F1283" s="7"/>
      <c r="G1283" s="7"/>
      <c r="H1283" s="35"/>
      <c r="I1283" s="7">
        <f>I1284</f>
        <v>7.5</v>
      </c>
      <c r="J1283" s="35">
        <f t="shared" si="275"/>
        <v>7.5</v>
      </c>
      <c r="K1283" s="7">
        <f>K1284</f>
        <v>0</v>
      </c>
      <c r="L1283" s="35">
        <f t="shared" si="269"/>
        <v>7.5</v>
      </c>
      <c r="M1283" s="7">
        <f>M1284</f>
        <v>0</v>
      </c>
      <c r="N1283" s="35">
        <f t="shared" si="270"/>
        <v>7.5</v>
      </c>
      <c r="O1283" s="7">
        <f>O1284</f>
        <v>0</v>
      </c>
      <c r="P1283" s="35">
        <f t="shared" si="279"/>
        <v>7.5</v>
      </c>
      <c r="Q1283" s="7">
        <f>Q1284</f>
        <v>0</v>
      </c>
      <c r="R1283" s="35">
        <f t="shared" si="276"/>
        <v>7.5</v>
      </c>
      <c r="S1283" s="7">
        <f>S1284</f>
        <v>0</v>
      </c>
      <c r="T1283" s="35">
        <f t="shared" si="273"/>
        <v>7.5</v>
      </c>
    </row>
    <row r="1284" spans="1:20" ht="33">
      <c r="A1284" s="61" t="str">
        <f ca="1">IF(ISERROR(MATCH(E1284,Код_КВР,0)),"",INDIRECT(ADDRESS(MATCH(E1284,Код_КВР,0)+1,2,,,"КВР")))</f>
        <v xml:space="preserve">Прочая закупка товаров, работ и услуг для обеспечения муниципальных нужд         </v>
      </c>
      <c r="B1284" s="45" t="s">
        <v>83</v>
      </c>
      <c r="C1284" s="8" t="s">
        <v>196</v>
      </c>
      <c r="D1284" s="1" t="s">
        <v>214</v>
      </c>
      <c r="E1284" s="104">
        <v>244</v>
      </c>
      <c r="F1284" s="7"/>
      <c r="G1284" s="7"/>
      <c r="H1284" s="35"/>
      <c r="I1284" s="7">
        <f>прил.6!J376</f>
        <v>7.5</v>
      </c>
      <c r="J1284" s="35">
        <f t="shared" si="275"/>
        <v>7.5</v>
      </c>
      <c r="K1284" s="7">
        <f>прил.6!L376</f>
        <v>0</v>
      </c>
      <c r="L1284" s="35">
        <f t="shared" si="269"/>
        <v>7.5</v>
      </c>
      <c r="M1284" s="7">
        <f>прил.6!N376</f>
        <v>0</v>
      </c>
      <c r="N1284" s="35">
        <f t="shared" si="270"/>
        <v>7.5</v>
      </c>
      <c r="O1284" s="7">
        <f>прил.6!P376</f>
        <v>0</v>
      </c>
      <c r="P1284" s="35">
        <f t="shared" si="279"/>
        <v>7.5</v>
      </c>
      <c r="Q1284" s="7">
        <f>прил.6!R376</f>
        <v>0</v>
      </c>
      <c r="R1284" s="35">
        <f t="shared" si="276"/>
        <v>7.5</v>
      </c>
      <c r="S1284" s="7">
        <f>прил.6!T376</f>
        <v>0</v>
      </c>
      <c r="T1284" s="35">
        <f t="shared" si="273"/>
        <v>7.5</v>
      </c>
    </row>
    <row r="1285" spans="1:20">
      <c r="A1285" s="61" t="str">
        <f ca="1">IF(ISERROR(MATCH(B1285,Код_КЦСР,0)),"",INDIRECT(ADDRESS(MATCH(B1285,Код_КЦСР,0)+1,2,,,"КЦСР")))</f>
        <v>Ремонт и оборудование эвакуационных путей  зданий</v>
      </c>
      <c r="B1285" s="45" t="s">
        <v>87</v>
      </c>
      <c r="C1285" s="8"/>
      <c r="D1285" s="1"/>
      <c r="E1285" s="104"/>
      <c r="F1285" s="7">
        <f>F1286+F1293</f>
        <v>3239.6</v>
      </c>
      <c r="G1285" s="7">
        <f>G1286+G1293</f>
        <v>0</v>
      </c>
      <c r="H1285" s="35">
        <f t="shared" si="278"/>
        <v>3239.6</v>
      </c>
      <c r="I1285" s="7">
        <f>I1286+I1293</f>
        <v>0</v>
      </c>
      <c r="J1285" s="35">
        <f t="shared" si="275"/>
        <v>3239.6</v>
      </c>
      <c r="K1285" s="7">
        <f>K1286+K1293</f>
        <v>0</v>
      </c>
      <c r="L1285" s="35">
        <f t="shared" ref="L1285:L1366" si="286">J1285+K1285</f>
        <v>3239.6</v>
      </c>
      <c r="M1285" s="7">
        <f>M1286+M1293</f>
        <v>0</v>
      </c>
      <c r="N1285" s="35">
        <f t="shared" ref="N1285:N1366" si="287">L1285+M1285</f>
        <v>3239.6</v>
      </c>
      <c r="O1285" s="7">
        <f>O1286+O1293</f>
        <v>0</v>
      </c>
      <c r="P1285" s="35">
        <f t="shared" si="279"/>
        <v>3239.6</v>
      </c>
      <c r="Q1285" s="7">
        <f>Q1286+Q1293</f>
        <v>0</v>
      </c>
      <c r="R1285" s="35">
        <f t="shared" si="276"/>
        <v>3239.6</v>
      </c>
      <c r="S1285" s="7">
        <f>S1286+S1293</f>
        <v>0</v>
      </c>
      <c r="T1285" s="35">
        <f t="shared" si="273"/>
        <v>3239.6</v>
      </c>
    </row>
    <row r="1286" spans="1:20">
      <c r="A1286" s="61" t="str">
        <f ca="1">IF(ISERROR(MATCH(C1286,Код_Раздел,0)),"",INDIRECT(ADDRESS(MATCH(C1286,Код_Раздел,0)+1,2,,,"Раздел")))</f>
        <v>Образование</v>
      </c>
      <c r="B1286" s="45" t="s">
        <v>87</v>
      </c>
      <c r="C1286" s="8" t="s">
        <v>195</v>
      </c>
      <c r="D1286" s="1"/>
      <c r="E1286" s="104"/>
      <c r="F1286" s="7">
        <f>F1287</f>
        <v>3239.6</v>
      </c>
      <c r="G1286" s="7">
        <f>G1287</f>
        <v>0</v>
      </c>
      <c r="H1286" s="35">
        <f t="shared" si="278"/>
        <v>3239.6</v>
      </c>
      <c r="I1286" s="7">
        <f>I1287</f>
        <v>0</v>
      </c>
      <c r="J1286" s="35">
        <f t="shared" si="275"/>
        <v>3239.6</v>
      </c>
      <c r="K1286" s="7">
        <f>K1287</f>
        <v>0</v>
      </c>
      <c r="L1286" s="35">
        <f t="shared" si="286"/>
        <v>3239.6</v>
      </c>
      <c r="M1286" s="7">
        <f>M1287</f>
        <v>0</v>
      </c>
      <c r="N1286" s="35">
        <f t="shared" si="287"/>
        <v>3239.6</v>
      </c>
      <c r="O1286" s="7">
        <f>O1287</f>
        <v>0</v>
      </c>
      <c r="P1286" s="35">
        <f t="shared" si="279"/>
        <v>3239.6</v>
      </c>
      <c r="Q1286" s="7">
        <f>Q1287</f>
        <v>0</v>
      </c>
      <c r="R1286" s="35">
        <f t="shared" si="276"/>
        <v>3239.6</v>
      </c>
      <c r="S1286" s="7">
        <f>S1287</f>
        <v>0</v>
      </c>
      <c r="T1286" s="35">
        <f t="shared" si="273"/>
        <v>3239.6</v>
      </c>
    </row>
    <row r="1287" spans="1:20">
      <c r="A1287" s="12" t="s">
        <v>251</v>
      </c>
      <c r="B1287" s="45" t="s">
        <v>87</v>
      </c>
      <c r="C1287" s="8" t="s">
        <v>195</v>
      </c>
      <c r="D1287" s="1" t="s">
        <v>219</v>
      </c>
      <c r="E1287" s="104"/>
      <c r="F1287" s="7">
        <f>F1288</f>
        <v>3239.6</v>
      </c>
      <c r="G1287" s="7">
        <f>G1288</f>
        <v>0</v>
      </c>
      <c r="H1287" s="35">
        <f t="shared" si="278"/>
        <v>3239.6</v>
      </c>
      <c r="I1287" s="7">
        <f>I1288</f>
        <v>0</v>
      </c>
      <c r="J1287" s="35">
        <f t="shared" si="275"/>
        <v>3239.6</v>
      </c>
      <c r="K1287" s="7">
        <f>K1288</f>
        <v>0</v>
      </c>
      <c r="L1287" s="35">
        <f t="shared" si="286"/>
        <v>3239.6</v>
      </c>
      <c r="M1287" s="7">
        <f>M1288</f>
        <v>0</v>
      </c>
      <c r="N1287" s="35">
        <f t="shared" si="287"/>
        <v>3239.6</v>
      </c>
      <c r="O1287" s="7">
        <f>O1288</f>
        <v>0</v>
      </c>
      <c r="P1287" s="35">
        <f t="shared" si="279"/>
        <v>3239.6</v>
      </c>
      <c r="Q1287" s="7">
        <f>Q1288</f>
        <v>0</v>
      </c>
      <c r="R1287" s="35">
        <f t="shared" si="276"/>
        <v>3239.6</v>
      </c>
      <c r="S1287" s="7">
        <f>S1288</f>
        <v>0</v>
      </c>
      <c r="T1287" s="35">
        <f t="shared" si="273"/>
        <v>3239.6</v>
      </c>
    </row>
    <row r="1288" spans="1:20" ht="33">
      <c r="A1288" s="61" t="str">
        <f ca="1">IF(ISERROR(MATCH(E1288,Код_КВР,0)),"",INDIRECT(ADDRESS(MATCH(E1288,Код_КВР,0)+1,2,,,"КВР")))</f>
        <v>Предоставление субсидий бюджетным, автономным учреждениям и иным некоммерческим организациям</v>
      </c>
      <c r="B1288" s="45" t="s">
        <v>87</v>
      </c>
      <c r="C1288" s="8" t="s">
        <v>195</v>
      </c>
      <c r="D1288" s="1" t="s">
        <v>219</v>
      </c>
      <c r="E1288" s="104">
        <v>600</v>
      </c>
      <c r="F1288" s="7">
        <f>F1289+F1291</f>
        <v>3239.6</v>
      </c>
      <c r="G1288" s="7">
        <f>G1289+G1291</f>
        <v>0</v>
      </c>
      <c r="H1288" s="35">
        <f t="shared" si="278"/>
        <v>3239.6</v>
      </c>
      <c r="I1288" s="7">
        <f>I1289+I1291</f>
        <v>0</v>
      </c>
      <c r="J1288" s="35">
        <f t="shared" si="275"/>
        <v>3239.6</v>
      </c>
      <c r="K1288" s="7">
        <f>K1289+K1291</f>
        <v>0</v>
      </c>
      <c r="L1288" s="35">
        <f t="shared" si="286"/>
        <v>3239.6</v>
      </c>
      <c r="M1288" s="7">
        <f>M1289+M1291</f>
        <v>0</v>
      </c>
      <c r="N1288" s="35">
        <f t="shared" si="287"/>
        <v>3239.6</v>
      </c>
      <c r="O1288" s="7">
        <f>O1289+O1291</f>
        <v>0</v>
      </c>
      <c r="P1288" s="35">
        <f t="shared" si="279"/>
        <v>3239.6</v>
      </c>
      <c r="Q1288" s="7">
        <f>Q1289+Q1291</f>
        <v>0</v>
      </c>
      <c r="R1288" s="35">
        <f t="shared" si="276"/>
        <v>3239.6</v>
      </c>
      <c r="S1288" s="7">
        <f>S1289+S1291</f>
        <v>0</v>
      </c>
      <c r="T1288" s="35">
        <f t="shared" si="273"/>
        <v>3239.6</v>
      </c>
    </row>
    <row r="1289" spans="1:20">
      <c r="A1289" s="61" t="str">
        <f ca="1">IF(ISERROR(MATCH(E1289,Код_КВР,0)),"",INDIRECT(ADDRESS(MATCH(E1289,Код_КВР,0)+1,2,,,"КВР")))</f>
        <v>Субсидии бюджетным учреждениям</v>
      </c>
      <c r="B1289" s="45" t="s">
        <v>87</v>
      </c>
      <c r="C1289" s="8" t="s">
        <v>195</v>
      </c>
      <c r="D1289" s="1" t="s">
        <v>219</v>
      </c>
      <c r="E1289" s="104">
        <v>610</v>
      </c>
      <c r="F1289" s="7">
        <f>F1290</f>
        <v>3239.6</v>
      </c>
      <c r="G1289" s="7">
        <f>G1290</f>
        <v>0</v>
      </c>
      <c r="H1289" s="35">
        <f t="shared" si="278"/>
        <v>3239.6</v>
      </c>
      <c r="I1289" s="7">
        <f>I1290</f>
        <v>0</v>
      </c>
      <c r="J1289" s="35">
        <f t="shared" si="275"/>
        <v>3239.6</v>
      </c>
      <c r="K1289" s="7">
        <f>K1290</f>
        <v>0</v>
      </c>
      <c r="L1289" s="35">
        <f t="shared" si="286"/>
        <v>3239.6</v>
      </c>
      <c r="M1289" s="7">
        <f>M1290</f>
        <v>0</v>
      </c>
      <c r="N1289" s="35">
        <f t="shared" si="287"/>
        <v>3239.6</v>
      </c>
      <c r="O1289" s="7">
        <f>O1290</f>
        <v>0</v>
      </c>
      <c r="P1289" s="35">
        <f t="shared" si="279"/>
        <v>3239.6</v>
      </c>
      <c r="Q1289" s="7">
        <f>Q1290</f>
        <v>0</v>
      </c>
      <c r="R1289" s="35">
        <f t="shared" si="276"/>
        <v>3239.6</v>
      </c>
      <c r="S1289" s="7">
        <f>S1290</f>
        <v>0</v>
      </c>
      <c r="T1289" s="35">
        <f t="shared" si="273"/>
        <v>3239.6</v>
      </c>
    </row>
    <row r="1290" spans="1:20">
      <c r="A1290" s="61" t="str">
        <f ca="1">IF(ISERROR(MATCH(E1290,Код_КВР,0)),"",INDIRECT(ADDRESS(MATCH(E1290,Код_КВР,0)+1,2,,,"КВР")))</f>
        <v>Субсидии бюджетным учреждениям на иные цели</v>
      </c>
      <c r="B1290" s="45" t="s">
        <v>87</v>
      </c>
      <c r="C1290" s="8" t="s">
        <v>195</v>
      </c>
      <c r="D1290" s="1" t="s">
        <v>219</v>
      </c>
      <c r="E1290" s="104">
        <v>612</v>
      </c>
      <c r="F1290" s="7">
        <f>прил.6!G792+прил.6!G965+прил.6!G1227</f>
        <v>3239.6</v>
      </c>
      <c r="G1290" s="7">
        <f>прил.6!H792+прил.6!H965+прил.6!H1227</f>
        <v>0</v>
      </c>
      <c r="H1290" s="35">
        <f t="shared" si="278"/>
        <v>3239.6</v>
      </c>
      <c r="I1290" s="7">
        <f>прил.6!J792+прил.6!J965+прил.6!J1227</f>
        <v>0</v>
      </c>
      <c r="J1290" s="35">
        <f t="shared" si="275"/>
        <v>3239.6</v>
      </c>
      <c r="K1290" s="7">
        <f>прил.6!L792+прил.6!L965+прил.6!L1227</f>
        <v>0</v>
      </c>
      <c r="L1290" s="35">
        <f t="shared" si="286"/>
        <v>3239.6</v>
      </c>
      <c r="M1290" s="7">
        <f>прил.6!N792+прил.6!N965+прил.6!N1227</f>
        <v>0</v>
      </c>
      <c r="N1290" s="35">
        <f t="shared" si="287"/>
        <v>3239.6</v>
      </c>
      <c r="O1290" s="7">
        <f>прил.6!P792+прил.6!P965+прил.6!P1227</f>
        <v>0</v>
      </c>
      <c r="P1290" s="35">
        <f t="shared" si="279"/>
        <v>3239.6</v>
      </c>
      <c r="Q1290" s="7">
        <f>прил.6!R792+прил.6!R965+прил.6!R1227</f>
        <v>0</v>
      </c>
      <c r="R1290" s="35">
        <f t="shared" si="276"/>
        <v>3239.6</v>
      </c>
      <c r="S1290" s="7">
        <f>прил.6!T792+прил.6!T965+прил.6!T1227</f>
        <v>0</v>
      </c>
      <c r="T1290" s="35">
        <f t="shared" si="273"/>
        <v>3239.6</v>
      </c>
    </row>
    <row r="1291" spans="1:20" hidden="1">
      <c r="A1291" s="61" t="str">
        <f ca="1">IF(ISERROR(MATCH(E1291,Код_КВР,0)),"",INDIRECT(ADDRESS(MATCH(E1291,Код_КВР,0)+1,2,,,"КВР")))</f>
        <v>Субсидии автономным учреждениям</v>
      </c>
      <c r="B1291" s="45" t="s">
        <v>87</v>
      </c>
      <c r="C1291" s="8" t="s">
        <v>195</v>
      </c>
      <c r="D1291" s="1" t="s">
        <v>219</v>
      </c>
      <c r="E1291" s="104">
        <v>620</v>
      </c>
      <c r="F1291" s="7">
        <f>F1292</f>
        <v>0</v>
      </c>
      <c r="G1291" s="7">
        <f>G1292</f>
        <v>0</v>
      </c>
      <c r="H1291" s="35">
        <f t="shared" si="278"/>
        <v>0</v>
      </c>
      <c r="I1291" s="7">
        <f>I1292</f>
        <v>0</v>
      </c>
      <c r="J1291" s="35">
        <f t="shared" si="275"/>
        <v>0</v>
      </c>
      <c r="K1291" s="7">
        <f>K1292</f>
        <v>0</v>
      </c>
      <c r="L1291" s="35">
        <f t="shared" si="286"/>
        <v>0</v>
      </c>
      <c r="M1291" s="7">
        <f>M1292</f>
        <v>0</v>
      </c>
      <c r="N1291" s="35">
        <f t="shared" si="287"/>
        <v>0</v>
      </c>
      <c r="O1291" s="7">
        <f>O1292</f>
        <v>0</v>
      </c>
      <c r="P1291" s="35">
        <f t="shared" si="279"/>
        <v>0</v>
      </c>
      <c r="Q1291" s="7">
        <f>Q1292</f>
        <v>0</v>
      </c>
      <c r="R1291" s="35">
        <f t="shared" si="276"/>
        <v>0</v>
      </c>
      <c r="S1291" s="7">
        <f>S1292</f>
        <v>0</v>
      </c>
      <c r="T1291" s="35">
        <f t="shared" si="273"/>
        <v>0</v>
      </c>
    </row>
    <row r="1292" spans="1:20" hidden="1">
      <c r="A1292" s="61" t="str">
        <f ca="1">IF(ISERROR(MATCH(E1292,Код_КВР,0)),"",INDIRECT(ADDRESS(MATCH(E1292,Код_КВР,0)+1,2,,,"КВР")))</f>
        <v>Субсидии автономным учреждениям на иные цели</v>
      </c>
      <c r="B1292" s="45" t="s">
        <v>87</v>
      </c>
      <c r="C1292" s="8" t="s">
        <v>195</v>
      </c>
      <c r="D1292" s="1" t="s">
        <v>219</v>
      </c>
      <c r="E1292" s="104">
        <v>622</v>
      </c>
      <c r="F1292" s="7">
        <f>прил.6!G1229</f>
        <v>0</v>
      </c>
      <c r="G1292" s="7">
        <f>прил.6!H1229</f>
        <v>0</v>
      </c>
      <c r="H1292" s="35">
        <f t="shared" si="278"/>
        <v>0</v>
      </c>
      <c r="I1292" s="7">
        <f>прил.6!J1229</f>
        <v>0</v>
      </c>
      <c r="J1292" s="35">
        <f t="shared" si="275"/>
        <v>0</v>
      </c>
      <c r="K1292" s="7">
        <f>прил.6!L1229</f>
        <v>0</v>
      </c>
      <c r="L1292" s="35">
        <f t="shared" si="286"/>
        <v>0</v>
      </c>
      <c r="M1292" s="7">
        <f>прил.6!N1229</f>
        <v>0</v>
      </c>
      <c r="N1292" s="35">
        <f t="shared" si="287"/>
        <v>0</v>
      </c>
      <c r="O1292" s="7">
        <f>прил.6!P1229</f>
        <v>0</v>
      </c>
      <c r="P1292" s="35">
        <f t="shared" si="279"/>
        <v>0</v>
      </c>
      <c r="Q1292" s="7">
        <f>прил.6!R1229</f>
        <v>0</v>
      </c>
      <c r="R1292" s="35">
        <f t="shared" si="276"/>
        <v>0</v>
      </c>
      <c r="S1292" s="7">
        <f>прил.6!T1229</f>
        <v>0</v>
      </c>
      <c r="T1292" s="35">
        <f t="shared" si="273"/>
        <v>0</v>
      </c>
    </row>
    <row r="1293" spans="1:20" hidden="1">
      <c r="A1293" s="61" t="str">
        <f ca="1">IF(ISERROR(MATCH(C1293,Код_Раздел,0)),"",INDIRECT(ADDRESS(MATCH(C1293,Код_Раздел,0)+1,2,,,"Раздел")))</f>
        <v>Культура, кинематография</v>
      </c>
      <c r="B1293" s="45" t="s">
        <v>87</v>
      </c>
      <c r="C1293" s="8" t="s">
        <v>222</v>
      </c>
      <c r="D1293" s="1"/>
      <c r="E1293" s="104"/>
      <c r="F1293" s="7">
        <f>F1294</f>
        <v>0</v>
      </c>
      <c r="G1293" s="7">
        <f>G1294</f>
        <v>0</v>
      </c>
      <c r="H1293" s="35">
        <f t="shared" si="278"/>
        <v>0</v>
      </c>
      <c r="I1293" s="7">
        <f>I1294</f>
        <v>0</v>
      </c>
      <c r="J1293" s="35">
        <f t="shared" si="275"/>
        <v>0</v>
      </c>
      <c r="K1293" s="7">
        <f>K1294</f>
        <v>0</v>
      </c>
      <c r="L1293" s="35">
        <f t="shared" si="286"/>
        <v>0</v>
      </c>
      <c r="M1293" s="7">
        <f>M1294</f>
        <v>0</v>
      </c>
      <c r="N1293" s="35">
        <f t="shared" si="287"/>
        <v>0</v>
      </c>
      <c r="O1293" s="7">
        <f>O1294</f>
        <v>0</v>
      </c>
      <c r="P1293" s="35">
        <f t="shared" si="279"/>
        <v>0</v>
      </c>
      <c r="Q1293" s="7">
        <f>Q1294</f>
        <v>0</v>
      </c>
      <c r="R1293" s="35">
        <f t="shared" si="276"/>
        <v>0</v>
      </c>
      <c r="S1293" s="7">
        <f>S1294</f>
        <v>0</v>
      </c>
      <c r="T1293" s="35">
        <f t="shared" ref="T1293:T1317" si="288">R1293+S1293</f>
        <v>0</v>
      </c>
    </row>
    <row r="1294" spans="1:20" hidden="1">
      <c r="A1294" s="12" t="s">
        <v>163</v>
      </c>
      <c r="B1294" s="45" t="s">
        <v>87</v>
      </c>
      <c r="C1294" s="8" t="s">
        <v>222</v>
      </c>
      <c r="D1294" s="1" t="s">
        <v>216</v>
      </c>
      <c r="E1294" s="104"/>
      <c r="F1294" s="7">
        <f>F1295</f>
        <v>0</v>
      </c>
      <c r="G1294" s="7">
        <f>G1295</f>
        <v>0</v>
      </c>
      <c r="H1294" s="35">
        <f t="shared" si="278"/>
        <v>0</v>
      </c>
      <c r="I1294" s="7">
        <f>I1295</f>
        <v>0</v>
      </c>
      <c r="J1294" s="35">
        <f t="shared" si="275"/>
        <v>0</v>
      </c>
      <c r="K1294" s="7">
        <f>K1295</f>
        <v>0</v>
      </c>
      <c r="L1294" s="35">
        <f t="shared" si="286"/>
        <v>0</v>
      </c>
      <c r="M1294" s="7">
        <f>M1295</f>
        <v>0</v>
      </c>
      <c r="N1294" s="35">
        <f t="shared" si="287"/>
        <v>0</v>
      </c>
      <c r="O1294" s="7">
        <f>O1295</f>
        <v>0</v>
      </c>
      <c r="P1294" s="35">
        <f t="shared" si="279"/>
        <v>0</v>
      </c>
      <c r="Q1294" s="7">
        <f>Q1295</f>
        <v>0</v>
      </c>
      <c r="R1294" s="35">
        <f t="shared" si="276"/>
        <v>0</v>
      </c>
      <c r="S1294" s="7">
        <f>S1295</f>
        <v>0</v>
      </c>
      <c r="T1294" s="35">
        <f t="shared" si="288"/>
        <v>0</v>
      </c>
    </row>
    <row r="1295" spans="1:20" ht="33" hidden="1">
      <c r="A1295" s="61" t="str">
        <f ca="1">IF(ISERROR(MATCH(E1295,Код_КВР,0)),"",INDIRECT(ADDRESS(MATCH(E1295,Код_КВР,0)+1,2,,,"КВР")))</f>
        <v>Предоставление субсидий бюджетным, автономным учреждениям и иным некоммерческим организациям</v>
      </c>
      <c r="B1295" s="45" t="s">
        <v>87</v>
      </c>
      <c r="C1295" s="8" t="s">
        <v>222</v>
      </c>
      <c r="D1295" s="1" t="s">
        <v>216</v>
      </c>
      <c r="E1295" s="104">
        <v>600</v>
      </c>
      <c r="F1295" s="7">
        <f>F1296+F1298</f>
        <v>0</v>
      </c>
      <c r="G1295" s="7">
        <f>G1296+G1298</f>
        <v>0</v>
      </c>
      <c r="H1295" s="35">
        <f t="shared" si="278"/>
        <v>0</v>
      </c>
      <c r="I1295" s="7">
        <f>I1296+I1298</f>
        <v>0</v>
      </c>
      <c r="J1295" s="35">
        <f t="shared" si="275"/>
        <v>0</v>
      </c>
      <c r="K1295" s="7">
        <f>K1296+K1298</f>
        <v>0</v>
      </c>
      <c r="L1295" s="35">
        <f t="shared" si="286"/>
        <v>0</v>
      </c>
      <c r="M1295" s="7">
        <f>M1296+M1298</f>
        <v>0</v>
      </c>
      <c r="N1295" s="35">
        <f t="shared" si="287"/>
        <v>0</v>
      </c>
      <c r="O1295" s="7">
        <f>O1296+O1298</f>
        <v>0</v>
      </c>
      <c r="P1295" s="35">
        <f t="shared" si="279"/>
        <v>0</v>
      </c>
      <c r="Q1295" s="7">
        <f>Q1296+Q1298</f>
        <v>0</v>
      </c>
      <c r="R1295" s="35">
        <f t="shared" si="276"/>
        <v>0</v>
      </c>
      <c r="S1295" s="7">
        <f>S1296+S1298</f>
        <v>0</v>
      </c>
      <c r="T1295" s="35">
        <f t="shared" si="288"/>
        <v>0</v>
      </c>
    </row>
    <row r="1296" spans="1:20" hidden="1">
      <c r="A1296" s="61" t="str">
        <f ca="1">IF(ISERROR(MATCH(E1296,Код_КВР,0)),"",INDIRECT(ADDRESS(MATCH(E1296,Код_КВР,0)+1,2,,,"КВР")))</f>
        <v>Субсидии бюджетным учреждениям</v>
      </c>
      <c r="B1296" s="45" t="s">
        <v>87</v>
      </c>
      <c r="C1296" s="8" t="s">
        <v>222</v>
      </c>
      <c r="D1296" s="1" t="s">
        <v>216</v>
      </c>
      <c r="E1296" s="104">
        <v>610</v>
      </c>
      <c r="F1296" s="7">
        <f>F1297</f>
        <v>0</v>
      </c>
      <c r="G1296" s="7">
        <f>G1297</f>
        <v>0</v>
      </c>
      <c r="H1296" s="35">
        <f t="shared" si="278"/>
        <v>0</v>
      </c>
      <c r="I1296" s="7">
        <f>I1297</f>
        <v>0</v>
      </c>
      <c r="J1296" s="35">
        <f t="shared" si="275"/>
        <v>0</v>
      </c>
      <c r="K1296" s="7">
        <f>K1297</f>
        <v>0</v>
      </c>
      <c r="L1296" s="35">
        <f t="shared" si="286"/>
        <v>0</v>
      </c>
      <c r="M1296" s="7">
        <f>M1297</f>
        <v>0</v>
      </c>
      <c r="N1296" s="35">
        <f t="shared" si="287"/>
        <v>0</v>
      </c>
      <c r="O1296" s="7">
        <f>O1297</f>
        <v>0</v>
      </c>
      <c r="P1296" s="35">
        <f t="shared" si="279"/>
        <v>0</v>
      </c>
      <c r="Q1296" s="7">
        <f>Q1297</f>
        <v>0</v>
      </c>
      <c r="R1296" s="35">
        <f t="shared" si="276"/>
        <v>0</v>
      </c>
      <c r="S1296" s="7">
        <f>S1297</f>
        <v>0</v>
      </c>
      <c r="T1296" s="35">
        <f t="shared" si="288"/>
        <v>0</v>
      </c>
    </row>
    <row r="1297" spans="1:20" hidden="1">
      <c r="A1297" s="61" t="str">
        <f ca="1">IF(ISERROR(MATCH(E1297,Код_КВР,0)),"",INDIRECT(ADDRESS(MATCH(E1297,Код_КВР,0)+1,2,,,"КВР")))</f>
        <v>Субсидии бюджетным учреждениям на иные цели</v>
      </c>
      <c r="B1297" s="45" t="s">
        <v>87</v>
      </c>
      <c r="C1297" s="8" t="s">
        <v>222</v>
      </c>
      <c r="D1297" s="1" t="s">
        <v>216</v>
      </c>
      <c r="E1297" s="104">
        <v>612</v>
      </c>
      <c r="F1297" s="7">
        <f>прил.6!G1152</f>
        <v>0</v>
      </c>
      <c r="G1297" s="7">
        <f>прил.6!H1152</f>
        <v>0</v>
      </c>
      <c r="H1297" s="35">
        <f t="shared" si="278"/>
        <v>0</v>
      </c>
      <c r="I1297" s="7">
        <f>прил.6!J1152</f>
        <v>0</v>
      </c>
      <c r="J1297" s="35">
        <f t="shared" si="275"/>
        <v>0</v>
      </c>
      <c r="K1297" s="7">
        <f>прил.6!L1152</f>
        <v>0</v>
      </c>
      <c r="L1297" s="35">
        <f t="shared" si="286"/>
        <v>0</v>
      </c>
      <c r="M1297" s="7">
        <f>прил.6!N1152</f>
        <v>0</v>
      </c>
      <c r="N1297" s="35">
        <f t="shared" si="287"/>
        <v>0</v>
      </c>
      <c r="O1297" s="7">
        <f>прил.6!P1152</f>
        <v>0</v>
      </c>
      <c r="P1297" s="35">
        <f t="shared" si="279"/>
        <v>0</v>
      </c>
      <c r="Q1297" s="7">
        <f>прил.6!R1152</f>
        <v>0</v>
      </c>
      <c r="R1297" s="35">
        <f t="shared" si="276"/>
        <v>0</v>
      </c>
      <c r="S1297" s="7">
        <f>прил.6!T1152</f>
        <v>0</v>
      </c>
      <c r="T1297" s="35">
        <f t="shared" si="288"/>
        <v>0</v>
      </c>
    </row>
    <row r="1298" spans="1:20" hidden="1">
      <c r="A1298" s="61" t="str">
        <f ca="1">IF(ISERROR(MATCH(E1298,Код_КВР,0)),"",INDIRECT(ADDRESS(MATCH(E1298,Код_КВР,0)+1,2,,,"КВР")))</f>
        <v>Субсидии автономным учреждениям</v>
      </c>
      <c r="B1298" s="45" t="s">
        <v>87</v>
      </c>
      <c r="C1298" s="8" t="s">
        <v>222</v>
      </c>
      <c r="D1298" s="1" t="s">
        <v>216</v>
      </c>
      <c r="E1298" s="104">
        <v>620</v>
      </c>
      <c r="F1298" s="7">
        <f>F1299</f>
        <v>0</v>
      </c>
      <c r="G1298" s="7">
        <f>G1299</f>
        <v>0</v>
      </c>
      <c r="H1298" s="35">
        <f t="shared" si="278"/>
        <v>0</v>
      </c>
      <c r="I1298" s="7">
        <f>I1299</f>
        <v>0</v>
      </c>
      <c r="J1298" s="35">
        <f t="shared" si="275"/>
        <v>0</v>
      </c>
      <c r="K1298" s="7">
        <f>K1299</f>
        <v>0</v>
      </c>
      <c r="L1298" s="35">
        <f t="shared" si="286"/>
        <v>0</v>
      </c>
      <c r="M1298" s="7">
        <f>M1299</f>
        <v>0</v>
      </c>
      <c r="N1298" s="35">
        <f t="shared" si="287"/>
        <v>0</v>
      </c>
      <c r="O1298" s="7">
        <f>O1299</f>
        <v>0</v>
      </c>
      <c r="P1298" s="35">
        <f t="shared" si="279"/>
        <v>0</v>
      </c>
      <c r="Q1298" s="7">
        <f>Q1299</f>
        <v>0</v>
      </c>
      <c r="R1298" s="35">
        <f t="shared" si="276"/>
        <v>0</v>
      </c>
      <c r="S1298" s="7">
        <f>S1299</f>
        <v>0</v>
      </c>
      <c r="T1298" s="35">
        <f t="shared" si="288"/>
        <v>0</v>
      </c>
    </row>
    <row r="1299" spans="1:20" hidden="1">
      <c r="A1299" s="61" t="str">
        <f ca="1">IF(ISERROR(MATCH(E1299,Код_КВР,0)),"",INDIRECT(ADDRESS(MATCH(E1299,Код_КВР,0)+1,2,,,"КВР")))</f>
        <v>Субсидии автономным учреждениям на иные цели</v>
      </c>
      <c r="B1299" s="45" t="s">
        <v>87</v>
      </c>
      <c r="C1299" s="8" t="s">
        <v>222</v>
      </c>
      <c r="D1299" s="1" t="s">
        <v>216</v>
      </c>
      <c r="E1299" s="104">
        <v>622</v>
      </c>
      <c r="F1299" s="7">
        <f>прил.6!G1154</f>
        <v>0</v>
      </c>
      <c r="G1299" s="7">
        <f>прил.6!H1154</f>
        <v>0</v>
      </c>
      <c r="H1299" s="35">
        <f t="shared" si="278"/>
        <v>0</v>
      </c>
      <c r="I1299" s="7">
        <f>прил.6!J1154</f>
        <v>0</v>
      </c>
      <c r="J1299" s="35">
        <f t="shared" si="275"/>
        <v>0</v>
      </c>
      <c r="K1299" s="7">
        <f>прил.6!L1154</f>
        <v>0</v>
      </c>
      <c r="L1299" s="35">
        <f t="shared" si="286"/>
        <v>0</v>
      </c>
      <c r="M1299" s="7">
        <f>прил.6!N1154</f>
        <v>0</v>
      </c>
      <c r="N1299" s="35">
        <f t="shared" si="287"/>
        <v>0</v>
      </c>
      <c r="O1299" s="7">
        <f>прил.6!P1154</f>
        <v>0</v>
      </c>
      <c r="P1299" s="35">
        <f t="shared" si="279"/>
        <v>0</v>
      </c>
      <c r="Q1299" s="7">
        <f>прил.6!R1154</f>
        <v>0</v>
      </c>
      <c r="R1299" s="35">
        <f t="shared" si="276"/>
        <v>0</v>
      </c>
      <c r="S1299" s="7">
        <f>прил.6!T1154</f>
        <v>0</v>
      </c>
      <c r="T1299" s="35">
        <f t="shared" si="288"/>
        <v>0</v>
      </c>
    </row>
    <row r="1300" spans="1:20">
      <c r="A1300" s="61" t="str">
        <f ca="1">IF(ISERROR(MATCH(B1300,Код_КЦСР,0)),"",INDIRECT(ADDRESS(MATCH(B1300,Код_КЦСР,0)+1,2,,,"КЦСР")))</f>
        <v>Ремонт и обслуживание электрооборудования зданий</v>
      </c>
      <c r="B1300" s="47" t="s">
        <v>89</v>
      </c>
      <c r="C1300" s="8"/>
      <c r="D1300" s="1"/>
      <c r="E1300" s="141"/>
      <c r="F1300" s="7"/>
      <c r="G1300" s="7"/>
      <c r="H1300" s="35"/>
      <c r="I1300" s="7"/>
      <c r="J1300" s="35"/>
      <c r="K1300" s="7"/>
      <c r="L1300" s="35"/>
      <c r="M1300" s="7"/>
      <c r="N1300" s="35"/>
      <c r="O1300" s="7"/>
      <c r="P1300" s="35"/>
      <c r="Q1300" s="7"/>
      <c r="R1300" s="35"/>
      <c r="S1300" s="7">
        <f>S1301</f>
        <v>14.9</v>
      </c>
      <c r="T1300" s="35">
        <f t="shared" si="288"/>
        <v>14.9</v>
      </c>
    </row>
    <row r="1301" spans="1:20">
      <c r="A1301" s="61" t="str">
        <f ca="1">IF(ISERROR(MATCH(C1301,Код_Раздел,0)),"",INDIRECT(ADDRESS(MATCH(C1301,Код_Раздел,0)+1,2,,,"Раздел")))</f>
        <v>Культура, кинематография</v>
      </c>
      <c r="B1301" s="47" t="s">
        <v>89</v>
      </c>
      <c r="C1301" s="8" t="s">
        <v>222</v>
      </c>
      <c r="D1301" s="1"/>
      <c r="E1301" s="141"/>
      <c r="F1301" s="7"/>
      <c r="G1301" s="7"/>
      <c r="H1301" s="35"/>
      <c r="I1301" s="7"/>
      <c r="J1301" s="35"/>
      <c r="K1301" s="7"/>
      <c r="L1301" s="35"/>
      <c r="M1301" s="7"/>
      <c r="N1301" s="35"/>
      <c r="O1301" s="7"/>
      <c r="P1301" s="35"/>
      <c r="Q1301" s="7"/>
      <c r="R1301" s="35"/>
      <c r="S1301" s="7">
        <f>S1302</f>
        <v>14.9</v>
      </c>
      <c r="T1301" s="35">
        <f t="shared" si="288"/>
        <v>14.9</v>
      </c>
    </row>
    <row r="1302" spans="1:20">
      <c r="A1302" s="12" t="s">
        <v>163</v>
      </c>
      <c r="B1302" s="47" t="s">
        <v>89</v>
      </c>
      <c r="C1302" s="8" t="s">
        <v>222</v>
      </c>
      <c r="D1302" s="1" t="s">
        <v>216</v>
      </c>
      <c r="E1302" s="141"/>
      <c r="F1302" s="7"/>
      <c r="G1302" s="7"/>
      <c r="H1302" s="35"/>
      <c r="I1302" s="7"/>
      <c r="J1302" s="35"/>
      <c r="K1302" s="7"/>
      <c r="L1302" s="35"/>
      <c r="M1302" s="7"/>
      <c r="N1302" s="35"/>
      <c r="O1302" s="7"/>
      <c r="P1302" s="35"/>
      <c r="Q1302" s="7"/>
      <c r="R1302" s="35"/>
      <c r="S1302" s="7">
        <f>S1303</f>
        <v>14.9</v>
      </c>
      <c r="T1302" s="35">
        <f t="shared" si="288"/>
        <v>14.9</v>
      </c>
    </row>
    <row r="1303" spans="1:20" ht="33">
      <c r="A1303" s="61" t="str">
        <f ca="1">IF(ISERROR(MATCH(E1303,Код_КВР,0)),"",INDIRECT(ADDRESS(MATCH(E1303,Код_КВР,0)+1,2,,,"КВР")))</f>
        <v>Предоставление субсидий бюджетным, автономным учреждениям и иным некоммерческим организациям</v>
      </c>
      <c r="B1303" s="47" t="s">
        <v>89</v>
      </c>
      <c r="C1303" s="8" t="s">
        <v>222</v>
      </c>
      <c r="D1303" s="1" t="s">
        <v>216</v>
      </c>
      <c r="E1303" s="141">
        <v>600</v>
      </c>
      <c r="F1303" s="7"/>
      <c r="G1303" s="7"/>
      <c r="H1303" s="35"/>
      <c r="I1303" s="7"/>
      <c r="J1303" s="35"/>
      <c r="K1303" s="7"/>
      <c r="L1303" s="35"/>
      <c r="M1303" s="7"/>
      <c r="N1303" s="35"/>
      <c r="O1303" s="7"/>
      <c r="P1303" s="35"/>
      <c r="Q1303" s="7"/>
      <c r="R1303" s="35"/>
      <c r="S1303" s="7">
        <f>S1304</f>
        <v>14.9</v>
      </c>
      <c r="T1303" s="35">
        <f t="shared" si="288"/>
        <v>14.9</v>
      </c>
    </row>
    <row r="1304" spans="1:20">
      <c r="A1304" s="61" t="str">
        <f ca="1">IF(ISERROR(MATCH(E1304,Код_КВР,0)),"",INDIRECT(ADDRESS(MATCH(E1304,Код_КВР,0)+1,2,,,"КВР")))</f>
        <v>Субсидии бюджетным учреждениям</v>
      </c>
      <c r="B1304" s="47" t="s">
        <v>89</v>
      </c>
      <c r="C1304" s="8" t="s">
        <v>222</v>
      </c>
      <c r="D1304" s="1" t="s">
        <v>216</v>
      </c>
      <c r="E1304" s="141">
        <v>610</v>
      </c>
      <c r="F1304" s="7"/>
      <c r="G1304" s="7"/>
      <c r="H1304" s="35"/>
      <c r="I1304" s="7"/>
      <c r="J1304" s="35"/>
      <c r="K1304" s="7"/>
      <c r="L1304" s="35"/>
      <c r="M1304" s="7"/>
      <c r="N1304" s="35"/>
      <c r="O1304" s="7"/>
      <c r="P1304" s="35"/>
      <c r="Q1304" s="7"/>
      <c r="R1304" s="35"/>
      <c r="S1304" s="7">
        <f>S1305</f>
        <v>14.9</v>
      </c>
      <c r="T1304" s="35">
        <f t="shared" si="288"/>
        <v>14.9</v>
      </c>
    </row>
    <row r="1305" spans="1:20">
      <c r="A1305" s="61" t="str">
        <f ca="1">IF(ISERROR(MATCH(E1305,Код_КВР,0)),"",INDIRECT(ADDRESS(MATCH(E1305,Код_КВР,0)+1,2,,,"КВР")))</f>
        <v>Субсидии бюджетным учреждениям на иные цели</v>
      </c>
      <c r="B1305" s="47" t="s">
        <v>89</v>
      </c>
      <c r="C1305" s="8" t="s">
        <v>222</v>
      </c>
      <c r="D1305" s="1" t="s">
        <v>216</v>
      </c>
      <c r="E1305" s="141">
        <v>612</v>
      </c>
      <c r="F1305" s="7"/>
      <c r="G1305" s="7"/>
      <c r="H1305" s="35"/>
      <c r="I1305" s="7"/>
      <c r="J1305" s="35"/>
      <c r="K1305" s="7"/>
      <c r="L1305" s="35"/>
      <c r="M1305" s="7"/>
      <c r="N1305" s="35"/>
      <c r="O1305" s="7"/>
      <c r="P1305" s="35"/>
      <c r="Q1305" s="7"/>
      <c r="R1305" s="35"/>
      <c r="S1305" s="7">
        <f>прил.6!T1158</f>
        <v>14.9</v>
      </c>
      <c r="T1305" s="35">
        <f t="shared" si="288"/>
        <v>14.9</v>
      </c>
    </row>
    <row r="1306" spans="1:20" ht="33" customHeight="1">
      <c r="A1306" s="61" t="str">
        <f ca="1">IF(ISERROR(MATCH(B1306,Код_КЦСР,0)),"",INDIRECT(ADDRESS(MATCH(B1306,Код_КЦСР,0)+1,2,,,"КЦСР")))</f>
        <v>Комплектование, ремонт и испытание внутреннего противопожарного водоснабжения зданий (ПК)</v>
      </c>
      <c r="B1306" s="47" t="s">
        <v>93</v>
      </c>
      <c r="C1306" s="8"/>
      <c r="D1306" s="1"/>
      <c r="E1306" s="141"/>
      <c r="F1306" s="7"/>
      <c r="G1306" s="7"/>
      <c r="H1306" s="35"/>
      <c r="I1306" s="7"/>
      <c r="J1306" s="35"/>
      <c r="K1306" s="7"/>
      <c r="L1306" s="35"/>
      <c r="M1306" s="7"/>
      <c r="N1306" s="35"/>
      <c r="O1306" s="7"/>
      <c r="P1306" s="35"/>
      <c r="Q1306" s="7"/>
      <c r="R1306" s="35"/>
      <c r="S1306" s="7">
        <f>S1307</f>
        <v>37.799999999999997</v>
      </c>
      <c r="T1306" s="35">
        <f t="shared" si="288"/>
        <v>37.799999999999997</v>
      </c>
    </row>
    <row r="1307" spans="1:20">
      <c r="A1307" s="61" t="str">
        <f ca="1">IF(ISERROR(MATCH(C1307,Код_Раздел,0)),"",INDIRECT(ADDRESS(MATCH(C1307,Код_Раздел,0)+1,2,,,"Раздел")))</f>
        <v>Культура, кинематография</v>
      </c>
      <c r="B1307" s="47" t="s">
        <v>93</v>
      </c>
      <c r="C1307" s="8" t="s">
        <v>222</v>
      </c>
      <c r="D1307" s="1"/>
      <c r="E1307" s="141"/>
      <c r="F1307" s="7"/>
      <c r="G1307" s="7"/>
      <c r="H1307" s="35"/>
      <c r="I1307" s="7"/>
      <c r="J1307" s="35"/>
      <c r="K1307" s="7"/>
      <c r="L1307" s="35"/>
      <c r="M1307" s="7"/>
      <c r="N1307" s="35"/>
      <c r="O1307" s="7"/>
      <c r="P1307" s="35"/>
      <c r="Q1307" s="7"/>
      <c r="R1307" s="35"/>
      <c r="S1307" s="7">
        <f>S1308</f>
        <v>37.799999999999997</v>
      </c>
      <c r="T1307" s="35">
        <f t="shared" si="288"/>
        <v>37.799999999999997</v>
      </c>
    </row>
    <row r="1308" spans="1:20">
      <c r="A1308" s="12" t="s">
        <v>163</v>
      </c>
      <c r="B1308" s="47" t="s">
        <v>93</v>
      </c>
      <c r="C1308" s="8" t="s">
        <v>222</v>
      </c>
      <c r="D1308" s="1" t="s">
        <v>216</v>
      </c>
      <c r="E1308" s="141"/>
      <c r="F1308" s="7"/>
      <c r="G1308" s="7"/>
      <c r="H1308" s="35"/>
      <c r="I1308" s="7"/>
      <c r="J1308" s="35"/>
      <c r="K1308" s="7"/>
      <c r="L1308" s="35"/>
      <c r="M1308" s="7"/>
      <c r="N1308" s="35"/>
      <c r="O1308" s="7"/>
      <c r="P1308" s="35"/>
      <c r="Q1308" s="7"/>
      <c r="R1308" s="35"/>
      <c r="S1308" s="7">
        <f>S1309</f>
        <v>37.799999999999997</v>
      </c>
      <c r="T1308" s="35">
        <f t="shared" si="288"/>
        <v>37.799999999999997</v>
      </c>
    </row>
    <row r="1309" spans="1:20" ht="33">
      <c r="A1309" s="61" t="str">
        <f ca="1">IF(ISERROR(MATCH(E1309,Код_КВР,0)),"",INDIRECT(ADDRESS(MATCH(E1309,Код_КВР,0)+1,2,,,"КВР")))</f>
        <v>Предоставление субсидий бюджетным, автономным учреждениям и иным некоммерческим организациям</v>
      </c>
      <c r="B1309" s="47" t="s">
        <v>93</v>
      </c>
      <c r="C1309" s="8" t="s">
        <v>222</v>
      </c>
      <c r="D1309" s="1" t="s">
        <v>216</v>
      </c>
      <c r="E1309" s="141">
        <v>600</v>
      </c>
      <c r="F1309" s="7"/>
      <c r="G1309" s="7"/>
      <c r="H1309" s="35"/>
      <c r="I1309" s="7"/>
      <c r="J1309" s="35"/>
      <c r="K1309" s="7"/>
      <c r="L1309" s="35"/>
      <c r="M1309" s="7"/>
      <c r="N1309" s="35"/>
      <c r="O1309" s="7"/>
      <c r="P1309" s="35"/>
      <c r="Q1309" s="7"/>
      <c r="R1309" s="35"/>
      <c r="S1309" s="7">
        <f>S1310</f>
        <v>37.799999999999997</v>
      </c>
      <c r="T1309" s="35">
        <f t="shared" si="288"/>
        <v>37.799999999999997</v>
      </c>
    </row>
    <row r="1310" spans="1:20">
      <c r="A1310" s="61" t="str">
        <f ca="1">IF(ISERROR(MATCH(E1310,Код_КВР,0)),"",INDIRECT(ADDRESS(MATCH(E1310,Код_КВР,0)+1,2,,,"КВР")))</f>
        <v>Субсидии бюджетным учреждениям</v>
      </c>
      <c r="B1310" s="47" t="s">
        <v>93</v>
      </c>
      <c r="C1310" s="8" t="s">
        <v>222</v>
      </c>
      <c r="D1310" s="1" t="s">
        <v>216</v>
      </c>
      <c r="E1310" s="141">
        <v>610</v>
      </c>
      <c r="F1310" s="7"/>
      <c r="G1310" s="7"/>
      <c r="H1310" s="35"/>
      <c r="I1310" s="7"/>
      <c r="J1310" s="35"/>
      <c r="K1310" s="7"/>
      <c r="L1310" s="35"/>
      <c r="M1310" s="7"/>
      <c r="N1310" s="35"/>
      <c r="O1310" s="7"/>
      <c r="P1310" s="35"/>
      <c r="Q1310" s="7"/>
      <c r="R1310" s="35"/>
      <c r="S1310" s="7">
        <f>S1311</f>
        <v>37.799999999999997</v>
      </c>
      <c r="T1310" s="35">
        <f t="shared" si="288"/>
        <v>37.799999999999997</v>
      </c>
    </row>
    <row r="1311" spans="1:20">
      <c r="A1311" s="61" t="str">
        <f ca="1">IF(ISERROR(MATCH(E1311,Код_КВР,0)),"",INDIRECT(ADDRESS(MATCH(E1311,Код_КВР,0)+1,2,,,"КВР")))</f>
        <v>Субсидии бюджетным учреждениям на иные цели</v>
      </c>
      <c r="B1311" s="47" t="s">
        <v>93</v>
      </c>
      <c r="C1311" s="8" t="s">
        <v>222</v>
      </c>
      <c r="D1311" s="1" t="s">
        <v>216</v>
      </c>
      <c r="E1311" s="141">
        <v>612</v>
      </c>
      <c r="F1311" s="7"/>
      <c r="G1311" s="7"/>
      <c r="H1311" s="35"/>
      <c r="I1311" s="7"/>
      <c r="J1311" s="35"/>
      <c r="K1311" s="7"/>
      <c r="L1311" s="35"/>
      <c r="M1311" s="7"/>
      <c r="N1311" s="35"/>
      <c r="O1311" s="7"/>
      <c r="P1311" s="35"/>
      <c r="Q1311" s="7"/>
      <c r="R1311" s="35"/>
      <c r="S1311" s="7">
        <f>прил.6!T1162</f>
        <v>37.799999999999997</v>
      </c>
      <c r="T1311" s="35">
        <f t="shared" si="288"/>
        <v>37.799999999999997</v>
      </c>
    </row>
    <row r="1312" spans="1:20" ht="51.75" customHeight="1">
      <c r="A1312" s="61" t="str">
        <f ca="1">IF(ISERROR(MATCH(B1312,Код_КЦСР,0)),"",INDIRECT(ADDRESS(MATCH(B1312,Код_КЦСР,0)+1,2,,,"КЦСР")))</f>
        <v>Огнезащитная обработка деревянных и металлических конструкций зданий, декорации и одежды сцены. Проведение экспертизы.</v>
      </c>
      <c r="B1312" s="47" t="s">
        <v>95</v>
      </c>
      <c r="C1312" s="8"/>
      <c r="D1312" s="1"/>
      <c r="E1312" s="141"/>
      <c r="F1312" s="7"/>
      <c r="G1312" s="7"/>
      <c r="H1312" s="35"/>
      <c r="I1312" s="7"/>
      <c r="J1312" s="35"/>
      <c r="K1312" s="7"/>
      <c r="L1312" s="35"/>
      <c r="M1312" s="7"/>
      <c r="N1312" s="35"/>
      <c r="O1312" s="7"/>
      <c r="P1312" s="35"/>
      <c r="Q1312" s="7"/>
      <c r="R1312" s="35"/>
      <c r="S1312" s="7">
        <f>S1313</f>
        <v>148.5</v>
      </c>
      <c r="T1312" s="35">
        <f t="shared" si="288"/>
        <v>148.5</v>
      </c>
    </row>
    <row r="1313" spans="1:20">
      <c r="A1313" s="61" t="str">
        <f ca="1">IF(ISERROR(MATCH(C1313,Код_Раздел,0)),"",INDIRECT(ADDRESS(MATCH(C1313,Код_Раздел,0)+1,2,,,"Раздел")))</f>
        <v>Культура, кинематография</v>
      </c>
      <c r="B1313" s="47" t="s">
        <v>95</v>
      </c>
      <c r="C1313" s="8" t="s">
        <v>222</v>
      </c>
      <c r="D1313" s="1"/>
      <c r="E1313" s="141"/>
      <c r="F1313" s="7"/>
      <c r="G1313" s="7"/>
      <c r="H1313" s="35"/>
      <c r="I1313" s="7"/>
      <c r="J1313" s="35"/>
      <c r="K1313" s="7"/>
      <c r="L1313" s="35"/>
      <c r="M1313" s="7"/>
      <c r="N1313" s="35"/>
      <c r="O1313" s="7"/>
      <c r="P1313" s="35"/>
      <c r="Q1313" s="7"/>
      <c r="R1313" s="35"/>
      <c r="S1313" s="7">
        <f>S1314</f>
        <v>148.5</v>
      </c>
      <c r="T1313" s="35">
        <f t="shared" si="288"/>
        <v>148.5</v>
      </c>
    </row>
    <row r="1314" spans="1:20">
      <c r="A1314" s="12" t="s">
        <v>163</v>
      </c>
      <c r="B1314" s="47" t="s">
        <v>95</v>
      </c>
      <c r="C1314" s="8" t="s">
        <v>222</v>
      </c>
      <c r="D1314" s="1" t="s">
        <v>216</v>
      </c>
      <c r="E1314" s="141"/>
      <c r="F1314" s="7"/>
      <c r="G1314" s="7"/>
      <c r="H1314" s="35"/>
      <c r="I1314" s="7"/>
      <c r="J1314" s="35"/>
      <c r="K1314" s="7"/>
      <c r="L1314" s="35"/>
      <c r="M1314" s="7"/>
      <c r="N1314" s="35"/>
      <c r="O1314" s="7"/>
      <c r="P1314" s="35"/>
      <c r="Q1314" s="7"/>
      <c r="R1314" s="35"/>
      <c r="S1314" s="7">
        <f>S1315</f>
        <v>148.5</v>
      </c>
      <c r="T1314" s="35">
        <f t="shared" si="288"/>
        <v>148.5</v>
      </c>
    </row>
    <row r="1315" spans="1:20" ht="33">
      <c r="A1315" s="61" t="str">
        <f ca="1">IF(ISERROR(MATCH(E1315,Код_КВР,0)),"",INDIRECT(ADDRESS(MATCH(E1315,Код_КВР,0)+1,2,,,"КВР")))</f>
        <v>Предоставление субсидий бюджетным, автономным учреждениям и иным некоммерческим организациям</v>
      </c>
      <c r="B1315" s="47" t="s">
        <v>95</v>
      </c>
      <c r="C1315" s="8" t="s">
        <v>222</v>
      </c>
      <c r="D1315" s="1" t="s">
        <v>216</v>
      </c>
      <c r="E1315" s="141">
        <v>600</v>
      </c>
      <c r="F1315" s="7"/>
      <c r="G1315" s="7"/>
      <c r="H1315" s="35"/>
      <c r="I1315" s="7"/>
      <c r="J1315" s="35"/>
      <c r="K1315" s="7"/>
      <c r="L1315" s="35"/>
      <c r="M1315" s="7"/>
      <c r="N1315" s="35"/>
      <c r="O1315" s="7"/>
      <c r="P1315" s="35"/>
      <c r="Q1315" s="7"/>
      <c r="R1315" s="35"/>
      <c r="S1315" s="7">
        <f>S1316</f>
        <v>148.5</v>
      </c>
      <c r="T1315" s="35">
        <f t="shared" si="288"/>
        <v>148.5</v>
      </c>
    </row>
    <row r="1316" spans="1:20">
      <c r="A1316" s="61" t="str">
        <f ca="1">IF(ISERROR(MATCH(E1316,Код_КВР,0)),"",INDIRECT(ADDRESS(MATCH(E1316,Код_КВР,0)+1,2,,,"КВР")))</f>
        <v>Субсидии бюджетным учреждениям</v>
      </c>
      <c r="B1316" s="47" t="s">
        <v>95</v>
      </c>
      <c r="C1316" s="8" t="s">
        <v>222</v>
      </c>
      <c r="D1316" s="1" t="s">
        <v>216</v>
      </c>
      <c r="E1316" s="141">
        <v>610</v>
      </c>
      <c r="F1316" s="7"/>
      <c r="G1316" s="7"/>
      <c r="H1316" s="35"/>
      <c r="I1316" s="7"/>
      <c r="J1316" s="35"/>
      <c r="K1316" s="7"/>
      <c r="L1316" s="35"/>
      <c r="M1316" s="7"/>
      <c r="N1316" s="35"/>
      <c r="O1316" s="7"/>
      <c r="P1316" s="35"/>
      <c r="Q1316" s="7"/>
      <c r="R1316" s="35"/>
      <c r="S1316" s="7">
        <f>S1317</f>
        <v>148.5</v>
      </c>
      <c r="T1316" s="35">
        <f t="shared" si="288"/>
        <v>148.5</v>
      </c>
    </row>
    <row r="1317" spans="1:20">
      <c r="A1317" s="61" t="str">
        <f ca="1">IF(ISERROR(MATCH(E1317,Код_КВР,0)),"",INDIRECT(ADDRESS(MATCH(E1317,Код_КВР,0)+1,2,,,"КВР")))</f>
        <v>Субсидии бюджетным учреждениям на иные цели</v>
      </c>
      <c r="B1317" s="47" t="s">
        <v>95</v>
      </c>
      <c r="C1317" s="8" t="s">
        <v>222</v>
      </c>
      <c r="D1317" s="1" t="s">
        <v>216</v>
      </c>
      <c r="E1317" s="141">
        <v>612</v>
      </c>
      <c r="F1317" s="7"/>
      <c r="G1317" s="7"/>
      <c r="H1317" s="35"/>
      <c r="I1317" s="7"/>
      <c r="J1317" s="35"/>
      <c r="K1317" s="7"/>
      <c r="L1317" s="35"/>
      <c r="M1317" s="7"/>
      <c r="N1317" s="35"/>
      <c r="O1317" s="7"/>
      <c r="P1317" s="35"/>
      <c r="Q1317" s="7"/>
      <c r="R1317" s="35"/>
      <c r="S1317" s="7">
        <f>прил.6!T1166</f>
        <v>148.5</v>
      </c>
      <c r="T1317" s="35">
        <f t="shared" si="288"/>
        <v>148.5</v>
      </c>
    </row>
    <row r="1318" spans="1:20">
      <c r="A1318" s="61" t="str">
        <f ca="1">IF(ISERROR(MATCH(B1318,Код_КЦСР,0)),"",INDIRECT(ADDRESS(MATCH(B1318,Код_КЦСР,0)+1,2,,,"КЦСР")))</f>
        <v>Установка распашных решеток на окнах зданий</v>
      </c>
      <c r="B1318" s="45" t="s">
        <v>103</v>
      </c>
      <c r="C1318" s="8"/>
      <c r="D1318" s="1"/>
      <c r="E1318" s="104"/>
      <c r="F1318" s="7">
        <f t="shared" ref="F1318:S1320" si="289">F1319</f>
        <v>105.4</v>
      </c>
      <c r="G1318" s="7">
        <f t="shared" si="289"/>
        <v>0</v>
      </c>
      <c r="H1318" s="35">
        <f t="shared" si="278"/>
        <v>105.4</v>
      </c>
      <c r="I1318" s="7">
        <f t="shared" si="289"/>
        <v>0</v>
      </c>
      <c r="J1318" s="35">
        <f t="shared" si="275"/>
        <v>105.4</v>
      </c>
      <c r="K1318" s="7">
        <f t="shared" si="289"/>
        <v>0</v>
      </c>
      <c r="L1318" s="35">
        <f t="shared" si="286"/>
        <v>105.4</v>
      </c>
      <c r="M1318" s="7">
        <f t="shared" si="289"/>
        <v>0</v>
      </c>
      <c r="N1318" s="35">
        <f t="shared" si="287"/>
        <v>105.4</v>
      </c>
      <c r="O1318" s="7">
        <f t="shared" si="289"/>
        <v>0</v>
      </c>
      <c r="P1318" s="35">
        <f t="shared" si="279"/>
        <v>105.4</v>
      </c>
      <c r="Q1318" s="7">
        <f t="shared" si="289"/>
        <v>0</v>
      </c>
      <c r="R1318" s="35">
        <f t="shared" si="276"/>
        <v>105.4</v>
      </c>
      <c r="S1318" s="7">
        <f t="shared" si="289"/>
        <v>-105.4</v>
      </c>
      <c r="T1318" s="35">
        <f t="shared" ref="T1318:T1374" si="290">R1318+S1318</f>
        <v>0</v>
      </c>
    </row>
    <row r="1319" spans="1:20">
      <c r="A1319" s="61" t="str">
        <f ca="1">IF(ISERROR(MATCH(C1319,Код_Раздел,0)),"",INDIRECT(ADDRESS(MATCH(C1319,Код_Раздел,0)+1,2,,,"Раздел")))</f>
        <v>Культура, кинематография</v>
      </c>
      <c r="B1319" s="45" t="s">
        <v>103</v>
      </c>
      <c r="C1319" s="8" t="s">
        <v>222</v>
      </c>
      <c r="D1319" s="1"/>
      <c r="E1319" s="104"/>
      <c r="F1319" s="7">
        <f t="shared" si="289"/>
        <v>105.4</v>
      </c>
      <c r="G1319" s="7">
        <f t="shared" si="289"/>
        <v>0</v>
      </c>
      <c r="H1319" s="35">
        <f t="shared" si="278"/>
        <v>105.4</v>
      </c>
      <c r="I1319" s="7">
        <f t="shared" si="289"/>
        <v>0</v>
      </c>
      <c r="J1319" s="35">
        <f t="shared" si="275"/>
        <v>105.4</v>
      </c>
      <c r="K1319" s="7">
        <f t="shared" si="289"/>
        <v>0</v>
      </c>
      <c r="L1319" s="35">
        <f t="shared" si="286"/>
        <v>105.4</v>
      </c>
      <c r="M1319" s="7">
        <f t="shared" si="289"/>
        <v>0</v>
      </c>
      <c r="N1319" s="35">
        <f t="shared" si="287"/>
        <v>105.4</v>
      </c>
      <c r="O1319" s="7">
        <f t="shared" si="289"/>
        <v>0</v>
      </c>
      <c r="P1319" s="35">
        <f t="shared" si="279"/>
        <v>105.4</v>
      </c>
      <c r="Q1319" s="7">
        <f t="shared" si="289"/>
        <v>0</v>
      </c>
      <c r="R1319" s="35">
        <f t="shared" si="276"/>
        <v>105.4</v>
      </c>
      <c r="S1319" s="7">
        <f t="shared" si="289"/>
        <v>-105.4</v>
      </c>
      <c r="T1319" s="35">
        <f t="shared" si="290"/>
        <v>0</v>
      </c>
    </row>
    <row r="1320" spans="1:20">
      <c r="A1320" s="12" t="s">
        <v>163</v>
      </c>
      <c r="B1320" s="45" t="s">
        <v>103</v>
      </c>
      <c r="C1320" s="8" t="s">
        <v>222</v>
      </c>
      <c r="D1320" s="1" t="s">
        <v>216</v>
      </c>
      <c r="E1320" s="104"/>
      <c r="F1320" s="7">
        <f t="shared" si="289"/>
        <v>105.4</v>
      </c>
      <c r="G1320" s="7">
        <f t="shared" si="289"/>
        <v>0</v>
      </c>
      <c r="H1320" s="35">
        <f t="shared" si="278"/>
        <v>105.4</v>
      </c>
      <c r="I1320" s="7">
        <f t="shared" si="289"/>
        <v>0</v>
      </c>
      <c r="J1320" s="35">
        <f t="shared" si="275"/>
        <v>105.4</v>
      </c>
      <c r="K1320" s="7">
        <f t="shared" si="289"/>
        <v>0</v>
      </c>
      <c r="L1320" s="35">
        <f t="shared" si="286"/>
        <v>105.4</v>
      </c>
      <c r="M1320" s="7">
        <f t="shared" si="289"/>
        <v>0</v>
      </c>
      <c r="N1320" s="35">
        <f t="shared" si="287"/>
        <v>105.4</v>
      </c>
      <c r="O1320" s="7">
        <f t="shared" si="289"/>
        <v>0</v>
      </c>
      <c r="P1320" s="35">
        <f t="shared" si="279"/>
        <v>105.4</v>
      </c>
      <c r="Q1320" s="7">
        <f t="shared" si="289"/>
        <v>0</v>
      </c>
      <c r="R1320" s="35">
        <f t="shared" si="276"/>
        <v>105.4</v>
      </c>
      <c r="S1320" s="7">
        <f t="shared" si="289"/>
        <v>-105.4</v>
      </c>
      <c r="T1320" s="35">
        <f t="shared" si="290"/>
        <v>0</v>
      </c>
    </row>
    <row r="1321" spans="1:20" ht="33">
      <c r="A1321" s="61" t="str">
        <f ca="1">IF(ISERROR(MATCH(E1321,Код_КВР,0)),"",INDIRECT(ADDRESS(MATCH(E1321,Код_КВР,0)+1,2,,,"КВР")))</f>
        <v>Предоставление субсидий бюджетным, автономным учреждениям и иным некоммерческим организациям</v>
      </c>
      <c r="B1321" s="45" t="s">
        <v>103</v>
      </c>
      <c r="C1321" s="8" t="s">
        <v>222</v>
      </c>
      <c r="D1321" s="1" t="s">
        <v>216</v>
      </c>
      <c r="E1321" s="104">
        <v>600</v>
      </c>
      <c r="F1321" s="7">
        <f>F1322+F1324</f>
        <v>105.4</v>
      </c>
      <c r="G1321" s="7">
        <f>G1322+G1324</f>
        <v>0</v>
      </c>
      <c r="H1321" s="35">
        <f t="shared" si="278"/>
        <v>105.4</v>
      </c>
      <c r="I1321" s="7">
        <f>I1322+I1324</f>
        <v>0</v>
      </c>
      <c r="J1321" s="35">
        <f t="shared" si="275"/>
        <v>105.4</v>
      </c>
      <c r="K1321" s="7">
        <f>K1322+K1324</f>
        <v>0</v>
      </c>
      <c r="L1321" s="35">
        <f t="shared" si="286"/>
        <v>105.4</v>
      </c>
      <c r="M1321" s="7">
        <f>M1322+M1324</f>
        <v>0</v>
      </c>
      <c r="N1321" s="35">
        <f t="shared" si="287"/>
        <v>105.4</v>
      </c>
      <c r="O1321" s="7">
        <f>O1322+O1324</f>
        <v>0</v>
      </c>
      <c r="P1321" s="35">
        <f t="shared" si="279"/>
        <v>105.4</v>
      </c>
      <c r="Q1321" s="7">
        <f>Q1322+Q1324</f>
        <v>0</v>
      </c>
      <c r="R1321" s="35">
        <f t="shared" si="276"/>
        <v>105.4</v>
      </c>
      <c r="S1321" s="7">
        <f>S1322+S1324</f>
        <v>-105.4</v>
      </c>
      <c r="T1321" s="35">
        <f t="shared" si="290"/>
        <v>0</v>
      </c>
    </row>
    <row r="1322" spans="1:20">
      <c r="A1322" s="61" t="str">
        <f ca="1">IF(ISERROR(MATCH(E1322,Код_КВР,0)),"",INDIRECT(ADDRESS(MATCH(E1322,Код_КВР,0)+1,2,,,"КВР")))</f>
        <v>Субсидии бюджетным учреждениям</v>
      </c>
      <c r="B1322" s="45" t="s">
        <v>103</v>
      </c>
      <c r="C1322" s="8" t="s">
        <v>222</v>
      </c>
      <c r="D1322" s="1" t="s">
        <v>216</v>
      </c>
      <c r="E1322" s="104">
        <v>610</v>
      </c>
      <c r="F1322" s="7">
        <f>F1323</f>
        <v>55.4</v>
      </c>
      <c r="G1322" s="7">
        <f>G1323</f>
        <v>0</v>
      </c>
      <c r="H1322" s="35">
        <f t="shared" si="278"/>
        <v>55.4</v>
      </c>
      <c r="I1322" s="7">
        <f>I1323</f>
        <v>0</v>
      </c>
      <c r="J1322" s="35">
        <f t="shared" si="275"/>
        <v>55.4</v>
      </c>
      <c r="K1322" s="7">
        <f>K1323</f>
        <v>0</v>
      </c>
      <c r="L1322" s="35">
        <f t="shared" si="286"/>
        <v>55.4</v>
      </c>
      <c r="M1322" s="7">
        <f>M1323</f>
        <v>0</v>
      </c>
      <c r="N1322" s="35">
        <f t="shared" si="287"/>
        <v>55.4</v>
      </c>
      <c r="O1322" s="7">
        <f>O1323</f>
        <v>0</v>
      </c>
      <c r="P1322" s="35">
        <f t="shared" si="279"/>
        <v>55.4</v>
      </c>
      <c r="Q1322" s="7">
        <f>Q1323</f>
        <v>0</v>
      </c>
      <c r="R1322" s="35">
        <f t="shared" si="276"/>
        <v>55.4</v>
      </c>
      <c r="S1322" s="7">
        <f>S1323</f>
        <v>-55.4</v>
      </c>
      <c r="T1322" s="35">
        <f t="shared" si="290"/>
        <v>0</v>
      </c>
    </row>
    <row r="1323" spans="1:20">
      <c r="A1323" s="61" t="str">
        <f ca="1">IF(ISERROR(MATCH(E1323,Код_КВР,0)),"",INDIRECT(ADDRESS(MATCH(E1323,Код_КВР,0)+1,2,,,"КВР")))</f>
        <v>Субсидии бюджетным учреждениям на иные цели</v>
      </c>
      <c r="B1323" s="45" t="s">
        <v>103</v>
      </c>
      <c r="C1323" s="8" t="s">
        <v>222</v>
      </c>
      <c r="D1323" s="1" t="s">
        <v>216</v>
      </c>
      <c r="E1323" s="104">
        <v>612</v>
      </c>
      <c r="F1323" s="7">
        <f>прил.6!G1170</f>
        <v>55.4</v>
      </c>
      <c r="G1323" s="7">
        <f>прил.6!H1170</f>
        <v>0</v>
      </c>
      <c r="H1323" s="35">
        <f t="shared" si="278"/>
        <v>55.4</v>
      </c>
      <c r="I1323" s="7">
        <f>прил.6!J1170</f>
        <v>0</v>
      </c>
      <c r="J1323" s="35">
        <f t="shared" si="275"/>
        <v>55.4</v>
      </c>
      <c r="K1323" s="7">
        <f>прил.6!L1170</f>
        <v>0</v>
      </c>
      <c r="L1323" s="35">
        <f t="shared" si="286"/>
        <v>55.4</v>
      </c>
      <c r="M1323" s="7">
        <f>прил.6!N1170</f>
        <v>0</v>
      </c>
      <c r="N1323" s="35">
        <f t="shared" si="287"/>
        <v>55.4</v>
      </c>
      <c r="O1323" s="7">
        <f>прил.6!P1170</f>
        <v>0</v>
      </c>
      <c r="P1323" s="35">
        <f t="shared" si="279"/>
        <v>55.4</v>
      </c>
      <c r="Q1323" s="7">
        <f>прил.6!R1170</f>
        <v>0</v>
      </c>
      <c r="R1323" s="35">
        <f t="shared" si="276"/>
        <v>55.4</v>
      </c>
      <c r="S1323" s="7">
        <f>прил.6!T1170</f>
        <v>-55.4</v>
      </c>
      <c r="T1323" s="35">
        <f t="shared" si="290"/>
        <v>0</v>
      </c>
    </row>
    <row r="1324" spans="1:20">
      <c r="A1324" s="61" t="str">
        <f ca="1">IF(ISERROR(MATCH(E1324,Код_КВР,0)),"",INDIRECT(ADDRESS(MATCH(E1324,Код_КВР,0)+1,2,,,"КВР")))</f>
        <v>Субсидии автономным учреждениям</v>
      </c>
      <c r="B1324" s="45" t="s">
        <v>103</v>
      </c>
      <c r="C1324" s="8" t="s">
        <v>222</v>
      </c>
      <c r="D1324" s="1" t="s">
        <v>216</v>
      </c>
      <c r="E1324" s="104">
        <v>620</v>
      </c>
      <c r="F1324" s="7">
        <f>F1325</f>
        <v>50</v>
      </c>
      <c r="G1324" s="7">
        <f>G1325</f>
        <v>0</v>
      </c>
      <c r="H1324" s="35">
        <f t="shared" si="278"/>
        <v>50</v>
      </c>
      <c r="I1324" s="7">
        <f>I1325</f>
        <v>0</v>
      </c>
      <c r="J1324" s="35">
        <f t="shared" si="275"/>
        <v>50</v>
      </c>
      <c r="K1324" s="7">
        <f>K1325</f>
        <v>0</v>
      </c>
      <c r="L1324" s="35">
        <f t="shared" si="286"/>
        <v>50</v>
      </c>
      <c r="M1324" s="7">
        <f>M1325</f>
        <v>0</v>
      </c>
      <c r="N1324" s="35">
        <f t="shared" si="287"/>
        <v>50</v>
      </c>
      <c r="O1324" s="7">
        <f>O1325</f>
        <v>0</v>
      </c>
      <c r="P1324" s="35">
        <f t="shared" si="279"/>
        <v>50</v>
      </c>
      <c r="Q1324" s="7">
        <f>Q1325</f>
        <v>0</v>
      </c>
      <c r="R1324" s="35">
        <f t="shared" si="276"/>
        <v>50</v>
      </c>
      <c r="S1324" s="7">
        <f>S1325</f>
        <v>-50</v>
      </c>
      <c r="T1324" s="35">
        <f t="shared" si="290"/>
        <v>0</v>
      </c>
    </row>
    <row r="1325" spans="1:20">
      <c r="A1325" s="61" t="str">
        <f ca="1">IF(ISERROR(MATCH(E1325,Код_КВР,0)),"",INDIRECT(ADDRESS(MATCH(E1325,Код_КВР,0)+1,2,,,"КВР")))</f>
        <v>Субсидии автономным учреждениям на иные цели</v>
      </c>
      <c r="B1325" s="45" t="s">
        <v>103</v>
      </c>
      <c r="C1325" s="8" t="s">
        <v>222</v>
      </c>
      <c r="D1325" s="1" t="s">
        <v>216</v>
      </c>
      <c r="E1325" s="104">
        <v>622</v>
      </c>
      <c r="F1325" s="7">
        <f>прил.6!G1172</f>
        <v>50</v>
      </c>
      <c r="G1325" s="7">
        <f>прил.6!H1172</f>
        <v>0</v>
      </c>
      <c r="H1325" s="35">
        <f t="shared" si="278"/>
        <v>50</v>
      </c>
      <c r="I1325" s="7">
        <f>прил.6!J1172</f>
        <v>0</v>
      </c>
      <c r="J1325" s="35">
        <f t="shared" si="275"/>
        <v>50</v>
      </c>
      <c r="K1325" s="7">
        <f>прил.6!L1172</f>
        <v>0</v>
      </c>
      <c r="L1325" s="35">
        <f t="shared" si="286"/>
        <v>50</v>
      </c>
      <c r="M1325" s="7">
        <f>прил.6!N1172</f>
        <v>0</v>
      </c>
      <c r="N1325" s="35">
        <f t="shared" si="287"/>
        <v>50</v>
      </c>
      <c r="O1325" s="7">
        <f>прил.6!P1172</f>
        <v>0</v>
      </c>
      <c r="P1325" s="35">
        <f t="shared" si="279"/>
        <v>50</v>
      </c>
      <c r="Q1325" s="7">
        <f>прил.6!R1172</f>
        <v>0</v>
      </c>
      <c r="R1325" s="35">
        <f t="shared" si="276"/>
        <v>50</v>
      </c>
      <c r="S1325" s="7">
        <f>прил.6!T1172</f>
        <v>-50</v>
      </c>
      <c r="T1325" s="35">
        <f t="shared" si="290"/>
        <v>0</v>
      </c>
    </row>
    <row r="1326" spans="1:20" ht="33">
      <c r="A1326" s="61" t="str">
        <f ca="1">IF(ISERROR(MATCH(B1326,Код_КЦСР,0)),"",INDIRECT(ADDRESS(MATCH(B1326,Код_КЦСР,0)+1,2,,,"КЦСР")))</f>
        <v>Снижение рисков и смягчение последствий чрезвычайных ситуаций природного и техногенного характера в городе</v>
      </c>
      <c r="B1326" s="45" t="s">
        <v>105</v>
      </c>
      <c r="C1326" s="8"/>
      <c r="D1326" s="1"/>
      <c r="E1326" s="104"/>
      <c r="F1326" s="7">
        <f>F1327+F1338+F1344+F1349</f>
        <v>49441.599999999999</v>
      </c>
      <c r="G1326" s="7">
        <f>G1327+G1338+G1344+G1349</f>
        <v>0</v>
      </c>
      <c r="H1326" s="35">
        <f t="shared" si="278"/>
        <v>49441.599999999999</v>
      </c>
      <c r="I1326" s="7">
        <f>I1327+I1338+I1344+I1349</f>
        <v>0</v>
      </c>
      <c r="J1326" s="35">
        <f t="shared" si="275"/>
        <v>49441.599999999999</v>
      </c>
      <c r="K1326" s="7">
        <f>K1327+K1338+K1344+K1349</f>
        <v>-3424</v>
      </c>
      <c r="L1326" s="35">
        <f t="shared" si="286"/>
        <v>46017.599999999999</v>
      </c>
      <c r="M1326" s="7">
        <f>M1327+M1338+M1344+M1349</f>
        <v>0</v>
      </c>
      <c r="N1326" s="35">
        <f t="shared" si="287"/>
        <v>46017.599999999999</v>
      </c>
      <c r="O1326" s="7">
        <f>O1327+O1338+O1344+O1349</f>
        <v>0</v>
      </c>
      <c r="P1326" s="35">
        <f t="shared" si="279"/>
        <v>46017.599999999999</v>
      </c>
      <c r="Q1326" s="7">
        <f>Q1327+Q1338+Q1344+Q1349</f>
        <v>80.099999999999994</v>
      </c>
      <c r="R1326" s="35">
        <f t="shared" si="276"/>
        <v>46097.7</v>
      </c>
      <c r="S1326" s="7">
        <f>S1327+S1338+S1344+S1349</f>
        <v>0</v>
      </c>
      <c r="T1326" s="35">
        <f t="shared" si="290"/>
        <v>46097.7</v>
      </c>
    </row>
    <row r="1327" spans="1:20" ht="57" customHeight="1">
      <c r="A1327" s="61" t="str">
        <f ca="1">IF(ISERROR(MATCH(B1327,Код_КЦСР,0)),"",INDIRECT(ADDRESS(MATCH(B1327,Код_КЦСР,0)+1,2,,,"КЦСР")))</f>
        <v>Оснащение аварийно-спасательных подразделений МБУ «СпаС» современными аварийно-спасательными средствами и инструментом</v>
      </c>
      <c r="B1327" s="45" t="s">
        <v>107</v>
      </c>
      <c r="C1327" s="8"/>
      <c r="D1327" s="1"/>
      <c r="E1327" s="104"/>
      <c r="F1327" s="7">
        <f>F1328</f>
        <v>881.7</v>
      </c>
      <c r="G1327" s="7">
        <f>G1328</f>
        <v>0</v>
      </c>
      <c r="H1327" s="35">
        <f t="shared" si="278"/>
        <v>881.7</v>
      </c>
      <c r="I1327" s="7">
        <f>I1328</f>
        <v>-653.30000000000007</v>
      </c>
      <c r="J1327" s="35">
        <f t="shared" si="275"/>
        <v>228.39999999999998</v>
      </c>
      <c r="K1327" s="7">
        <f>K1328</f>
        <v>-44</v>
      </c>
      <c r="L1327" s="35">
        <f t="shared" si="286"/>
        <v>184.39999999999998</v>
      </c>
      <c r="M1327" s="7">
        <f>M1328</f>
        <v>0</v>
      </c>
      <c r="N1327" s="35">
        <f t="shared" si="287"/>
        <v>184.39999999999998</v>
      </c>
      <c r="O1327" s="7">
        <f>O1328</f>
        <v>0</v>
      </c>
      <c r="P1327" s="35">
        <f t="shared" si="279"/>
        <v>184.39999999999998</v>
      </c>
      <c r="Q1327" s="7">
        <f>Q1328</f>
        <v>0</v>
      </c>
      <c r="R1327" s="35">
        <f t="shared" si="276"/>
        <v>184.39999999999998</v>
      </c>
      <c r="S1327" s="7">
        <f>S1328</f>
        <v>0</v>
      </c>
      <c r="T1327" s="35">
        <f t="shared" si="290"/>
        <v>184.39999999999998</v>
      </c>
    </row>
    <row r="1328" spans="1:20">
      <c r="A1328" s="61" t="str">
        <f ca="1">IF(ISERROR(MATCH(C1328,Код_Раздел,0)),"",INDIRECT(ADDRESS(MATCH(C1328,Код_Раздел,0)+1,2,,,"Раздел")))</f>
        <v>Национальная безопасность и правоохранительная  деятельность</v>
      </c>
      <c r="B1328" s="45" t="s">
        <v>107</v>
      </c>
      <c r="C1328" s="8" t="s">
        <v>215</v>
      </c>
      <c r="D1328" s="1"/>
      <c r="E1328" s="104"/>
      <c r="F1328" s="7">
        <f>F1329</f>
        <v>881.7</v>
      </c>
      <c r="G1328" s="7">
        <f>G1329</f>
        <v>0</v>
      </c>
      <c r="H1328" s="35">
        <f t="shared" si="278"/>
        <v>881.7</v>
      </c>
      <c r="I1328" s="7">
        <f>I1329</f>
        <v>-653.30000000000007</v>
      </c>
      <c r="J1328" s="35">
        <f t="shared" si="275"/>
        <v>228.39999999999998</v>
      </c>
      <c r="K1328" s="7">
        <f>K1329</f>
        <v>-44</v>
      </c>
      <c r="L1328" s="35">
        <f t="shared" si="286"/>
        <v>184.39999999999998</v>
      </c>
      <c r="M1328" s="7">
        <f>M1329</f>
        <v>0</v>
      </c>
      <c r="N1328" s="35">
        <f t="shared" si="287"/>
        <v>184.39999999999998</v>
      </c>
      <c r="O1328" s="7">
        <f>O1329</f>
        <v>0</v>
      </c>
      <c r="P1328" s="35">
        <f t="shared" si="279"/>
        <v>184.39999999999998</v>
      </c>
      <c r="Q1328" s="7">
        <f>Q1329</f>
        <v>0</v>
      </c>
      <c r="R1328" s="35">
        <f t="shared" si="276"/>
        <v>184.39999999999998</v>
      </c>
      <c r="S1328" s="7">
        <f>S1329</f>
        <v>0</v>
      </c>
      <c r="T1328" s="35">
        <f t="shared" si="290"/>
        <v>184.39999999999998</v>
      </c>
    </row>
    <row r="1329" spans="1:20" ht="33">
      <c r="A1329" s="12" t="s">
        <v>262</v>
      </c>
      <c r="B1329" s="45" t="s">
        <v>107</v>
      </c>
      <c r="C1329" s="8" t="s">
        <v>215</v>
      </c>
      <c r="D1329" s="1" t="s">
        <v>219</v>
      </c>
      <c r="E1329" s="104"/>
      <c r="F1329" s="7">
        <f>F1330+F1332</f>
        <v>881.7</v>
      </c>
      <c r="G1329" s="7">
        <f>G1330+G1332</f>
        <v>0</v>
      </c>
      <c r="H1329" s="35">
        <f t="shared" si="278"/>
        <v>881.7</v>
      </c>
      <c r="I1329" s="7">
        <f>I1330+I1332+I1335</f>
        <v>-653.30000000000007</v>
      </c>
      <c r="J1329" s="35">
        <f t="shared" si="275"/>
        <v>228.39999999999998</v>
      </c>
      <c r="K1329" s="7">
        <f>K1330+K1332+K1335</f>
        <v>-44</v>
      </c>
      <c r="L1329" s="35">
        <f t="shared" si="286"/>
        <v>184.39999999999998</v>
      </c>
      <c r="M1329" s="7">
        <f>M1330+M1332+M1335</f>
        <v>0</v>
      </c>
      <c r="N1329" s="35">
        <f t="shared" si="287"/>
        <v>184.39999999999998</v>
      </c>
      <c r="O1329" s="7">
        <f>O1330+O1332+O1335</f>
        <v>0</v>
      </c>
      <c r="P1329" s="35">
        <f t="shared" si="279"/>
        <v>184.39999999999998</v>
      </c>
      <c r="Q1329" s="7">
        <f>Q1330+Q1332+Q1335</f>
        <v>0</v>
      </c>
      <c r="R1329" s="35">
        <f t="shared" ref="R1329:R1392" si="291">P1329+Q1329</f>
        <v>184.39999999999998</v>
      </c>
      <c r="S1329" s="7">
        <f>S1330+S1332+S1335</f>
        <v>0</v>
      </c>
      <c r="T1329" s="35">
        <f t="shared" si="290"/>
        <v>184.39999999999998</v>
      </c>
    </row>
    <row r="1330" spans="1:20" ht="33" hidden="1">
      <c r="A1330" s="61" t="str">
        <f t="shared" ref="A1330:A1337" ca="1" si="292">IF(ISERROR(MATCH(E1330,Код_КВР,0)),"",INDIRECT(ADDRESS(MATCH(E1330,Код_КВР,0)+1,2,,,"КВР")))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330" s="45" t="s">
        <v>107</v>
      </c>
      <c r="C1330" s="8" t="s">
        <v>215</v>
      </c>
      <c r="D1330" s="1" t="s">
        <v>219</v>
      </c>
      <c r="E1330" s="104">
        <v>100</v>
      </c>
      <c r="F1330" s="7">
        <f>F1331</f>
        <v>555</v>
      </c>
      <c r="G1330" s="7">
        <f>G1331</f>
        <v>0</v>
      </c>
      <c r="H1330" s="35">
        <f t="shared" si="278"/>
        <v>555</v>
      </c>
      <c r="I1330" s="7">
        <f>I1331</f>
        <v>-555</v>
      </c>
      <c r="J1330" s="35">
        <f t="shared" si="275"/>
        <v>0</v>
      </c>
      <c r="K1330" s="7">
        <f>K1331</f>
        <v>0</v>
      </c>
      <c r="L1330" s="35">
        <f t="shared" si="286"/>
        <v>0</v>
      </c>
      <c r="M1330" s="7">
        <f>M1331</f>
        <v>0</v>
      </c>
      <c r="N1330" s="35">
        <f t="shared" si="287"/>
        <v>0</v>
      </c>
      <c r="O1330" s="7">
        <f>O1331</f>
        <v>0</v>
      </c>
      <c r="P1330" s="35">
        <f t="shared" si="279"/>
        <v>0</v>
      </c>
      <c r="Q1330" s="7">
        <f>Q1331</f>
        <v>0</v>
      </c>
      <c r="R1330" s="35">
        <f t="shared" si="291"/>
        <v>0</v>
      </c>
      <c r="S1330" s="7">
        <f>S1331</f>
        <v>0</v>
      </c>
      <c r="T1330" s="35">
        <f t="shared" si="290"/>
        <v>0</v>
      </c>
    </row>
    <row r="1331" spans="1:20" hidden="1">
      <c r="A1331" s="61" t="str">
        <f t="shared" ca="1" si="292"/>
        <v>Расходы на выплаты персоналу казенных учреждений</v>
      </c>
      <c r="B1331" s="45" t="s">
        <v>107</v>
      </c>
      <c r="C1331" s="8" t="s">
        <v>215</v>
      </c>
      <c r="D1331" s="1" t="s">
        <v>219</v>
      </c>
      <c r="E1331" s="104">
        <v>110</v>
      </c>
      <c r="F1331" s="7">
        <f>прил.6!G195</f>
        <v>555</v>
      </c>
      <c r="G1331" s="7">
        <f>прил.6!H195</f>
        <v>0</v>
      </c>
      <c r="H1331" s="35">
        <f t="shared" si="278"/>
        <v>555</v>
      </c>
      <c r="I1331" s="7">
        <f>прил.6!J195</f>
        <v>-555</v>
      </c>
      <c r="J1331" s="35">
        <f t="shared" si="275"/>
        <v>0</v>
      </c>
      <c r="K1331" s="7">
        <f>прил.6!L195</f>
        <v>0</v>
      </c>
      <c r="L1331" s="35">
        <f t="shared" si="286"/>
        <v>0</v>
      </c>
      <c r="M1331" s="7">
        <f>прил.6!N195</f>
        <v>0</v>
      </c>
      <c r="N1331" s="35">
        <f t="shared" si="287"/>
        <v>0</v>
      </c>
      <c r="O1331" s="7">
        <f>прил.6!P195</f>
        <v>0</v>
      </c>
      <c r="P1331" s="35">
        <f t="shared" si="279"/>
        <v>0</v>
      </c>
      <c r="Q1331" s="7">
        <f>прил.6!R195</f>
        <v>0</v>
      </c>
      <c r="R1331" s="35">
        <f t="shared" si="291"/>
        <v>0</v>
      </c>
      <c r="S1331" s="7">
        <f>прил.6!T195</f>
        <v>0</v>
      </c>
      <c r="T1331" s="35">
        <f t="shared" si="290"/>
        <v>0</v>
      </c>
    </row>
    <row r="1332" spans="1:20" hidden="1">
      <c r="A1332" s="61" t="str">
        <f t="shared" ca="1" si="292"/>
        <v>Закупка товаров, работ и услуг для муниципальных нужд</v>
      </c>
      <c r="B1332" s="45" t="s">
        <v>107</v>
      </c>
      <c r="C1332" s="8" t="s">
        <v>215</v>
      </c>
      <c r="D1332" s="1" t="s">
        <v>219</v>
      </c>
      <c r="E1332" s="104">
        <v>200</v>
      </c>
      <c r="F1332" s="7">
        <f>F1333</f>
        <v>326.7</v>
      </c>
      <c r="G1332" s="7">
        <f>G1333</f>
        <v>0</v>
      </c>
      <c r="H1332" s="35">
        <f t="shared" si="278"/>
        <v>326.7</v>
      </c>
      <c r="I1332" s="7">
        <f>I1333</f>
        <v>-326.7</v>
      </c>
      <c r="J1332" s="35">
        <f t="shared" ref="J1332:J1337" si="293">H1332+I1332</f>
        <v>0</v>
      </c>
      <c r="K1332" s="7">
        <f>K1333</f>
        <v>0</v>
      </c>
      <c r="L1332" s="35">
        <f t="shared" si="286"/>
        <v>0</v>
      </c>
      <c r="M1332" s="7">
        <f>M1333</f>
        <v>0</v>
      </c>
      <c r="N1332" s="35">
        <f t="shared" si="287"/>
        <v>0</v>
      </c>
      <c r="O1332" s="7">
        <f>O1333</f>
        <v>0</v>
      </c>
      <c r="P1332" s="35">
        <f t="shared" si="279"/>
        <v>0</v>
      </c>
      <c r="Q1332" s="7">
        <f>Q1333</f>
        <v>0</v>
      </c>
      <c r="R1332" s="35">
        <f t="shared" si="291"/>
        <v>0</v>
      </c>
      <c r="S1332" s="7">
        <f>S1333</f>
        <v>0</v>
      </c>
      <c r="T1332" s="35">
        <f t="shared" si="290"/>
        <v>0</v>
      </c>
    </row>
    <row r="1333" spans="1:20" ht="33" hidden="1">
      <c r="A1333" s="61" t="str">
        <f t="shared" ca="1" si="292"/>
        <v>Иные закупки товаров, работ и услуг для обеспечения муниципальных нужд</v>
      </c>
      <c r="B1333" s="45" t="s">
        <v>107</v>
      </c>
      <c r="C1333" s="8" t="s">
        <v>215</v>
      </c>
      <c r="D1333" s="1" t="s">
        <v>219</v>
      </c>
      <c r="E1333" s="104">
        <v>240</v>
      </c>
      <c r="F1333" s="7">
        <f>F1334</f>
        <v>326.7</v>
      </c>
      <c r="G1333" s="7">
        <f>G1334</f>
        <v>0</v>
      </c>
      <c r="H1333" s="35">
        <f t="shared" si="278"/>
        <v>326.7</v>
      </c>
      <c r="I1333" s="7">
        <f>I1334</f>
        <v>-326.7</v>
      </c>
      <c r="J1333" s="35">
        <f t="shared" si="293"/>
        <v>0</v>
      </c>
      <c r="K1333" s="7">
        <f>K1334</f>
        <v>0</v>
      </c>
      <c r="L1333" s="35">
        <f t="shared" si="286"/>
        <v>0</v>
      </c>
      <c r="M1333" s="7">
        <f>M1334</f>
        <v>0</v>
      </c>
      <c r="N1333" s="35">
        <f t="shared" si="287"/>
        <v>0</v>
      </c>
      <c r="O1333" s="7">
        <f>O1334</f>
        <v>0</v>
      </c>
      <c r="P1333" s="35">
        <f t="shared" si="279"/>
        <v>0</v>
      </c>
      <c r="Q1333" s="7">
        <f>Q1334</f>
        <v>0</v>
      </c>
      <c r="R1333" s="35">
        <f t="shared" si="291"/>
        <v>0</v>
      </c>
      <c r="S1333" s="7">
        <f>S1334</f>
        <v>0</v>
      </c>
      <c r="T1333" s="35">
        <f t="shared" si="290"/>
        <v>0</v>
      </c>
    </row>
    <row r="1334" spans="1:20" ht="33" hidden="1">
      <c r="A1334" s="61" t="str">
        <f t="shared" ca="1" si="292"/>
        <v xml:space="preserve">Прочая закупка товаров, работ и услуг для обеспечения муниципальных нужд         </v>
      </c>
      <c r="B1334" s="45" t="s">
        <v>107</v>
      </c>
      <c r="C1334" s="8" t="s">
        <v>215</v>
      </c>
      <c r="D1334" s="1" t="s">
        <v>219</v>
      </c>
      <c r="E1334" s="104">
        <v>244</v>
      </c>
      <c r="F1334" s="7">
        <f>прил.6!G198</f>
        <v>326.7</v>
      </c>
      <c r="G1334" s="7">
        <f>прил.6!H198</f>
        <v>0</v>
      </c>
      <c r="H1334" s="35">
        <f t="shared" si="278"/>
        <v>326.7</v>
      </c>
      <c r="I1334" s="7">
        <f>прил.6!J198</f>
        <v>-326.7</v>
      </c>
      <c r="J1334" s="35">
        <f t="shared" si="293"/>
        <v>0</v>
      </c>
      <c r="K1334" s="7">
        <f>прил.6!L198</f>
        <v>0</v>
      </c>
      <c r="L1334" s="35">
        <f t="shared" si="286"/>
        <v>0</v>
      </c>
      <c r="M1334" s="7">
        <f>прил.6!N198</f>
        <v>0</v>
      </c>
      <c r="N1334" s="35">
        <f t="shared" si="287"/>
        <v>0</v>
      </c>
      <c r="O1334" s="7">
        <f>прил.6!P198</f>
        <v>0</v>
      </c>
      <c r="P1334" s="35">
        <f t="shared" si="279"/>
        <v>0</v>
      </c>
      <c r="Q1334" s="7">
        <f>прил.6!R198</f>
        <v>0</v>
      </c>
      <c r="R1334" s="35">
        <f t="shared" si="291"/>
        <v>0</v>
      </c>
      <c r="S1334" s="7">
        <f>прил.6!T198</f>
        <v>0</v>
      </c>
      <c r="T1334" s="35">
        <f t="shared" si="290"/>
        <v>0</v>
      </c>
    </row>
    <row r="1335" spans="1:20" ht="33">
      <c r="A1335" s="61" t="str">
        <f t="shared" ca="1" si="292"/>
        <v>Предоставление субсидий бюджетным, автономным учреждениям и иным некоммерческим организациям</v>
      </c>
      <c r="B1335" s="45" t="s">
        <v>107</v>
      </c>
      <c r="C1335" s="8" t="s">
        <v>215</v>
      </c>
      <c r="D1335" s="1" t="s">
        <v>219</v>
      </c>
      <c r="E1335" s="104">
        <v>600</v>
      </c>
      <c r="F1335" s="7"/>
      <c r="G1335" s="7"/>
      <c r="H1335" s="35"/>
      <c r="I1335" s="7">
        <f>I1336</f>
        <v>228.4</v>
      </c>
      <c r="J1335" s="35">
        <f t="shared" si="293"/>
        <v>228.4</v>
      </c>
      <c r="K1335" s="7">
        <f>K1336</f>
        <v>-44</v>
      </c>
      <c r="L1335" s="35">
        <f t="shared" si="286"/>
        <v>184.4</v>
      </c>
      <c r="M1335" s="7">
        <f>M1336</f>
        <v>0</v>
      </c>
      <c r="N1335" s="35">
        <f t="shared" si="287"/>
        <v>184.4</v>
      </c>
      <c r="O1335" s="7">
        <f>O1336</f>
        <v>0</v>
      </c>
      <c r="P1335" s="35">
        <f t="shared" si="279"/>
        <v>184.4</v>
      </c>
      <c r="Q1335" s="7">
        <f>Q1336</f>
        <v>0</v>
      </c>
      <c r="R1335" s="35">
        <f t="shared" si="291"/>
        <v>184.4</v>
      </c>
      <c r="S1335" s="7">
        <f>S1336</f>
        <v>0</v>
      </c>
      <c r="T1335" s="35">
        <f t="shared" si="290"/>
        <v>184.4</v>
      </c>
    </row>
    <row r="1336" spans="1:20">
      <c r="A1336" s="61" t="str">
        <f t="shared" ca="1" si="292"/>
        <v>Субсидии бюджетным учреждениям</v>
      </c>
      <c r="B1336" s="45" t="s">
        <v>107</v>
      </c>
      <c r="C1336" s="8" t="s">
        <v>215</v>
      </c>
      <c r="D1336" s="1" t="s">
        <v>219</v>
      </c>
      <c r="E1336" s="104">
        <v>610</v>
      </c>
      <c r="F1336" s="7"/>
      <c r="G1336" s="7"/>
      <c r="H1336" s="35"/>
      <c r="I1336" s="7">
        <f>I1337</f>
        <v>228.4</v>
      </c>
      <c r="J1336" s="35">
        <f t="shared" si="293"/>
        <v>228.4</v>
      </c>
      <c r="K1336" s="7">
        <f>K1337</f>
        <v>-44</v>
      </c>
      <c r="L1336" s="35">
        <f t="shared" si="286"/>
        <v>184.4</v>
      </c>
      <c r="M1336" s="7">
        <f>M1337</f>
        <v>0</v>
      </c>
      <c r="N1336" s="35">
        <f t="shared" si="287"/>
        <v>184.4</v>
      </c>
      <c r="O1336" s="7">
        <f>O1337</f>
        <v>0</v>
      </c>
      <c r="P1336" s="35">
        <f t="shared" si="279"/>
        <v>184.4</v>
      </c>
      <c r="Q1336" s="7">
        <f>Q1337</f>
        <v>0</v>
      </c>
      <c r="R1336" s="35">
        <f t="shared" si="291"/>
        <v>184.4</v>
      </c>
      <c r="S1336" s="7">
        <f>S1337</f>
        <v>0</v>
      </c>
      <c r="T1336" s="35">
        <f t="shared" si="290"/>
        <v>184.4</v>
      </c>
    </row>
    <row r="1337" spans="1:20">
      <c r="A1337" s="61" t="str">
        <f t="shared" ca="1" si="292"/>
        <v>Субсидии бюджетным учреждениям на иные цели</v>
      </c>
      <c r="B1337" s="45" t="s">
        <v>107</v>
      </c>
      <c r="C1337" s="8" t="s">
        <v>215</v>
      </c>
      <c r="D1337" s="1" t="s">
        <v>219</v>
      </c>
      <c r="E1337" s="104">
        <v>612</v>
      </c>
      <c r="F1337" s="7"/>
      <c r="G1337" s="7"/>
      <c r="H1337" s="35"/>
      <c r="I1337" s="7">
        <v>228.4</v>
      </c>
      <c r="J1337" s="35">
        <f t="shared" si="293"/>
        <v>228.4</v>
      </c>
      <c r="K1337" s="7">
        <f>прил.6!L193</f>
        <v>-44</v>
      </c>
      <c r="L1337" s="35">
        <f t="shared" si="286"/>
        <v>184.4</v>
      </c>
      <c r="M1337" s="7">
        <f>прил.6!N193</f>
        <v>0</v>
      </c>
      <c r="N1337" s="35">
        <f t="shared" si="287"/>
        <v>184.4</v>
      </c>
      <c r="O1337" s="7">
        <f>прил.6!P193</f>
        <v>0</v>
      </c>
      <c r="P1337" s="35">
        <f t="shared" ref="P1337:P1400" si="294">N1337+O1337</f>
        <v>184.4</v>
      </c>
      <c r="Q1337" s="7">
        <f>прил.6!R193</f>
        <v>0</v>
      </c>
      <c r="R1337" s="35">
        <f t="shared" si="291"/>
        <v>184.4</v>
      </c>
      <c r="S1337" s="7">
        <f>прил.6!T193</f>
        <v>0</v>
      </c>
      <c r="T1337" s="35">
        <f t="shared" si="290"/>
        <v>184.4</v>
      </c>
    </row>
    <row r="1338" spans="1:20" ht="19.5" customHeight="1">
      <c r="A1338" s="61" t="str">
        <f ca="1">IF(ISERROR(MATCH(B1338,Код_КЦСР,0)),"",INDIRECT(ADDRESS(MATCH(B1338,Код_КЦСР,0)+1,2,,,"КЦСР")))</f>
        <v>Приобретение лицензионного ПО, Крипто ПРО с лицензией СЭД</v>
      </c>
      <c r="B1338" s="45" t="s">
        <v>108</v>
      </c>
      <c r="C1338" s="8"/>
      <c r="D1338" s="1"/>
      <c r="E1338" s="104"/>
      <c r="F1338" s="7">
        <f t="shared" ref="F1338:S1342" si="295">F1339</f>
        <v>354.6</v>
      </c>
      <c r="G1338" s="7">
        <f t="shared" si="295"/>
        <v>0</v>
      </c>
      <c r="H1338" s="35">
        <f t="shared" si="278"/>
        <v>354.6</v>
      </c>
      <c r="I1338" s="7">
        <f t="shared" si="295"/>
        <v>0</v>
      </c>
      <c r="J1338" s="35">
        <f t="shared" ref="J1338:J1401" si="296">H1338+I1338</f>
        <v>354.6</v>
      </c>
      <c r="K1338" s="7">
        <f t="shared" si="295"/>
        <v>-169.8</v>
      </c>
      <c r="L1338" s="35">
        <f t="shared" si="286"/>
        <v>184.8</v>
      </c>
      <c r="M1338" s="7">
        <f t="shared" si="295"/>
        <v>0</v>
      </c>
      <c r="N1338" s="35">
        <f t="shared" si="287"/>
        <v>184.8</v>
      </c>
      <c r="O1338" s="7">
        <f t="shared" si="295"/>
        <v>0</v>
      </c>
      <c r="P1338" s="35">
        <f t="shared" si="294"/>
        <v>184.8</v>
      </c>
      <c r="Q1338" s="7">
        <f t="shared" si="295"/>
        <v>0</v>
      </c>
      <c r="R1338" s="35">
        <f t="shared" si="291"/>
        <v>184.8</v>
      </c>
      <c r="S1338" s="7">
        <f t="shared" si="295"/>
        <v>0</v>
      </c>
      <c r="T1338" s="35">
        <f t="shared" si="290"/>
        <v>184.8</v>
      </c>
    </row>
    <row r="1339" spans="1:20">
      <c r="A1339" s="61" t="str">
        <f ca="1">IF(ISERROR(MATCH(C1339,Код_Раздел,0)),"",INDIRECT(ADDRESS(MATCH(C1339,Код_Раздел,0)+1,2,,,"Раздел")))</f>
        <v>Национальная безопасность и правоохранительная  деятельность</v>
      </c>
      <c r="B1339" s="45" t="s">
        <v>108</v>
      </c>
      <c r="C1339" s="8" t="s">
        <v>215</v>
      </c>
      <c r="D1339" s="1"/>
      <c r="E1339" s="104"/>
      <c r="F1339" s="7">
        <f t="shared" si="295"/>
        <v>354.6</v>
      </c>
      <c r="G1339" s="7">
        <f t="shared" si="295"/>
        <v>0</v>
      </c>
      <c r="H1339" s="35">
        <f t="shared" si="278"/>
        <v>354.6</v>
      </c>
      <c r="I1339" s="7">
        <f t="shared" si="295"/>
        <v>0</v>
      </c>
      <c r="J1339" s="35">
        <f t="shared" si="296"/>
        <v>354.6</v>
      </c>
      <c r="K1339" s="7">
        <f t="shared" si="295"/>
        <v>-169.8</v>
      </c>
      <c r="L1339" s="35">
        <f t="shared" si="286"/>
        <v>184.8</v>
      </c>
      <c r="M1339" s="7">
        <f t="shared" si="295"/>
        <v>0</v>
      </c>
      <c r="N1339" s="35">
        <f t="shared" si="287"/>
        <v>184.8</v>
      </c>
      <c r="O1339" s="7">
        <f t="shared" si="295"/>
        <v>0</v>
      </c>
      <c r="P1339" s="35">
        <f t="shared" si="294"/>
        <v>184.8</v>
      </c>
      <c r="Q1339" s="7">
        <f t="shared" si="295"/>
        <v>0</v>
      </c>
      <c r="R1339" s="35">
        <f t="shared" si="291"/>
        <v>184.8</v>
      </c>
      <c r="S1339" s="7">
        <f t="shared" si="295"/>
        <v>0</v>
      </c>
      <c r="T1339" s="35">
        <f t="shared" si="290"/>
        <v>184.8</v>
      </c>
    </row>
    <row r="1340" spans="1:20" ht="33">
      <c r="A1340" s="12" t="s">
        <v>262</v>
      </c>
      <c r="B1340" s="45" t="s">
        <v>108</v>
      </c>
      <c r="C1340" s="8" t="s">
        <v>215</v>
      </c>
      <c r="D1340" s="1" t="s">
        <v>219</v>
      </c>
      <c r="E1340" s="104"/>
      <c r="F1340" s="7">
        <f t="shared" si="295"/>
        <v>354.6</v>
      </c>
      <c r="G1340" s="7">
        <f t="shared" si="295"/>
        <v>0</v>
      </c>
      <c r="H1340" s="35">
        <f t="shared" si="278"/>
        <v>354.6</v>
      </c>
      <c r="I1340" s="7">
        <f t="shared" si="295"/>
        <v>0</v>
      </c>
      <c r="J1340" s="35">
        <f t="shared" si="296"/>
        <v>354.6</v>
      </c>
      <c r="K1340" s="7">
        <f t="shared" si="295"/>
        <v>-169.8</v>
      </c>
      <c r="L1340" s="35">
        <f t="shared" si="286"/>
        <v>184.8</v>
      </c>
      <c r="M1340" s="7">
        <f t="shared" si="295"/>
        <v>0</v>
      </c>
      <c r="N1340" s="35">
        <f t="shared" si="287"/>
        <v>184.8</v>
      </c>
      <c r="O1340" s="7">
        <f t="shared" si="295"/>
        <v>0</v>
      </c>
      <c r="P1340" s="35">
        <f t="shared" si="294"/>
        <v>184.8</v>
      </c>
      <c r="Q1340" s="7">
        <f t="shared" si="295"/>
        <v>0</v>
      </c>
      <c r="R1340" s="35">
        <f t="shared" si="291"/>
        <v>184.8</v>
      </c>
      <c r="S1340" s="7">
        <f t="shared" si="295"/>
        <v>0</v>
      </c>
      <c r="T1340" s="35">
        <f t="shared" si="290"/>
        <v>184.8</v>
      </c>
    </row>
    <row r="1341" spans="1:20">
      <c r="A1341" s="61" t="str">
        <f ca="1">IF(ISERROR(MATCH(E1341,Код_КВР,0)),"",INDIRECT(ADDRESS(MATCH(E1341,Код_КВР,0)+1,2,,,"КВР")))</f>
        <v>Закупка товаров, работ и услуг для муниципальных нужд</v>
      </c>
      <c r="B1341" s="45" t="s">
        <v>108</v>
      </c>
      <c r="C1341" s="8" t="s">
        <v>215</v>
      </c>
      <c r="D1341" s="1" t="s">
        <v>219</v>
      </c>
      <c r="E1341" s="104">
        <v>200</v>
      </c>
      <c r="F1341" s="7">
        <f t="shared" si="295"/>
        <v>354.6</v>
      </c>
      <c r="G1341" s="7">
        <f t="shared" si="295"/>
        <v>0</v>
      </c>
      <c r="H1341" s="35">
        <f t="shared" si="278"/>
        <v>354.6</v>
      </c>
      <c r="I1341" s="7">
        <f t="shared" si="295"/>
        <v>0</v>
      </c>
      <c r="J1341" s="35">
        <f t="shared" si="296"/>
        <v>354.6</v>
      </c>
      <c r="K1341" s="7">
        <f t="shared" si="295"/>
        <v>-169.8</v>
      </c>
      <c r="L1341" s="35">
        <f t="shared" si="286"/>
        <v>184.8</v>
      </c>
      <c r="M1341" s="7">
        <f t="shared" si="295"/>
        <v>0</v>
      </c>
      <c r="N1341" s="35">
        <f t="shared" si="287"/>
        <v>184.8</v>
      </c>
      <c r="O1341" s="7">
        <f t="shared" si="295"/>
        <v>0</v>
      </c>
      <c r="P1341" s="35">
        <f t="shared" si="294"/>
        <v>184.8</v>
      </c>
      <c r="Q1341" s="7">
        <f t="shared" si="295"/>
        <v>0</v>
      </c>
      <c r="R1341" s="35">
        <f t="shared" si="291"/>
        <v>184.8</v>
      </c>
      <c r="S1341" s="7">
        <f t="shared" si="295"/>
        <v>0</v>
      </c>
      <c r="T1341" s="35">
        <f t="shared" si="290"/>
        <v>184.8</v>
      </c>
    </row>
    <row r="1342" spans="1:20" ht="33">
      <c r="A1342" s="61" t="str">
        <f ca="1">IF(ISERROR(MATCH(E1342,Код_КВР,0)),"",INDIRECT(ADDRESS(MATCH(E1342,Код_КВР,0)+1,2,,,"КВР")))</f>
        <v>Иные закупки товаров, работ и услуг для обеспечения муниципальных нужд</v>
      </c>
      <c r="B1342" s="45" t="s">
        <v>108</v>
      </c>
      <c r="C1342" s="8" t="s">
        <v>215</v>
      </c>
      <c r="D1342" s="1" t="s">
        <v>219</v>
      </c>
      <c r="E1342" s="104">
        <v>240</v>
      </c>
      <c r="F1342" s="7">
        <f t="shared" si="295"/>
        <v>354.6</v>
      </c>
      <c r="G1342" s="7">
        <f t="shared" si="295"/>
        <v>0</v>
      </c>
      <c r="H1342" s="35">
        <f t="shared" si="278"/>
        <v>354.6</v>
      </c>
      <c r="I1342" s="7">
        <f t="shared" si="295"/>
        <v>0</v>
      </c>
      <c r="J1342" s="35">
        <f t="shared" si="296"/>
        <v>354.6</v>
      </c>
      <c r="K1342" s="7">
        <f t="shared" si="295"/>
        <v>-169.8</v>
      </c>
      <c r="L1342" s="35">
        <f t="shared" si="286"/>
        <v>184.8</v>
      </c>
      <c r="M1342" s="7">
        <f t="shared" si="295"/>
        <v>0</v>
      </c>
      <c r="N1342" s="35">
        <f t="shared" si="287"/>
        <v>184.8</v>
      </c>
      <c r="O1342" s="7">
        <f t="shared" si="295"/>
        <v>0</v>
      </c>
      <c r="P1342" s="35">
        <f t="shared" si="294"/>
        <v>184.8</v>
      </c>
      <c r="Q1342" s="7">
        <f t="shared" si="295"/>
        <v>0</v>
      </c>
      <c r="R1342" s="35">
        <f t="shared" si="291"/>
        <v>184.8</v>
      </c>
      <c r="S1342" s="7">
        <f t="shared" si="295"/>
        <v>0</v>
      </c>
      <c r="T1342" s="35">
        <f t="shared" si="290"/>
        <v>184.8</v>
      </c>
    </row>
    <row r="1343" spans="1:20" ht="33">
      <c r="A1343" s="61" t="str">
        <f ca="1">IF(ISERROR(MATCH(E1343,Код_КВР,0)),"",INDIRECT(ADDRESS(MATCH(E1343,Код_КВР,0)+1,2,,,"КВР")))</f>
        <v xml:space="preserve">Прочая закупка товаров, работ и услуг для обеспечения муниципальных нужд         </v>
      </c>
      <c r="B1343" s="45" t="s">
        <v>108</v>
      </c>
      <c r="C1343" s="8" t="s">
        <v>215</v>
      </c>
      <c r="D1343" s="1" t="s">
        <v>219</v>
      </c>
      <c r="E1343" s="104">
        <v>244</v>
      </c>
      <c r="F1343" s="7">
        <f>прил.6!G205</f>
        <v>354.6</v>
      </c>
      <c r="G1343" s="7">
        <f>прил.6!H205</f>
        <v>0</v>
      </c>
      <c r="H1343" s="35">
        <f t="shared" ref="H1343:H1408" si="297">F1343+G1343</f>
        <v>354.6</v>
      </c>
      <c r="I1343" s="7">
        <f>прил.6!J205</f>
        <v>0</v>
      </c>
      <c r="J1343" s="35">
        <f t="shared" si="296"/>
        <v>354.6</v>
      </c>
      <c r="K1343" s="7">
        <f>прил.6!L205</f>
        <v>-169.8</v>
      </c>
      <c r="L1343" s="35">
        <f t="shared" si="286"/>
        <v>184.8</v>
      </c>
      <c r="M1343" s="7">
        <f>прил.6!N205</f>
        <v>0</v>
      </c>
      <c r="N1343" s="35">
        <f t="shared" si="287"/>
        <v>184.8</v>
      </c>
      <c r="O1343" s="7">
        <f>прил.6!P205</f>
        <v>0</v>
      </c>
      <c r="P1343" s="35">
        <f t="shared" si="294"/>
        <v>184.8</v>
      </c>
      <c r="Q1343" s="7">
        <f>прил.6!R205</f>
        <v>0</v>
      </c>
      <c r="R1343" s="35">
        <f t="shared" si="291"/>
        <v>184.8</v>
      </c>
      <c r="S1343" s="7">
        <f>прил.6!T205</f>
        <v>0</v>
      </c>
      <c r="T1343" s="35">
        <f t="shared" si="290"/>
        <v>184.8</v>
      </c>
    </row>
    <row r="1344" spans="1:20" ht="33" hidden="1">
      <c r="A1344" s="61" t="str">
        <f ca="1">IF(ISERROR(MATCH(B1344,Код_КЦСР,0)),"",INDIRECT(ADDRESS(MATCH(B1344,Код_КЦСР,0)+1,2,,,"КЦСР")))</f>
        <v>Минимизация последствий от ЧС на опасных производственных объектах экономики (ОПОЭ)</v>
      </c>
      <c r="B1344" s="45" t="s">
        <v>120</v>
      </c>
      <c r="C1344" s="8"/>
      <c r="D1344" s="1"/>
      <c r="E1344" s="104"/>
      <c r="F1344" s="7">
        <f t="shared" ref="F1344:S1347" si="298">F1345</f>
        <v>1559.6</v>
      </c>
      <c r="G1344" s="7">
        <f t="shared" si="298"/>
        <v>0</v>
      </c>
      <c r="H1344" s="35">
        <f t="shared" si="297"/>
        <v>1559.6</v>
      </c>
      <c r="I1344" s="7">
        <f t="shared" si="298"/>
        <v>0</v>
      </c>
      <c r="J1344" s="35">
        <f t="shared" si="296"/>
        <v>1559.6</v>
      </c>
      <c r="K1344" s="7">
        <f t="shared" si="298"/>
        <v>-1559.6</v>
      </c>
      <c r="L1344" s="35">
        <f t="shared" si="286"/>
        <v>0</v>
      </c>
      <c r="M1344" s="7">
        <f t="shared" si="298"/>
        <v>0</v>
      </c>
      <c r="N1344" s="35">
        <f t="shared" si="287"/>
        <v>0</v>
      </c>
      <c r="O1344" s="7">
        <f t="shared" si="298"/>
        <v>0</v>
      </c>
      <c r="P1344" s="35">
        <f t="shared" si="294"/>
        <v>0</v>
      </c>
      <c r="Q1344" s="7">
        <f t="shared" si="298"/>
        <v>0</v>
      </c>
      <c r="R1344" s="35">
        <f t="shared" si="291"/>
        <v>0</v>
      </c>
      <c r="S1344" s="7">
        <f t="shared" si="298"/>
        <v>0</v>
      </c>
      <c r="T1344" s="35">
        <f t="shared" si="290"/>
        <v>0</v>
      </c>
    </row>
    <row r="1345" spans="1:20" hidden="1">
      <c r="A1345" s="61" t="str">
        <f ca="1">IF(ISERROR(MATCH(C1345,Код_Раздел,0)),"",INDIRECT(ADDRESS(MATCH(C1345,Код_Раздел,0)+1,2,,,"Раздел")))</f>
        <v>Национальная безопасность и правоохранительная  деятельность</v>
      </c>
      <c r="B1345" s="45" t="s">
        <v>120</v>
      </c>
      <c r="C1345" s="8" t="s">
        <v>215</v>
      </c>
      <c r="D1345" s="1"/>
      <c r="E1345" s="104"/>
      <c r="F1345" s="7">
        <f t="shared" si="298"/>
        <v>1559.6</v>
      </c>
      <c r="G1345" s="7">
        <f t="shared" si="298"/>
        <v>0</v>
      </c>
      <c r="H1345" s="35">
        <f t="shared" si="297"/>
        <v>1559.6</v>
      </c>
      <c r="I1345" s="7">
        <f t="shared" si="298"/>
        <v>0</v>
      </c>
      <c r="J1345" s="35">
        <f t="shared" si="296"/>
        <v>1559.6</v>
      </c>
      <c r="K1345" s="7">
        <f t="shared" si="298"/>
        <v>-1559.6</v>
      </c>
      <c r="L1345" s="35">
        <f t="shared" si="286"/>
        <v>0</v>
      </c>
      <c r="M1345" s="7">
        <f t="shared" si="298"/>
        <v>0</v>
      </c>
      <c r="N1345" s="35">
        <f t="shared" si="287"/>
        <v>0</v>
      </c>
      <c r="O1345" s="7">
        <f t="shared" si="298"/>
        <v>0</v>
      </c>
      <c r="P1345" s="35">
        <f t="shared" si="294"/>
        <v>0</v>
      </c>
      <c r="Q1345" s="7">
        <f t="shared" si="298"/>
        <v>0</v>
      </c>
      <c r="R1345" s="35">
        <f t="shared" si="291"/>
        <v>0</v>
      </c>
      <c r="S1345" s="7">
        <f t="shared" si="298"/>
        <v>0</v>
      </c>
      <c r="T1345" s="35">
        <f t="shared" si="290"/>
        <v>0</v>
      </c>
    </row>
    <row r="1346" spans="1:20" ht="33" hidden="1">
      <c r="A1346" s="12" t="s">
        <v>262</v>
      </c>
      <c r="B1346" s="45" t="s">
        <v>120</v>
      </c>
      <c r="C1346" s="8" t="s">
        <v>215</v>
      </c>
      <c r="D1346" s="1" t="s">
        <v>219</v>
      </c>
      <c r="E1346" s="104"/>
      <c r="F1346" s="7">
        <f t="shared" si="298"/>
        <v>1559.6</v>
      </c>
      <c r="G1346" s="7">
        <f t="shared" si="298"/>
        <v>0</v>
      </c>
      <c r="H1346" s="35">
        <f t="shared" si="297"/>
        <v>1559.6</v>
      </c>
      <c r="I1346" s="7">
        <f t="shared" si="298"/>
        <v>0</v>
      </c>
      <c r="J1346" s="35">
        <f t="shared" si="296"/>
        <v>1559.6</v>
      </c>
      <c r="K1346" s="7">
        <f t="shared" si="298"/>
        <v>-1559.6</v>
      </c>
      <c r="L1346" s="35">
        <f t="shared" si="286"/>
        <v>0</v>
      </c>
      <c r="M1346" s="7">
        <f t="shared" si="298"/>
        <v>0</v>
      </c>
      <c r="N1346" s="35">
        <f t="shared" si="287"/>
        <v>0</v>
      </c>
      <c r="O1346" s="7">
        <f t="shared" si="298"/>
        <v>0</v>
      </c>
      <c r="P1346" s="35">
        <f t="shared" si="294"/>
        <v>0</v>
      </c>
      <c r="Q1346" s="7">
        <f t="shared" si="298"/>
        <v>0</v>
      </c>
      <c r="R1346" s="35">
        <f t="shared" si="291"/>
        <v>0</v>
      </c>
      <c r="S1346" s="7">
        <f t="shared" si="298"/>
        <v>0</v>
      </c>
      <c r="T1346" s="35">
        <f t="shared" si="290"/>
        <v>0</v>
      </c>
    </row>
    <row r="1347" spans="1:20" ht="33" hidden="1">
      <c r="A1347" s="61" t="str">
        <f ca="1">IF(ISERROR(MATCH(E1347,Код_КВР,0)),"",INDIRECT(ADDRESS(MATCH(E1347,Код_КВР,0)+1,2,,,"КВР")))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347" s="45" t="s">
        <v>120</v>
      </c>
      <c r="C1347" s="8" t="s">
        <v>215</v>
      </c>
      <c r="D1347" s="1" t="s">
        <v>219</v>
      </c>
      <c r="E1347" s="104">
        <v>100</v>
      </c>
      <c r="F1347" s="7">
        <f t="shared" si="298"/>
        <v>1559.6</v>
      </c>
      <c r="G1347" s="7">
        <f t="shared" si="298"/>
        <v>0</v>
      </c>
      <c r="H1347" s="35">
        <f t="shared" si="297"/>
        <v>1559.6</v>
      </c>
      <c r="I1347" s="7">
        <f t="shared" si="298"/>
        <v>0</v>
      </c>
      <c r="J1347" s="35">
        <f t="shared" si="296"/>
        <v>1559.6</v>
      </c>
      <c r="K1347" s="7">
        <f t="shared" si="298"/>
        <v>-1559.6</v>
      </c>
      <c r="L1347" s="35">
        <f t="shared" si="286"/>
        <v>0</v>
      </c>
      <c r="M1347" s="7">
        <f t="shared" si="298"/>
        <v>0</v>
      </c>
      <c r="N1347" s="35">
        <f t="shared" si="287"/>
        <v>0</v>
      </c>
      <c r="O1347" s="7">
        <f t="shared" si="298"/>
        <v>0</v>
      </c>
      <c r="P1347" s="35">
        <f t="shared" si="294"/>
        <v>0</v>
      </c>
      <c r="Q1347" s="7">
        <f t="shared" si="298"/>
        <v>0</v>
      </c>
      <c r="R1347" s="35">
        <f t="shared" si="291"/>
        <v>0</v>
      </c>
      <c r="S1347" s="7">
        <f t="shared" si="298"/>
        <v>0</v>
      </c>
      <c r="T1347" s="35">
        <f t="shared" si="290"/>
        <v>0</v>
      </c>
    </row>
    <row r="1348" spans="1:20" hidden="1">
      <c r="A1348" s="61" t="str">
        <f ca="1">IF(ISERROR(MATCH(E1348,Код_КВР,0)),"",INDIRECT(ADDRESS(MATCH(E1348,Код_КВР,0)+1,2,,,"КВР")))</f>
        <v>Расходы на выплаты персоналу казенных учреждений</v>
      </c>
      <c r="B1348" s="45" t="s">
        <v>120</v>
      </c>
      <c r="C1348" s="8" t="s">
        <v>215</v>
      </c>
      <c r="D1348" s="1" t="s">
        <v>219</v>
      </c>
      <c r="E1348" s="104">
        <v>110</v>
      </c>
      <c r="F1348" s="7">
        <f>прил.6!G208</f>
        <v>1559.6</v>
      </c>
      <c r="G1348" s="7">
        <f>прил.6!H208</f>
        <v>0</v>
      </c>
      <c r="H1348" s="35">
        <f t="shared" si="297"/>
        <v>1559.6</v>
      </c>
      <c r="I1348" s="7">
        <f>прил.6!J208</f>
        <v>0</v>
      </c>
      <c r="J1348" s="35">
        <f t="shared" si="296"/>
        <v>1559.6</v>
      </c>
      <c r="K1348" s="7">
        <f>прил.6!L208</f>
        <v>-1559.6</v>
      </c>
      <c r="L1348" s="35">
        <f t="shared" si="286"/>
        <v>0</v>
      </c>
      <c r="M1348" s="7">
        <f>прил.6!N208</f>
        <v>0</v>
      </c>
      <c r="N1348" s="35">
        <f t="shared" si="287"/>
        <v>0</v>
      </c>
      <c r="O1348" s="7">
        <f>прил.6!P208</f>
        <v>0</v>
      </c>
      <c r="P1348" s="35">
        <f t="shared" si="294"/>
        <v>0</v>
      </c>
      <c r="Q1348" s="7">
        <f>прил.6!R208</f>
        <v>0</v>
      </c>
      <c r="R1348" s="35">
        <f t="shared" si="291"/>
        <v>0</v>
      </c>
      <c r="S1348" s="7">
        <f>прил.6!T208</f>
        <v>0</v>
      </c>
      <c r="T1348" s="35">
        <f t="shared" si="290"/>
        <v>0</v>
      </c>
    </row>
    <row r="1349" spans="1:20">
      <c r="A1349" s="61" t="str">
        <f ca="1">IF(ISERROR(MATCH(B1349,Код_КЦСР,0)),"",INDIRECT(ADDRESS(MATCH(B1349,Код_КЦСР,0)+1,2,,,"КЦСР")))</f>
        <v xml:space="preserve">Обеспечение создания условий для реализации подпрограммы 2 </v>
      </c>
      <c r="B1349" s="45" t="s">
        <v>122</v>
      </c>
      <c r="C1349" s="8"/>
      <c r="D1349" s="1"/>
      <c r="E1349" s="104"/>
      <c r="F1349" s="7">
        <f>F1350</f>
        <v>46645.7</v>
      </c>
      <c r="G1349" s="7">
        <f>G1350</f>
        <v>0</v>
      </c>
      <c r="H1349" s="35">
        <f t="shared" si="297"/>
        <v>46645.7</v>
      </c>
      <c r="I1349" s="7">
        <f>I1350</f>
        <v>653.29999999999927</v>
      </c>
      <c r="J1349" s="35">
        <f t="shared" si="296"/>
        <v>47299</v>
      </c>
      <c r="K1349" s="7">
        <f>K1350</f>
        <v>-1650.6000000000001</v>
      </c>
      <c r="L1349" s="35">
        <f t="shared" si="286"/>
        <v>45648.4</v>
      </c>
      <c r="M1349" s="7">
        <f>M1350</f>
        <v>0</v>
      </c>
      <c r="N1349" s="35">
        <f t="shared" si="287"/>
        <v>45648.4</v>
      </c>
      <c r="O1349" s="7">
        <f>O1350</f>
        <v>0</v>
      </c>
      <c r="P1349" s="35">
        <f t="shared" si="294"/>
        <v>45648.4</v>
      </c>
      <c r="Q1349" s="7">
        <f>Q1350</f>
        <v>80.099999999999994</v>
      </c>
      <c r="R1349" s="35">
        <f t="shared" si="291"/>
        <v>45728.5</v>
      </c>
      <c r="S1349" s="7">
        <f>S1350</f>
        <v>0</v>
      </c>
      <c r="T1349" s="35">
        <f t="shared" si="290"/>
        <v>45728.5</v>
      </c>
    </row>
    <row r="1350" spans="1:20">
      <c r="A1350" s="61" t="str">
        <f ca="1">IF(ISERROR(MATCH(C1350,Код_Раздел,0)),"",INDIRECT(ADDRESS(MATCH(C1350,Код_Раздел,0)+1,2,,,"Раздел")))</f>
        <v>Национальная безопасность и правоохранительная  деятельность</v>
      </c>
      <c r="B1350" s="45" t="s">
        <v>122</v>
      </c>
      <c r="C1350" s="8" t="s">
        <v>215</v>
      </c>
      <c r="D1350" s="1"/>
      <c r="E1350" s="104"/>
      <c r="F1350" s="7">
        <f>F1351</f>
        <v>46645.7</v>
      </c>
      <c r="G1350" s="7">
        <f>G1351</f>
        <v>0</v>
      </c>
      <c r="H1350" s="35">
        <f t="shared" si="297"/>
        <v>46645.7</v>
      </c>
      <c r="I1350" s="7">
        <f>I1351</f>
        <v>653.29999999999927</v>
      </c>
      <c r="J1350" s="35">
        <f t="shared" si="296"/>
        <v>47299</v>
      </c>
      <c r="K1350" s="7">
        <f>K1351</f>
        <v>-1650.6000000000001</v>
      </c>
      <c r="L1350" s="35">
        <f t="shared" si="286"/>
        <v>45648.4</v>
      </c>
      <c r="M1350" s="7">
        <f>M1351</f>
        <v>0</v>
      </c>
      <c r="N1350" s="35">
        <f t="shared" si="287"/>
        <v>45648.4</v>
      </c>
      <c r="O1350" s="7">
        <f>O1351</f>
        <v>0</v>
      </c>
      <c r="P1350" s="35">
        <f t="shared" si="294"/>
        <v>45648.4</v>
      </c>
      <c r="Q1350" s="7">
        <f>Q1351</f>
        <v>80.099999999999994</v>
      </c>
      <c r="R1350" s="35">
        <f t="shared" si="291"/>
        <v>45728.5</v>
      </c>
      <c r="S1350" s="7">
        <f>S1351</f>
        <v>0</v>
      </c>
      <c r="T1350" s="35">
        <f t="shared" si="290"/>
        <v>45728.5</v>
      </c>
    </row>
    <row r="1351" spans="1:20" ht="36.75" customHeight="1">
      <c r="A1351" s="12" t="s">
        <v>262</v>
      </c>
      <c r="B1351" s="45" t="s">
        <v>122</v>
      </c>
      <c r="C1351" s="8" t="s">
        <v>215</v>
      </c>
      <c r="D1351" s="1" t="s">
        <v>219</v>
      </c>
      <c r="E1351" s="104"/>
      <c r="F1351" s="7">
        <f>F1352+F1354+F1360</f>
        <v>46645.7</v>
      </c>
      <c r="G1351" s="7">
        <f>G1352+G1354+G1360</f>
        <v>0</v>
      </c>
      <c r="H1351" s="35">
        <f t="shared" si="297"/>
        <v>46645.7</v>
      </c>
      <c r="I1351" s="7">
        <f>I1352+I1354+I1360+I1357</f>
        <v>653.29999999999927</v>
      </c>
      <c r="J1351" s="35">
        <f t="shared" si="296"/>
        <v>47299</v>
      </c>
      <c r="K1351" s="7">
        <f>K1352+K1354+K1360+K1357</f>
        <v>-1650.6000000000001</v>
      </c>
      <c r="L1351" s="35">
        <f t="shared" si="286"/>
        <v>45648.4</v>
      </c>
      <c r="M1351" s="7">
        <f>M1352+M1354+M1360+M1357</f>
        <v>0</v>
      </c>
      <c r="N1351" s="35">
        <f t="shared" si="287"/>
        <v>45648.4</v>
      </c>
      <c r="O1351" s="7">
        <f>O1352+O1354+O1360+O1357</f>
        <v>0</v>
      </c>
      <c r="P1351" s="35">
        <f t="shared" si="294"/>
        <v>45648.4</v>
      </c>
      <c r="Q1351" s="7">
        <f>Q1352+Q1354+Q1360+Q1357</f>
        <v>80.099999999999994</v>
      </c>
      <c r="R1351" s="35">
        <f t="shared" si="291"/>
        <v>45728.5</v>
      </c>
      <c r="S1351" s="7">
        <f>S1352+S1354+S1360+S1357</f>
        <v>0</v>
      </c>
      <c r="T1351" s="35">
        <f t="shared" si="290"/>
        <v>45728.5</v>
      </c>
    </row>
    <row r="1352" spans="1:20" ht="33">
      <c r="A1352" s="61" t="str">
        <f t="shared" ref="A1352:A1363" ca="1" si="299">IF(ISERROR(MATCH(E1352,Код_КВР,0)),"",INDIRECT(ADDRESS(MATCH(E1352,Код_КВР,0)+1,2,,,"КВР")))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352" s="45" t="s">
        <v>122</v>
      </c>
      <c r="C1352" s="8" t="s">
        <v>215</v>
      </c>
      <c r="D1352" s="1" t="s">
        <v>219</v>
      </c>
      <c r="E1352" s="104">
        <v>100</v>
      </c>
      <c r="F1352" s="7">
        <f>F1353</f>
        <v>38954.9</v>
      </c>
      <c r="G1352" s="7">
        <f>G1353</f>
        <v>0</v>
      </c>
      <c r="H1352" s="35">
        <f t="shared" si="297"/>
        <v>38954.9</v>
      </c>
      <c r="I1352" s="7">
        <f>I1353</f>
        <v>-15942.2</v>
      </c>
      <c r="J1352" s="35">
        <f t="shared" si="296"/>
        <v>23012.7</v>
      </c>
      <c r="K1352" s="7">
        <f>K1353</f>
        <v>0</v>
      </c>
      <c r="L1352" s="35">
        <f t="shared" si="286"/>
        <v>23012.7</v>
      </c>
      <c r="M1352" s="7">
        <f>M1353</f>
        <v>0</v>
      </c>
      <c r="N1352" s="35">
        <f t="shared" si="287"/>
        <v>23012.7</v>
      </c>
      <c r="O1352" s="7">
        <f>O1353</f>
        <v>0</v>
      </c>
      <c r="P1352" s="35">
        <f t="shared" si="294"/>
        <v>23012.7</v>
      </c>
      <c r="Q1352" s="7">
        <f>Q1353</f>
        <v>-238</v>
      </c>
      <c r="R1352" s="35">
        <f t="shared" si="291"/>
        <v>22774.7</v>
      </c>
      <c r="S1352" s="7">
        <f>S1353</f>
        <v>0</v>
      </c>
      <c r="T1352" s="35">
        <f t="shared" si="290"/>
        <v>22774.7</v>
      </c>
    </row>
    <row r="1353" spans="1:20">
      <c r="A1353" s="61" t="str">
        <f t="shared" ca="1" si="299"/>
        <v>Расходы на выплаты персоналу казенных учреждений</v>
      </c>
      <c r="B1353" s="45" t="s">
        <v>122</v>
      </c>
      <c r="C1353" s="8" t="s">
        <v>215</v>
      </c>
      <c r="D1353" s="1" t="s">
        <v>219</v>
      </c>
      <c r="E1353" s="104">
        <v>110</v>
      </c>
      <c r="F1353" s="7">
        <f>прил.6!G211</f>
        <v>38954.9</v>
      </c>
      <c r="G1353" s="7">
        <f>прил.6!H211</f>
        <v>0</v>
      </c>
      <c r="H1353" s="35">
        <f t="shared" si="297"/>
        <v>38954.9</v>
      </c>
      <c r="I1353" s="7">
        <f>прил.6!J211</f>
        <v>-15942.2</v>
      </c>
      <c r="J1353" s="35">
        <f t="shared" si="296"/>
        <v>23012.7</v>
      </c>
      <c r="K1353" s="7">
        <f>прил.6!L211</f>
        <v>0</v>
      </c>
      <c r="L1353" s="35">
        <f t="shared" si="286"/>
        <v>23012.7</v>
      </c>
      <c r="M1353" s="7">
        <f>прил.6!N211</f>
        <v>0</v>
      </c>
      <c r="N1353" s="35">
        <f t="shared" si="287"/>
        <v>23012.7</v>
      </c>
      <c r="O1353" s="7">
        <f>прил.6!P211</f>
        <v>0</v>
      </c>
      <c r="P1353" s="35">
        <f t="shared" si="294"/>
        <v>23012.7</v>
      </c>
      <c r="Q1353" s="7">
        <f>прил.6!R211</f>
        <v>-238</v>
      </c>
      <c r="R1353" s="35">
        <f t="shared" si="291"/>
        <v>22774.7</v>
      </c>
      <c r="S1353" s="7">
        <f>прил.6!T211</f>
        <v>0</v>
      </c>
      <c r="T1353" s="35">
        <f t="shared" si="290"/>
        <v>22774.7</v>
      </c>
    </row>
    <row r="1354" spans="1:20">
      <c r="A1354" s="61" t="str">
        <f t="shared" ca="1" si="299"/>
        <v>Закупка товаров, работ и услуг для муниципальных нужд</v>
      </c>
      <c r="B1354" s="45" t="s">
        <v>122</v>
      </c>
      <c r="C1354" s="8" t="s">
        <v>215</v>
      </c>
      <c r="D1354" s="1" t="s">
        <v>219</v>
      </c>
      <c r="E1354" s="104">
        <v>200</v>
      </c>
      <c r="F1354" s="7">
        <f>F1355</f>
        <v>6568.2</v>
      </c>
      <c r="G1354" s="7">
        <f>G1355</f>
        <v>0</v>
      </c>
      <c r="H1354" s="35">
        <f t="shared" si="297"/>
        <v>6568.2</v>
      </c>
      <c r="I1354" s="7">
        <f>I1355</f>
        <v>-1391.1</v>
      </c>
      <c r="J1354" s="35">
        <f t="shared" si="296"/>
        <v>5177.1000000000004</v>
      </c>
      <c r="K1354" s="7">
        <f>K1355</f>
        <v>-1650.6000000000001</v>
      </c>
      <c r="L1354" s="35">
        <f t="shared" si="286"/>
        <v>3526.5</v>
      </c>
      <c r="M1354" s="7">
        <f>M1355</f>
        <v>0</v>
      </c>
      <c r="N1354" s="35">
        <f t="shared" si="287"/>
        <v>3526.5</v>
      </c>
      <c r="O1354" s="7">
        <f>O1355</f>
        <v>0</v>
      </c>
      <c r="P1354" s="35">
        <f t="shared" si="294"/>
        <v>3526.5</v>
      </c>
      <c r="Q1354" s="7">
        <f>Q1355</f>
        <v>238</v>
      </c>
      <c r="R1354" s="35">
        <f t="shared" si="291"/>
        <v>3764.5</v>
      </c>
      <c r="S1354" s="7">
        <f>S1355</f>
        <v>-11</v>
      </c>
      <c r="T1354" s="35">
        <f t="shared" si="290"/>
        <v>3753.5</v>
      </c>
    </row>
    <row r="1355" spans="1:20" ht="33">
      <c r="A1355" s="61" t="str">
        <f t="shared" ca="1" si="299"/>
        <v>Иные закупки товаров, работ и услуг для обеспечения муниципальных нужд</v>
      </c>
      <c r="B1355" s="45" t="s">
        <v>122</v>
      </c>
      <c r="C1355" s="8" t="s">
        <v>215</v>
      </c>
      <c r="D1355" s="1" t="s">
        <v>219</v>
      </c>
      <c r="E1355" s="104">
        <v>240</v>
      </c>
      <c r="F1355" s="7">
        <f>F1356</f>
        <v>6568.2</v>
      </c>
      <c r="G1355" s="7">
        <f>G1356</f>
        <v>0</v>
      </c>
      <c r="H1355" s="35">
        <f t="shared" si="297"/>
        <v>6568.2</v>
      </c>
      <c r="I1355" s="7">
        <f>I1356</f>
        <v>-1391.1</v>
      </c>
      <c r="J1355" s="35">
        <f t="shared" si="296"/>
        <v>5177.1000000000004</v>
      </c>
      <c r="K1355" s="7">
        <f>K1356</f>
        <v>-1650.6000000000001</v>
      </c>
      <c r="L1355" s="35">
        <f t="shared" si="286"/>
        <v>3526.5</v>
      </c>
      <c r="M1355" s="7">
        <f>M1356</f>
        <v>0</v>
      </c>
      <c r="N1355" s="35">
        <f t="shared" si="287"/>
        <v>3526.5</v>
      </c>
      <c r="O1355" s="7">
        <f>O1356</f>
        <v>0</v>
      </c>
      <c r="P1355" s="35">
        <f t="shared" si="294"/>
        <v>3526.5</v>
      </c>
      <c r="Q1355" s="7">
        <f>Q1356</f>
        <v>238</v>
      </c>
      <c r="R1355" s="35">
        <f t="shared" si="291"/>
        <v>3764.5</v>
      </c>
      <c r="S1355" s="7">
        <f>S1356</f>
        <v>-11</v>
      </c>
      <c r="T1355" s="35">
        <f t="shared" si="290"/>
        <v>3753.5</v>
      </c>
    </row>
    <row r="1356" spans="1:20" ht="33">
      <c r="A1356" s="61" t="str">
        <f t="shared" ca="1" si="299"/>
        <v xml:space="preserve">Прочая закупка товаров, работ и услуг для обеспечения муниципальных нужд         </v>
      </c>
      <c r="B1356" s="45" t="s">
        <v>122</v>
      </c>
      <c r="C1356" s="8" t="s">
        <v>215</v>
      </c>
      <c r="D1356" s="1" t="s">
        <v>219</v>
      </c>
      <c r="E1356" s="104">
        <v>244</v>
      </c>
      <c r="F1356" s="7">
        <f>прил.6!G214</f>
        <v>6568.2</v>
      </c>
      <c r="G1356" s="7">
        <f>прил.6!H214</f>
        <v>0</v>
      </c>
      <c r="H1356" s="35">
        <f t="shared" si="297"/>
        <v>6568.2</v>
      </c>
      <c r="I1356" s="7">
        <f>прил.6!J214</f>
        <v>-1391.1</v>
      </c>
      <c r="J1356" s="35">
        <f t="shared" si="296"/>
        <v>5177.1000000000004</v>
      </c>
      <c r="K1356" s="7">
        <f>прил.6!L214</f>
        <v>-1650.6000000000001</v>
      </c>
      <c r="L1356" s="35">
        <f t="shared" si="286"/>
        <v>3526.5</v>
      </c>
      <c r="M1356" s="7">
        <f>прил.6!N214</f>
        <v>0</v>
      </c>
      <c r="N1356" s="35">
        <f t="shared" si="287"/>
        <v>3526.5</v>
      </c>
      <c r="O1356" s="7">
        <f>прил.6!P214</f>
        <v>0</v>
      </c>
      <c r="P1356" s="35">
        <f t="shared" si="294"/>
        <v>3526.5</v>
      </c>
      <c r="Q1356" s="7">
        <f>прил.6!R214</f>
        <v>238</v>
      </c>
      <c r="R1356" s="35">
        <f t="shared" si="291"/>
        <v>3764.5</v>
      </c>
      <c r="S1356" s="7">
        <f>прил.6!T214</f>
        <v>-11</v>
      </c>
      <c r="T1356" s="35">
        <f t="shared" si="290"/>
        <v>3753.5</v>
      </c>
    </row>
    <row r="1357" spans="1:20" ht="33">
      <c r="A1357" s="61" t="str">
        <f t="shared" ref="A1357:A1359" ca="1" si="300">IF(ISERROR(MATCH(E1357,Код_КВР,0)),"",INDIRECT(ADDRESS(MATCH(E1357,Код_КВР,0)+1,2,,,"КВР")))</f>
        <v>Предоставление субсидий бюджетным, автономным учреждениям и иным некоммерческим организациям</v>
      </c>
      <c r="B1357" s="45" t="s">
        <v>122</v>
      </c>
      <c r="C1357" s="8" t="s">
        <v>215</v>
      </c>
      <c r="D1357" s="1" t="s">
        <v>219</v>
      </c>
      <c r="E1357" s="104">
        <v>600</v>
      </c>
      <c r="F1357" s="7"/>
      <c r="G1357" s="7"/>
      <c r="H1357" s="35"/>
      <c r="I1357" s="7">
        <f>I1358</f>
        <v>18250.099999999999</v>
      </c>
      <c r="J1357" s="35">
        <f t="shared" si="296"/>
        <v>18250.099999999999</v>
      </c>
      <c r="K1357" s="7">
        <f>K1358</f>
        <v>0</v>
      </c>
      <c r="L1357" s="35">
        <f t="shared" si="286"/>
        <v>18250.099999999999</v>
      </c>
      <c r="M1357" s="7">
        <f>M1358</f>
        <v>0</v>
      </c>
      <c r="N1357" s="35">
        <f t="shared" si="287"/>
        <v>18250.099999999999</v>
      </c>
      <c r="O1357" s="7">
        <f>O1358</f>
        <v>0</v>
      </c>
      <c r="P1357" s="35">
        <f t="shared" si="294"/>
        <v>18250.099999999999</v>
      </c>
      <c r="Q1357" s="7">
        <f>Q1358</f>
        <v>68.699999999999989</v>
      </c>
      <c r="R1357" s="35">
        <f t="shared" si="291"/>
        <v>18318.8</v>
      </c>
      <c r="S1357" s="7">
        <f>S1358</f>
        <v>0</v>
      </c>
      <c r="T1357" s="35">
        <f t="shared" si="290"/>
        <v>18318.8</v>
      </c>
    </row>
    <row r="1358" spans="1:20">
      <c r="A1358" s="61" t="str">
        <f t="shared" ca="1" si="300"/>
        <v>Субсидии бюджетным учреждениям</v>
      </c>
      <c r="B1358" s="45" t="s">
        <v>122</v>
      </c>
      <c r="C1358" s="8" t="s">
        <v>215</v>
      </c>
      <c r="D1358" s="1" t="s">
        <v>219</v>
      </c>
      <c r="E1358" s="104">
        <v>610</v>
      </c>
      <c r="F1358" s="7"/>
      <c r="G1358" s="7"/>
      <c r="H1358" s="35"/>
      <c r="I1358" s="7">
        <f>I1359</f>
        <v>18250.099999999999</v>
      </c>
      <c r="J1358" s="35">
        <f t="shared" si="296"/>
        <v>18250.099999999999</v>
      </c>
      <c r="K1358" s="7">
        <f>K1359</f>
        <v>0</v>
      </c>
      <c r="L1358" s="35">
        <f t="shared" si="286"/>
        <v>18250.099999999999</v>
      </c>
      <c r="M1358" s="7">
        <f>M1359</f>
        <v>0</v>
      </c>
      <c r="N1358" s="35">
        <f t="shared" si="287"/>
        <v>18250.099999999999</v>
      </c>
      <c r="O1358" s="7">
        <f>O1359</f>
        <v>0</v>
      </c>
      <c r="P1358" s="35">
        <f t="shared" si="294"/>
        <v>18250.099999999999</v>
      </c>
      <c r="Q1358" s="7">
        <f>Q1359</f>
        <v>68.699999999999989</v>
      </c>
      <c r="R1358" s="35">
        <f t="shared" si="291"/>
        <v>18318.8</v>
      </c>
      <c r="S1358" s="7">
        <f>S1359</f>
        <v>0</v>
      </c>
      <c r="T1358" s="35">
        <f t="shared" si="290"/>
        <v>18318.8</v>
      </c>
    </row>
    <row r="1359" spans="1:20" ht="49.5">
      <c r="A1359" s="61" t="str">
        <f t="shared" ca="1" si="300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359" s="45" t="s">
        <v>122</v>
      </c>
      <c r="C1359" s="8" t="s">
        <v>215</v>
      </c>
      <c r="D1359" s="1" t="s">
        <v>219</v>
      </c>
      <c r="E1359" s="104">
        <v>611</v>
      </c>
      <c r="F1359" s="7"/>
      <c r="G1359" s="7"/>
      <c r="H1359" s="35"/>
      <c r="I1359" s="7">
        <f>прил.6!J217</f>
        <v>18250.099999999999</v>
      </c>
      <c r="J1359" s="35">
        <f t="shared" si="296"/>
        <v>18250.099999999999</v>
      </c>
      <c r="K1359" s="7">
        <f>прил.6!L217</f>
        <v>0</v>
      </c>
      <c r="L1359" s="35">
        <f t="shared" si="286"/>
        <v>18250.099999999999</v>
      </c>
      <c r="M1359" s="7">
        <f>прил.6!N217</f>
        <v>0</v>
      </c>
      <c r="N1359" s="35">
        <f t="shared" si="287"/>
        <v>18250.099999999999</v>
      </c>
      <c r="O1359" s="7">
        <f>прил.6!P217</f>
        <v>0</v>
      </c>
      <c r="P1359" s="35">
        <f t="shared" si="294"/>
        <v>18250.099999999999</v>
      </c>
      <c r="Q1359" s="7">
        <f>прил.6!R217</f>
        <v>68.699999999999989</v>
      </c>
      <c r="R1359" s="35">
        <f t="shared" si="291"/>
        <v>18318.8</v>
      </c>
      <c r="S1359" s="7">
        <f>прил.6!T217</f>
        <v>0</v>
      </c>
      <c r="T1359" s="35">
        <f t="shared" si="290"/>
        <v>18318.8</v>
      </c>
    </row>
    <row r="1360" spans="1:20">
      <c r="A1360" s="61" t="str">
        <f t="shared" ca="1" si="299"/>
        <v>Иные бюджетные ассигнования</v>
      </c>
      <c r="B1360" s="45" t="s">
        <v>122</v>
      </c>
      <c r="C1360" s="8" t="s">
        <v>215</v>
      </c>
      <c r="D1360" s="1" t="s">
        <v>219</v>
      </c>
      <c r="E1360" s="104">
        <v>800</v>
      </c>
      <c r="F1360" s="7">
        <f>F1361</f>
        <v>1122.5999999999999</v>
      </c>
      <c r="G1360" s="7">
        <f>G1361</f>
        <v>0</v>
      </c>
      <c r="H1360" s="35">
        <f t="shared" si="297"/>
        <v>1122.5999999999999</v>
      </c>
      <c r="I1360" s="7">
        <f>I1361</f>
        <v>-263.5</v>
      </c>
      <c r="J1360" s="35">
        <f t="shared" si="296"/>
        <v>859.09999999999991</v>
      </c>
      <c r="K1360" s="7">
        <f>K1361</f>
        <v>0</v>
      </c>
      <c r="L1360" s="35">
        <f t="shared" si="286"/>
        <v>859.09999999999991</v>
      </c>
      <c r="M1360" s="7">
        <f>M1361</f>
        <v>0</v>
      </c>
      <c r="N1360" s="35">
        <f t="shared" si="287"/>
        <v>859.09999999999991</v>
      </c>
      <c r="O1360" s="7">
        <f>O1361</f>
        <v>0</v>
      </c>
      <c r="P1360" s="35">
        <f t="shared" si="294"/>
        <v>859.09999999999991</v>
      </c>
      <c r="Q1360" s="7">
        <f>Q1361</f>
        <v>11.4</v>
      </c>
      <c r="R1360" s="35">
        <f t="shared" si="291"/>
        <v>870.49999999999989</v>
      </c>
      <c r="S1360" s="7">
        <f>S1361</f>
        <v>11</v>
      </c>
      <c r="T1360" s="35">
        <f t="shared" si="290"/>
        <v>881.49999999999989</v>
      </c>
    </row>
    <row r="1361" spans="1:20">
      <c r="A1361" s="61" t="str">
        <f t="shared" ca="1" si="299"/>
        <v>Уплата налогов, сборов и иных платежей</v>
      </c>
      <c r="B1361" s="45" t="s">
        <v>122</v>
      </c>
      <c r="C1361" s="8" t="s">
        <v>215</v>
      </c>
      <c r="D1361" s="1" t="s">
        <v>219</v>
      </c>
      <c r="E1361" s="104">
        <v>850</v>
      </c>
      <c r="F1361" s="7">
        <f>SUM(F1362:F1363)</f>
        <v>1122.5999999999999</v>
      </c>
      <c r="G1361" s="7">
        <f>SUM(G1362:G1363)</f>
        <v>0</v>
      </c>
      <c r="H1361" s="35">
        <f t="shared" si="297"/>
        <v>1122.5999999999999</v>
      </c>
      <c r="I1361" s="7">
        <f>SUM(I1362:I1363)</f>
        <v>-263.5</v>
      </c>
      <c r="J1361" s="35">
        <f t="shared" si="296"/>
        <v>859.09999999999991</v>
      </c>
      <c r="K1361" s="7">
        <f>SUM(K1362:K1363)</f>
        <v>0</v>
      </c>
      <c r="L1361" s="35">
        <f t="shared" si="286"/>
        <v>859.09999999999991</v>
      </c>
      <c r="M1361" s="7">
        <f>SUM(M1362:M1363)</f>
        <v>0</v>
      </c>
      <c r="N1361" s="35">
        <f t="shared" si="287"/>
        <v>859.09999999999991</v>
      </c>
      <c r="O1361" s="7">
        <f>SUM(O1362:O1363)</f>
        <v>0</v>
      </c>
      <c r="P1361" s="35">
        <f t="shared" si="294"/>
        <v>859.09999999999991</v>
      </c>
      <c r="Q1361" s="7">
        <f>SUM(Q1362:Q1363)</f>
        <v>11.4</v>
      </c>
      <c r="R1361" s="35">
        <f t="shared" si="291"/>
        <v>870.49999999999989</v>
      </c>
      <c r="S1361" s="7">
        <f>SUM(S1362:S1363)</f>
        <v>11</v>
      </c>
      <c r="T1361" s="35">
        <f t="shared" si="290"/>
        <v>881.49999999999989</v>
      </c>
    </row>
    <row r="1362" spans="1:20">
      <c r="A1362" s="61" t="str">
        <f t="shared" ca="1" si="299"/>
        <v>Уплата налога на имущество организаций и земельного налога</v>
      </c>
      <c r="B1362" s="45" t="s">
        <v>122</v>
      </c>
      <c r="C1362" s="8" t="s">
        <v>215</v>
      </c>
      <c r="D1362" s="1" t="s">
        <v>219</v>
      </c>
      <c r="E1362" s="104">
        <v>851</v>
      </c>
      <c r="F1362" s="7">
        <f>прил.6!G220</f>
        <v>984.9</v>
      </c>
      <c r="G1362" s="7">
        <f>прил.6!H220</f>
        <v>0</v>
      </c>
      <c r="H1362" s="35">
        <f t="shared" si="297"/>
        <v>984.9</v>
      </c>
      <c r="I1362" s="7">
        <f>прил.6!J220</f>
        <v>-219.1</v>
      </c>
      <c r="J1362" s="35">
        <f t="shared" si="296"/>
        <v>765.8</v>
      </c>
      <c r="K1362" s="7">
        <f>прил.6!L220</f>
        <v>0</v>
      </c>
      <c r="L1362" s="35">
        <f t="shared" si="286"/>
        <v>765.8</v>
      </c>
      <c r="M1362" s="7">
        <f>прил.6!N220</f>
        <v>0</v>
      </c>
      <c r="N1362" s="35">
        <f t="shared" si="287"/>
        <v>765.8</v>
      </c>
      <c r="O1362" s="7">
        <f>прил.6!P220</f>
        <v>0</v>
      </c>
      <c r="P1362" s="35">
        <f t="shared" si="294"/>
        <v>765.8</v>
      </c>
      <c r="Q1362" s="7">
        <f>прил.6!R220</f>
        <v>0</v>
      </c>
      <c r="R1362" s="35">
        <f t="shared" si="291"/>
        <v>765.8</v>
      </c>
      <c r="S1362" s="7">
        <f>прил.6!T220</f>
        <v>0</v>
      </c>
      <c r="T1362" s="35">
        <f t="shared" si="290"/>
        <v>765.8</v>
      </c>
    </row>
    <row r="1363" spans="1:20">
      <c r="A1363" s="61" t="str">
        <f t="shared" ca="1" si="299"/>
        <v>Уплата прочих налогов, сборов и иных платежей</v>
      </c>
      <c r="B1363" s="45" t="s">
        <v>122</v>
      </c>
      <c r="C1363" s="8" t="s">
        <v>215</v>
      </c>
      <c r="D1363" s="1" t="s">
        <v>219</v>
      </c>
      <c r="E1363" s="104">
        <v>852</v>
      </c>
      <c r="F1363" s="7">
        <f>прил.6!G221</f>
        <v>137.69999999999999</v>
      </c>
      <c r="G1363" s="7">
        <f>прил.6!H221</f>
        <v>0</v>
      </c>
      <c r="H1363" s="35">
        <f t="shared" si="297"/>
        <v>137.69999999999999</v>
      </c>
      <c r="I1363" s="7">
        <f>прил.6!J221</f>
        <v>-44.400000000000006</v>
      </c>
      <c r="J1363" s="35">
        <f t="shared" si="296"/>
        <v>93.299999999999983</v>
      </c>
      <c r="K1363" s="7">
        <f>прил.6!L221</f>
        <v>0</v>
      </c>
      <c r="L1363" s="35">
        <f t="shared" si="286"/>
        <v>93.299999999999983</v>
      </c>
      <c r="M1363" s="7">
        <f>прил.6!N221</f>
        <v>0</v>
      </c>
      <c r="N1363" s="35">
        <f t="shared" si="287"/>
        <v>93.299999999999983</v>
      </c>
      <c r="O1363" s="7">
        <f>прил.6!P221</f>
        <v>0</v>
      </c>
      <c r="P1363" s="35">
        <f t="shared" si="294"/>
        <v>93.299999999999983</v>
      </c>
      <c r="Q1363" s="7">
        <f>прил.6!R221</f>
        <v>11.4</v>
      </c>
      <c r="R1363" s="35">
        <f t="shared" si="291"/>
        <v>104.69999999999999</v>
      </c>
      <c r="S1363" s="7">
        <f>прил.6!T221</f>
        <v>11</v>
      </c>
      <c r="T1363" s="35">
        <f t="shared" si="290"/>
        <v>115.69999999999999</v>
      </c>
    </row>
    <row r="1364" spans="1:20" ht="33">
      <c r="A1364" s="61" t="str">
        <f ca="1">IF(ISERROR(MATCH(B1364,Код_КЦСР,0)),"",INDIRECT(ADDRESS(MATCH(B1364,Код_КЦСР,0)+1,2,,,"КЦСР")))</f>
        <v>Муниципальная программа «Совершенствование муниципального управления в городе Череповце» на 2014-2018 годы</v>
      </c>
      <c r="B1364" s="45" t="s">
        <v>123</v>
      </c>
      <c r="C1364" s="8"/>
      <c r="D1364" s="1"/>
      <c r="E1364" s="104"/>
      <c r="F1364" s="7">
        <f>F1365+F1384+F1396</f>
        <v>122171.1</v>
      </c>
      <c r="G1364" s="7">
        <f>G1365+G1384+G1396</f>
        <v>0</v>
      </c>
      <c r="H1364" s="35">
        <f t="shared" si="297"/>
        <v>122171.1</v>
      </c>
      <c r="I1364" s="7">
        <f>I1365+I1384+I1396</f>
        <v>864.5</v>
      </c>
      <c r="J1364" s="35">
        <f t="shared" si="296"/>
        <v>123035.6</v>
      </c>
      <c r="K1364" s="7">
        <f>K1365+K1384+K1396</f>
        <v>-207</v>
      </c>
      <c r="L1364" s="35">
        <f t="shared" si="286"/>
        <v>122828.6</v>
      </c>
      <c r="M1364" s="7">
        <f>M1365+M1384+M1396</f>
        <v>0</v>
      </c>
      <c r="N1364" s="35">
        <f t="shared" si="287"/>
        <v>122828.6</v>
      </c>
      <c r="O1364" s="7">
        <f>O1365+O1384+O1396</f>
        <v>-1200</v>
      </c>
      <c r="P1364" s="35">
        <f t="shared" si="294"/>
        <v>121628.6</v>
      </c>
      <c r="Q1364" s="7">
        <f>Q1365+Q1384+Q1396</f>
        <v>-2093.8000000000002</v>
      </c>
      <c r="R1364" s="35">
        <f t="shared" si="291"/>
        <v>119534.8</v>
      </c>
      <c r="S1364" s="7">
        <f>S1365+S1384+S1396</f>
        <v>4797.3999999999996</v>
      </c>
      <c r="T1364" s="35">
        <f t="shared" si="290"/>
        <v>124332.2</v>
      </c>
    </row>
    <row r="1365" spans="1:20" ht="33">
      <c r="A1365" s="61" t="str">
        <f ca="1">IF(ISERROR(MATCH(B1365,Код_КЦСР,0)),"",INDIRECT(ADDRESS(MATCH(B1365,Код_КЦСР,0)+1,2,,,"КЦСР")))</f>
        <v>Создание условий для обеспечения выполнения органами муниципальной власти своих полномочий</v>
      </c>
      <c r="B1365" s="45" t="s">
        <v>124</v>
      </c>
      <c r="C1365" s="8"/>
      <c r="D1365" s="1"/>
      <c r="E1365" s="104"/>
      <c r="F1365" s="7">
        <f>F1366+F1372</f>
        <v>74643.199999999997</v>
      </c>
      <c r="G1365" s="7">
        <f>G1366+G1372</f>
        <v>0</v>
      </c>
      <c r="H1365" s="35">
        <f t="shared" si="297"/>
        <v>74643.199999999997</v>
      </c>
      <c r="I1365" s="7">
        <f>I1366+I1372</f>
        <v>1364.5</v>
      </c>
      <c r="J1365" s="35">
        <f t="shared" si="296"/>
        <v>76007.7</v>
      </c>
      <c r="K1365" s="7">
        <f>K1366+K1372</f>
        <v>0</v>
      </c>
      <c r="L1365" s="35">
        <f t="shared" si="286"/>
        <v>76007.7</v>
      </c>
      <c r="M1365" s="7">
        <f>M1366+M1372</f>
        <v>0</v>
      </c>
      <c r="N1365" s="35">
        <f t="shared" si="287"/>
        <v>76007.7</v>
      </c>
      <c r="O1365" s="7">
        <f>O1366+O1372</f>
        <v>0</v>
      </c>
      <c r="P1365" s="35">
        <f t="shared" si="294"/>
        <v>76007.7</v>
      </c>
      <c r="Q1365" s="7">
        <f>Q1366+Q1372</f>
        <v>1343.2</v>
      </c>
      <c r="R1365" s="35">
        <f t="shared" si="291"/>
        <v>77350.899999999994</v>
      </c>
      <c r="S1365" s="7">
        <f>S1366+S1372</f>
        <v>200</v>
      </c>
      <c r="T1365" s="35">
        <f t="shared" si="290"/>
        <v>77550.899999999994</v>
      </c>
    </row>
    <row r="1366" spans="1:20">
      <c r="A1366" s="61" t="str">
        <f ca="1">IF(ISERROR(MATCH(B1366,Код_КЦСР,0)),"",INDIRECT(ADDRESS(MATCH(B1366,Код_КЦСР,0)+1,2,,,"КЦСР")))</f>
        <v>Обеспечение работы СЭД «Летограф»</v>
      </c>
      <c r="B1366" s="45" t="s">
        <v>126</v>
      </c>
      <c r="C1366" s="8"/>
      <c r="D1366" s="1"/>
      <c r="E1366" s="104"/>
      <c r="F1366" s="7">
        <f t="shared" ref="F1366:S1370" si="301">F1367</f>
        <v>290</v>
      </c>
      <c r="G1366" s="7">
        <f t="shared" si="301"/>
        <v>0</v>
      </c>
      <c r="H1366" s="35">
        <f t="shared" si="297"/>
        <v>290</v>
      </c>
      <c r="I1366" s="7">
        <f t="shared" si="301"/>
        <v>0</v>
      </c>
      <c r="J1366" s="35">
        <f t="shared" si="296"/>
        <v>290</v>
      </c>
      <c r="K1366" s="7">
        <f t="shared" si="301"/>
        <v>0</v>
      </c>
      <c r="L1366" s="35">
        <f t="shared" si="286"/>
        <v>290</v>
      </c>
      <c r="M1366" s="7">
        <f t="shared" si="301"/>
        <v>0</v>
      </c>
      <c r="N1366" s="35">
        <f t="shared" si="287"/>
        <v>290</v>
      </c>
      <c r="O1366" s="7">
        <f t="shared" si="301"/>
        <v>0</v>
      </c>
      <c r="P1366" s="35">
        <f t="shared" si="294"/>
        <v>290</v>
      </c>
      <c r="Q1366" s="7">
        <f t="shared" si="301"/>
        <v>-12.7</v>
      </c>
      <c r="R1366" s="35">
        <f t="shared" si="291"/>
        <v>277.3</v>
      </c>
      <c r="S1366" s="7">
        <f t="shared" si="301"/>
        <v>0</v>
      </c>
      <c r="T1366" s="35">
        <f t="shared" si="290"/>
        <v>277.3</v>
      </c>
    </row>
    <row r="1367" spans="1:20">
      <c r="A1367" s="61" t="str">
        <f ca="1">IF(ISERROR(MATCH(C1367,Код_Раздел,0)),"",INDIRECT(ADDRESS(MATCH(C1367,Код_Раздел,0)+1,2,,,"Раздел")))</f>
        <v>Национальная экономика</v>
      </c>
      <c r="B1367" s="45" t="s">
        <v>126</v>
      </c>
      <c r="C1367" s="8" t="s">
        <v>216</v>
      </c>
      <c r="D1367" s="1"/>
      <c r="E1367" s="104"/>
      <c r="F1367" s="7">
        <f t="shared" si="301"/>
        <v>290</v>
      </c>
      <c r="G1367" s="7">
        <f t="shared" si="301"/>
        <v>0</v>
      </c>
      <c r="H1367" s="35">
        <f t="shared" si="297"/>
        <v>290</v>
      </c>
      <c r="I1367" s="7">
        <f t="shared" si="301"/>
        <v>0</v>
      </c>
      <c r="J1367" s="35">
        <f t="shared" si="296"/>
        <v>290</v>
      </c>
      <c r="K1367" s="7">
        <f t="shared" si="301"/>
        <v>0</v>
      </c>
      <c r="L1367" s="35">
        <f t="shared" ref="L1367:L1435" si="302">J1367+K1367</f>
        <v>290</v>
      </c>
      <c r="M1367" s="7">
        <f t="shared" si="301"/>
        <v>0</v>
      </c>
      <c r="N1367" s="35">
        <f t="shared" ref="N1367:N1402" si="303">L1367+M1367</f>
        <v>290</v>
      </c>
      <c r="O1367" s="7">
        <f t="shared" si="301"/>
        <v>0</v>
      </c>
      <c r="P1367" s="35">
        <f t="shared" si="294"/>
        <v>290</v>
      </c>
      <c r="Q1367" s="7">
        <f t="shared" si="301"/>
        <v>-12.7</v>
      </c>
      <c r="R1367" s="35">
        <f t="shared" si="291"/>
        <v>277.3</v>
      </c>
      <c r="S1367" s="7">
        <f t="shared" si="301"/>
        <v>0</v>
      </c>
      <c r="T1367" s="35">
        <f t="shared" si="290"/>
        <v>277.3</v>
      </c>
    </row>
    <row r="1368" spans="1:20">
      <c r="A1368" s="12" t="s">
        <v>230</v>
      </c>
      <c r="B1368" s="45" t="s">
        <v>126</v>
      </c>
      <c r="C1368" s="8" t="s">
        <v>216</v>
      </c>
      <c r="D1368" s="1" t="s">
        <v>188</v>
      </c>
      <c r="E1368" s="104"/>
      <c r="F1368" s="7">
        <f t="shared" si="301"/>
        <v>290</v>
      </c>
      <c r="G1368" s="7">
        <f t="shared" si="301"/>
        <v>0</v>
      </c>
      <c r="H1368" s="35">
        <f t="shared" si="297"/>
        <v>290</v>
      </c>
      <c r="I1368" s="7">
        <f t="shared" si="301"/>
        <v>0</v>
      </c>
      <c r="J1368" s="35">
        <f t="shared" si="296"/>
        <v>290</v>
      </c>
      <c r="K1368" s="7">
        <f t="shared" si="301"/>
        <v>0</v>
      </c>
      <c r="L1368" s="35">
        <f t="shared" si="302"/>
        <v>290</v>
      </c>
      <c r="M1368" s="7">
        <f t="shared" si="301"/>
        <v>0</v>
      </c>
      <c r="N1368" s="35">
        <f t="shared" si="303"/>
        <v>290</v>
      </c>
      <c r="O1368" s="7">
        <f t="shared" si="301"/>
        <v>0</v>
      </c>
      <c r="P1368" s="35">
        <f t="shared" si="294"/>
        <v>290</v>
      </c>
      <c r="Q1368" s="7">
        <f t="shared" si="301"/>
        <v>-12.7</v>
      </c>
      <c r="R1368" s="35">
        <f t="shared" si="291"/>
        <v>277.3</v>
      </c>
      <c r="S1368" s="7">
        <f t="shared" si="301"/>
        <v>0</v>
      </c>
      <c r="T1368" s="35">
        <f t="shared" si="290"/>
        <v>277.3</v>
      </c>
    </row>
    <row r="1369" spans="1:20" ht="33">
      <c r="A1369" s="61" t="str">
        <f ca="1">IF(ISERROR(MATCH(E1369,Код_КВР,0)),"",INDIRECT(ADDRESS(MATCH(E1369,Код_КВР,0)+1,2,,,"КВР")))</f>
        <v>Предоставление субсидий бюджетным, автономным учреждениям и иным некоммерческим организациям</v>
      </c>
      <c r="B1369" s="45" t="s">
        <v>126</v>
      </c>
      <c r="C1369" s="8" t="s">
        <v>216</v>
      </c>
      <c r="D1369" s="1" t="s">
        <v>188</v>
      </c>
      <c r="E1369" s="104">
        <v>600</v>
      </c>
      <c r="F1369" s="7">
        <f t="shared" si="301"/>
        <v>290</v>
      </c>
      <c r="G1369" s="7">
        <f t="shared" si="301"/>
        <v>0</v>
      </c>
      <c r="H1369" s="35">
        <f t="shared" si="297"/>
        <v>290</v>
      </c>
      <c r="I1369" s="7">
        <f t="shared" si="301"/>
        <v>0</v>
      </c>
      <c r="J1369" s="35">
        <f t="shared" si="296"/>
        <v>290</v>
      </c>
      <c r="K1369" s="7">
        <f t="shared" si="301"/>
        <v>0</v>
      </c>
      <c r="L1369" s="35">
        <f t="shared" si="302"/>
        <v>290</v>
      </c>
      <c r="M1369" s="7">
        <f t="shared" si="301"/>
        <v>0</v>
      </c>
      <c r="N1369" s="35">
        <f t="shared" si="303"/>
        <v>290</v>
      </c>
      <c r="O1369" s="7">
        <f t="shared" si="301"/>
        <v>0</v>
      </c>
      <c r="P1369" s="35">
        <f t="shared" si="294"/>
        <v>290</v>
      </c>
      <c r="Q1369" s="7">
        <f t="shared" si="301"/>
        <v>-12.7</v>
      </c>
      <c r="R1369" s="35">
        <f t="shared" si="291"/>
        <v>277.3</v>
      </c>
      <c r="S1369" s="7">
        <f t="shared" si="301"/>
        <v>0</v>
      </c>
      <c r="T1369" s="35">
        <f t="shared" si="290"/>
        <v>277.3</v>
      </c>
    </row>
    <row r="1370" spans="1:20">
      <c r="A1370" s="61" t="str">
        <f ca="1">IF(ISERROR(MATCH(E1370,Код_КВР,0)),"",INDIRECT(ADDRESS(MATCH(E1370,Код_КВР,0)+1,2,,,"КВР")))</f>
        <v>Субсидии бюджетным учреждениям</v>
      </c>
      <c r="B1370" s="45" t="s">
        <v>126</v>
      </c>
      <c r="C1370" s="8" t="s">
        <v>216</v>
      </c>
      <c r="D1370" s="1" t="s">
        <v>188</v>
      </c>
      <c r="E1370" s="104">
        <v>610</v>
      </c>
      <c r="F1370" s="7">
        <f t="shared" si="301"/>
        <v>290</v>
      </c>
      <c r="G1370" s="7">
        <f t="shared" si="301"/>
        <v>0</v>
      </c>
      <c r="H1370" s="35">
        <f t="shared" si="297"/>
        <v>290</v>
      </c>
      <c r="I1370" s="7">
        <f t="shared" si="301"/>
        <v>0</v>
      </c>
      <c r="J1370" s="35">
        <f t="shared" si="296"/>
        <v>290</v>
      </c>
      <c r="K1370" s="7">
        <f t="shared" si="301"/>
        <v>0</v>
      </c>
      <c r="L1370" s="35">
        <f t="shared" si="302"/>
        <v>290</v>
      </c>
      <c r="M1370" s="7">
        <f t="shared" si="301"/>
        <v>0</v>
      </c>
      <c r="N1370" s="35">
        <f t="shared" si="303"/>
        <v>290</v>
      </c>
      <c r="O1370" s="7">
        <f t="shared" si="301"/>
        <v>0</v>
      </c>
      <c r="P1370" s="35">
        <f t="shared" si="294"/>
        <v>290</v>
      </c>
      <c r="Q1370" s="7">
        <f t="shared" si="301"/>
        <v>-12.7</v>
      </c>
      <c r="R1370" s="35">
        <f t="shared" si="291"/>
        <v>277.3</v>
      </c>
      <c r="S1370" s="7">
        <f t="shared" si="301"/>
        <v>0</v>
      </c>
      <c r="T1370" s="35">
        <f t="shared" si="290"/>
        <v>277.3</v>
      </c>
    </row>
    <row r="1371" spans="1:20">
      <c r="A1371" s="61" t="str">
        <f ca="1">IF(ISERROR(MATCH(E1371,Код_КВР,0)),"",INDIRECT(ADDRESS(MATCH(E1371,Код_КВР,0)+1,2,,,"КВР")))</f>
        <v>Субсидии бюджетным учреждениям на иные цели</v>
      </c>
      <c r="B1371" s="45" t="s">
        <v>126</v>
      </c>
      <c r="C1371" s="8" t="s">
        <v>216</v>
      </c>
      <c r="D1371" s="1" t="s">
        <v>188</v>
      </c>
      <c r="E1371" s="104">
        <v>612</v>
      </c>
      <c r="F1371" s="7">
        <f>прил.6!G261</f>
        <v>290</v>
      </c>
      <c r="G1371" s="7">
        <f>прил.6!H261</f>
        <v>0</v>
      </c>
      <c r="H1371" s="35">
        <f t="shared" si="297"/>
        <v>290</v>
      </c>
      <c r="I1371" s="7">
        <f>прил.6!J261</f>
        <v>0</v>
      </c>
      <c r="J1371" s="35">
        <f t="shared" si="296"/>
        <v>290</v>
      </c>
      <c r="K1371" s="7">
        <f>прил.6!L261</f>
        <v>0</v>
      </c>
      <c r="L1371" s="35">
        <f t="shared" si="302"/>
        <v>290</v>
      </c>
      <c r="M1371" s="7">
        <f>прил.6!N261</f>
        <v>0</v>
      </c>
      <c r="N1371" s="35">
        <f t="shared" si="303"/>
        <v>290</v>
      </c>
      <c r="O1371" s="7">
        <f>прил.6!P261</f>
        <v>0</v>
      </c>
      <c r="P1371" s="35">
        <f t="shared" si="294"/>
        <v>290</v>
      </c>
      <c r="Q1371" s="7">
        <f>прил.6!R261</f>
        <v>-12.7</v>
      </c>
      <c r="R1371" s="35">
        <f t="shared" si="291"/>
        <v>277.3</v>
      </c>
      <c r="S1371" s="7">
        <f>прил.6!T261</f>
        <v>0</v>
      </c>
      <c r="T1371" s="35">
        <f t="shared" si="290"/>
        <v>277.3</v>
      </c>
    </row>
    <row r="1372" spans="1:20" ht="33">
      <c r="A1372" s="61" t="str">
        <f ca="1">IF(ISERROR(MATCH(B1372,Код_КЦСР,0)),"",INDIRECT(ADDRESS(MATCH(B1372,Код_КЦСР,0)+1,2,,,"КЦСР")))</f>
        <v>Материально-техническое обеспечение деятельности работников местного самоуправления</v>
      </c>
      <c r="B1372" s="45" t="s">
        <v>128</v>
      </c>
      <c r="C1372" s="8"/>
      <c r="D1372" s="1"/>
      <c r="E1372" s="104"/>
      <c r="F1372" s="7">
        <f>F1373</f>
        <v>74353.2</v>
      </c>
      <c r="G1372" s="7">
        <f>G1373</f>
        <v>0</v>
      </c>
      <c r="H1372" s="35">
        <f t="shared" si="297"/>
        <v>74353.2</v>
      </c>
      <c r="I1372" s="7">
        <f>I1373</f>
        <v>1364.5</v>
      </c>
      <c r="J1372" s="35">
        <f t="shared" si="296"/>
        <v>75717.7</v>
      </c>
      <c r="K1372" s="7">
        <f>K1373</f>
        <v>0</v>
      </c>
      <c r="L1372" s="35">
        <f t="shared" si="302"/>
        <v>75717.7</v>
      </c>
      <c r="M1372" s="7">
        <f>M1373</f>
        <v>0</v>
      </c>
      <c r="N1372" s="35">
        <f t="shared" si="303"/>
        <v>75717.7</v>
      </c>
      <c r="O1372" s="7">
        <f>O1373</f>
        <v>0</v>
      </c>
      <c r="P1372" s="35">
        <f t="shared" si="294"/>
        <v>75717.7</v>
      </c>
      <c r="Q1372" s="7">
        <f>Q1373</f>
        <v>1355.9</v>
      </c>
      <c r="R1372" s="35">
        <f t="shared" si="291"/>
        <v>77073.599999999991</v>
      </c>
      <c r="S1372" s="7">
        <f>S1373</f>
        <v>200</v>
      </c>
      <c r="T1372" s="35">
        <f t="shared" si="290"/>
        <v>77273.599999999991</v>
      </c>
    </row>
    <row r="1373" spans="1:20">
      <c r="A1373" s="61" t="str">
        <f ca="1">IF(ISERROR(MATCH(C1373,Код_Раздел,0)),"",INDIRECT(ADDRESS(MATCH(C1373,Код_Раздел,0)+1,2,,,"Раздел")))</f>
        <v>Общегосударственные  вопросы</v>
      </c>
      <c r="B1373" s="45" t="s">
        <v>128</v>
      </c>
      <c r="C1373" s="8" t="s">
        <v>213</v>
      </c>
      <c r="D1373" s="1"/>
      <c r="E1373" s="104"/>
      <c r="F1373" s="7">
        <f>F1374</f>
        <v>74353.2</v>
      </c>
      <c r="G1373" s="7">
        <f>G1374</f>
        <v>0</v>
      </c>
      <c r="H1373" s="35">
        <f t="shared" si="297"/>
        <v>74353.2</v>
      </c>
      <c r="I1373" s="7">
        <f>I1374</f>
        <v>1364.5</v>
      </c>
      <c r="J1373" s="35">
        <f t="shared" si="296"/>
        <v>75717.7</v>
      </c>
      <c r="K1373" s="7">
        <f>K1374</f>
        <v>0</v>
      </c>
      <c r="L1373" s="35">
        <f t="shared" si="302"/>
        <v>75717.7</v>
      </c>
      <c r="M1373" s="7">
        <f>M1374</f>
        <v>0</v>
      </c>
      <c r="N1373" s="35">
        <f t="shared" si="303"/>
        <v>75717.7</v>
      </c>
      <c r="O1373" s="7">
        <f>O1374</f>
        <v>0</v>
      </c>
      <c r="P1373" s="35">
        <f t="shared" si="294"/>
        <v>75717.7</v>
      </c>
      <c r="Q1373" s="7">
        <f>Q1374</f>
        <v>1355.9</v>
      </c>
      <c r="R1373" s="35">
        <f t="shared" si="291"/>
        <v>77073.599999999991</v>
      </c>
      <c r="S1373" s="7">
        <f>S1374</f>
        <v>200</v>
      </c>
      <c r="T1373" s="35">
        <f t="shared" si="290"/>
        <v>77273.599999999991</v>
      </c>
    </row>
    <row r="1374" spans="1:20">
      <c r="A1374" s="12" t="s">
        <v>237</v>
      </c>
      <c r="B1374" s="45" t="s">
        <v>128</v>
      </c>
      <c r="C1374" s="8" t="s">
        <v>213</v>
      </c>
      <c r="D1374" s="1" t="s">
        <v>190</v>
      </c>
      <c r="E1374" s="104"/>
      <c r="F1374" s="7">
        <f>F1375+F1377+F1380</f>
        <v>74353.2</v>
      </c>
      <c r="G1374" s="7">
        <f>G1375+G1377+G1380</f>
        <v>0</v>
      </c>
      <c r="H1374" s="35">
        <f t="shared" si="297"/>
        <v>74353.2</v>
      </c>
      <c r="I1374" s="7">
        <f>I1375+I1377+I1380</f>
        <v>1364.5</v>
      </c>
      <c r="J1374" s="35">
        <f t="shared" si="296"/>
        <v>75717.7</v>
      </c>
      <c r="K1374" s="7">
        <f>K1375+K1377+K1380</f>
        <v>0</v>
      </c>
      <c r="L1374" s="35">
        <f t="shared" si="302"/>
        <v>75717.7</v>
      </c>
      <c r="M1374" s="7">
        <f>M1375+M1377+M1380</f>
        <v>0</v>
      </c>
      <c r="N1374" s="35">
        <f t="shared" si="303"/>
        <v>75717.7</v>
      </c>
      <c r="O1374" s="7">
        <f>O1375+O1377+O1380</f>
        <v>0</v>
      </c>
      <c r="P1374" s="35">
        <f t="shared" si="294"/>
        <v>75717.7</v>
      </c>
      <c r="Q1374" s="7">
        <f>Q1375+Q1377+Q1380</f>
        <v>1355.9</v>
      </c>
      <c r="R1374" s="35">
        <f t="shared" si="291"/>
        <v>77073.599999999991</v>
      </c>
      <c r="S1374" s="7">
        <f>S1375+S1377+S1380</f>
        <v>200</v>
      </c>
      <c r="T1374" s="35">
        <f t="shared" si="290"/>
        <v>77273.599999999991</v>
      </c>
    </row>
    <row r="1375" spans="1:20" ht="33">
      <c r="A1375" s="61" t="str">
        <f t="shared" ref="A1375:A1383" ca="1" si="304">IF(ISERROR(MATCH(E1375,Код_КВР,0)),"",INDIRECT(ADDRESS(MATCH(E1375,Код_КВР,0)+1,2,,,"КВР")))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375" s="45" t="s">
        <v>128</v>
      </c>
      <c r="C1375" s="8" t="s">
        <v>213</v>
      </c>
      <c r="D1375" s="1" t="s">
        <v>190</v>
      </c>
      <c r="E1375" s="104">
        <v>100</v>
      </c>
      <c r="F1375" s="7">
        <f>F1376</f>
        <v>37037.1</v>
      </c>
      <c r="G1375" s="7">
        <f>G1376</f>
        <v>0</v>
      </c>
      <c r="H1375" s="35">
        <f t="shared" si="297"/>
        <v>37037.1</v>
      </c>
      <c r="I1375" s="7">
        <f>I1376</f>
        <v>431.7</v>
      </c>
      <c r="J1375" s="35">
        <f t="shared" si="296"/>
        <v>37468.799999999996</v>
      </c>
      <c r="K1375" s="7">
        <f>K1376</f>
        <v>0</v>
      </c>
      <c r="L1375" s="35">
        <f t="shared" si="302"/>
        <v>37468.799999999996</v>
      </c>
      <c r="M1375" s="7">
        <f>M1376</f>
        <v>0</v>
      </c>
      <c r="N1375" s="35">
        <f t="shared" si="303"/>
        <v>37468.799999999996</v>
      </c>
      <c r="O1375" s="7">
        <f>O1376</f>
        <v>0</v>
      </c>
      <c r="P1375" s="35">
        <f t="shared" si="294"/>
        <v>37468.799999999996</v>
      </c>
      <c r="Q1375" s="7">
        <f>Q1376</f>
        <v>0</v>
      </c>
      <c r="R1375" s="35">
        <f t="shared" si="291"/>
        <v>37468.799999999996</v>
      </c>
      <c r="S1375" s="7">
        <f>S1376</f>
        <v>0</v>
      </c>
      <c r="T1375" s="35">
        <f t="shared" ref="T1375:T1444" si="305">R1375+S1375</f>
        <v>37468.799999999996</v>
      </c>
    </row>
    <row r="1376" spans="1:20">
      <c r="A1376" s="61" t="str">
        <f t="shared" ca="1" si="304"/>
        <v>Расходы на выплаты персоналу казенных учреждений</v>
      </c>
      <c r="B1376" s="45" t="s">
        <v>128</v>
      </c>
      <c r="C1376" s="8" t="s">
        <v>213</v>
      </c>
      <c r="D1376" s="1" t="s">
        <v>190</v>
      </c>
      <c r="E1376" s="104">
        <v>110</v>
      </c>
      <c r="F1376" s="7">
        <f>прил.6!G118</f>
        <v>37037.1</v>
      </c>
      <c r="G1376" s="7">
        <f>прил.6!H118</f>
        <v>0</v>
      </c>
      <c r="H1376" s="35">
        <f t="shared" si="297"/>
        <v>37037.1</v>
      </c>
      <c r="I1376" s="7">
        <f>прил.6!J118</f>
        <v>431.7</v>
      </c>
      <c r="J1376" s="35">
        <f t="shared" si="296"/>
        <v>37468.799999999996</v>
      </c>
      <c r="K1376" s="7">
        <f>прил.6!L118</f>
        <v>0</v>
      </c>
      <c r="L1376" s="35">
        <f t="shared" si="302"/>
        <v>37468.799999999996</v>
      </c>
      <c r="M1376" s="7">
        <f>прил.6!N118</f>
        <v>0</v>
      </c>
      <c r="N1376" s="35">
        <f t="shared" si="303"/>
        <v>37468.799999999996</v>
      </c>
      <c r="O1376" s="7">
        <f>прил.6!P118</f>
        <v>0</v>
      </c>
      <c r="P1376" s="35">
        <f t="shared" si="294"/>
        <v>37468.799999999996</v>
      </c>
      <c r="Q1376" s="7">
        <f>прил.6!R118</f>
        <v>0</v>
      </c>
      <c r="R1376" s="35">
        <f t="shared" si="291"/>
        <v>37468.799999999996</v>
      </c>
      <c r="S1376" s="7">
        <f>прил.6!T118</f>
        <v>0</v>
      </c>
      <c r="T1376" s="35">
        <f t="shared" si="305"/>
        <v>37468.799999999996</v>
      </c>
    </row>
    <row r="1377" spans="1:20">
      <c r="A1377" s="61" t="str">
        <f t="shared" ca="1" si="304"/>
        <v>Закупка товаров, работ и услуг для муниципальных нужд</v>
      </c>
      <c r="B1377" s="45" t="s">
        <v>128</v>
      </c>
      <c r="C1377" s="8" t="s">
        <v>213</v>
      </c>
      <c r="D1377" s="1" t="s">
        <v>190</v>
      </c>
      <c r="E1377" s="104">
        <v>200</v>
      </c>
      <c r="F1377" s="7">
        <f>F1378</f>
        <v>34357.800000000003</v>
      </c>
      <c r="G1377" s="7">
        <f>G1378</f>
        <v>0</v>
      </c>
      <c r="H1377" s="35">
        <f t="shared" si="297"/>
        <v>34357.800000000003</v>
      </c>
      <c r="I1377" s="7">
        <f>I1378</f>
        <v>932.8</v>
      </c>
      <c r="J1377" s="35">
        <f t="shared" si="296"/>
        <v>35290.600000000006</v>
      </c>
      <c r="K1377" s="7">
        <f>K1378</f>
        <v>0</v>
      </c>
      <c r="L1377" s="35">
        <f t="shared" si="302"/>
        <v>35290.600000000006</v>
      </c>
      <c r="M1377" s="7">
        <f>M1378</f>
        <v>0</v>
      </c>
      <c r="N1377" s="35">
        <f t="shared" si="303"/>
        <v>35290.600000000006</v>
      </c>
      <c r="O1377" s="7">
        <f>O1378</f>
        <v>0</v>
      </c>
      <c r="P1377" s="35">
        <f t="shared" si="294"/>
        <v>35290.600000000006</v>
      </c>
      <c r="Q1377" s="7">
        <f>Q1378</f>
        <v>1355.9</v>
      </c>
      <c r="R1377" s="35">
        <f t="shared" si="291"/>
        <v>36646.500000000007</v>
      </c>
      <c r="S1377" s="7">
        <f>S1378</f>
        <v>200</v>
      </c>
      <c r="T1377" s="35">
        <f t="shared" si="305"/>
        <v>36846.500000000007</v>
      </c>
    </row>
    <row r="1378" spans="1:20" ht="33">
      <c r="A1378" s="61" t="str">
        <f t="shared" ca="1" si="304"/>
        <v>Иные закупки товаров, работ и услуг для обеспечения муниципальных нужд</v>
      </c>
      <c r="B1378" s="45" t="s">
        <v>128</v>
      </c>
      <c r="C1378" s="8" t="s">
        <v>213</v>
      </c>
      <c r="D1378" s="1" t="s">
        <v>190</v>
      </c>
      <c r="E1378" s="104">
        <v>240</v>
      </c>
      <c r="F1378" s="7">
        <f>F1379</f>
        <v>34357.800000000003</v>
      </c>
      <c r="G1378" s="7">
        <f>G1379</f>
        <v>0</v>
      </c>
      <c r="H1378" s="35">
        <f t="shared" si="297"/>
        <v>34357.800000000003</v>
      </c>
      <c r="I1378" s="7">
        <f>I1379</f>
        <v>932.8</v>
      </c>
      <c r="J1378" s="35">
        <f t="shared" si="296"/>
        <v>35290.600000000006</v>
      </c>
      <c r="K1378" s="7">
        <f>K1379</f>
        <v>0</v>
      </c>
      <c r="L1378" s="35">
        <f t="shared" si="302"/>
        <v>35290.600000000006</v>
      </c>
      <c r="M1378" s="7">
        <f>M1379</f>
        <v>0</v>
      </c>
      <c r="N1378" s="35">
        <f t="shared" si="303"/>
        <v>35290.600000000006</v>
      </c>
      <c r="O1378" s="7">
        <f>O1379</f>
        <v>0</v>
      </c>
      <c r="P1378" s="35">
        <f t="shared" si="294"/>
        <v>35290.600000000006</v>
      </c>
      <c r="Q1378" s="7">
        <f>Q1379</f>
        <v>1355.9</v>
      </c>
      <c r="R1378" s="35">
        <f t="shared" si="291"/>
        <v>36646.500000000007</v>
      </c>
      <c r="S1378" s="7">
        <f>S1379</f>
        <v>200</v>
      </c>
      <c r="T1378" s="35">
        <f t="shared" si="305"/>
        <v>36846.500000000007</v>
      </c>
    </row>
    <row r="1379" spans="1:20" ht="33">
      <c r="A1379" s="61" t="str">
        <f t="shared" ca="1" si="304"/>
        <v xml:space="preserve">Прочая закупка товаров, работ и услуг для обеспечения муниципальных нужд         </v>
      </c>
      <c r="B1379" s="45" t="s">
        <v>128</v>
      </c>
      <c r="C1379" s="8" t="s">
        <v>213</v>
      </c>
      <c r="D1379" s="1" t="s">
        <v>190</v>
      </c>
      <c r="E1379" s="104">
        <v>244</v>
      </c>
      <c r="F1379" s="7">
        <f>прил.6!G121</f>
        <v>34357.800000000003</v>
      </c>
      <c r="G1379" s="7">
        <f>прил.6!H121</f>
        <v>0</v>
      </c>
      <c r="H1379" s="35">
        <f t="shared" si="297"/>
        <v>34357.800000000003</v>
      </c>
      <c r="I1379" s="7">
        <f>прил.6!J121</f>
        <v>932.8</v>
      </c>
      <c r="J1379" s="35">
        <f t="shared" si="296"/>
        <v>35290.600000000006</v>
      </c>
      <c r="K1379" s="7">
        <f>прил.6!L121</f>
        <v>0</v>
      </c>
      <c r="L1379" s="35">
        <f t="shared" si="302"/>
        <v>35290.600000000006</v>
      </c>
      <c r="M1379" s="7">
        <f>прил.6!N121</f>
        <v>0</v>
      </c>
      <c r="N1379" s="35">
        <f t="shared" si="303"/>
        <v>35290.600000000006</v>
      </c>
      <c r="O1379" s="7">
        <f>прил.6!P121</f>
        <v>0</v>
      </c>
      <c r="P1379" s="35">
        <f t="shared" si="294"/>
        <v>35290.600000000006</v>
      </c>
      <c r="Q1379" s="7">
        <f>прил.6!R121</f>
        <v>1355.9</v>
      </c>
      <c r="R1379" s="35">
        <f t="shared" si="291"/>
        <v>36646.500000000007</v>
      </c>
      <c r="S1379" s="7">
        <f>прил.6!T121</f>
        <v>200</v>
      </c>
      <c r="T1379" s="35">
        <f t="shared" si="305"/>
        <v>36846.500000000007</v>
      </c>
    </row>
    <row r="1380" spans="1:20">
      <c r="A1380" s="61" t="str">
        <f t="shared" ca="1" si="304"/>
        <v>Иные бюджетные ассигнования</v>
      </c>
      <c r="B1380" s="45" t="s">
        <v>128</v>
      </c>
      <c r="C1380" s="8" t="s">
        <v>213</v>
      </c>
      <c r="D1380" s="1" t="s">
        <v>190</v>
      </c>
      <c r="E1380" s="104">
        <v>800</v>
      </c>
      <c r="F1380" s="7">
        <f>F1381</f>
        <v>2958.2999999999997</v>
      </c>
      <c r="G1380" s="7">
        <f>G1381</f>
        <v>0</v>
      </c>
      <c r="H1380" s="35">
        <f t="shared" si="297"/>
        <v>2958.2999999999997</v>
      </c>
      <c r="I1380" s="7">
        <f>I1381</f>
        <v>0</v>
      </c>
      <c r="J1380" s="35">
        <f t="shared" si="296"/>
        <v>2958.2999999999997</v>
      </c>
      <c r="K1380" s="7">
        <f>K1381</f>
        <v>0</v>
      </c>
      <c r="L1380" s="35">
        <f t="shared" si="302"/>
        <v>2958.2999999999997</v>
      </c>
      <c r="M1380" s="7">
        <f>M1381</f>
        <v>0</v>
      </c>
      <c r="N1380" s="35">
        <f t="shared" si="303"/>
        <v>2958.2999999999997</v>
      </c>
      <c r="O1380" s="7">
        <f>O1381</f>
        <v>0</v>
      </c>
      <c r="P1380" s="35">
        <f t="shared" si="294"/>
        <v>2958.2999999999997</v>
      </c>
      <c r="Q1380" s="7">
        <f>Q1381</f>
        <v>0</v>
      </c>
      <c r="R1380" s="35">
        <f t="shared" si="291"/>
        <v>2958.2999999999997</v>
      </c>
      <c r="S1380" s="7">
        <f>S1381</f>
        <v>0</v>
      </c>
      <c r="T1380" s="35">
        <f t="shared" si="305"/>
        <v>2958.2999999999997</v>
      </c>
    </row>
    <row r="1381" spans="1:20">
      <c r="A1381" s="61" t="str">
        <f t="shared" ca="1" si="304"/>
        <v>Уплата налогов, сборов и иных платежей</v>
      </c>
      <c r="B1381" s="45" t="s">
        <v>128</v>
      </c>
      <c r="C1381" s="8" t="s">
        <v>213</v>
      </c>
      <c r="D1381" s="1" t="s">
        <v>190</v>
      </c>
      <c r="E1381" s="104">
        <v>850</v>
      </c>
      <c r="F1381" s="7">
        <f>SUM(F1382:F1383)</f>
        <v>2958.2999999999997</v>
      </c>
      <c r="G1381" s="7">
        <f>SUM(G1382:G1383)</f>
        <v>0</v>
      </c>
      <c r="H1381" s="35">
        <f t="shared" si="297"/>
        <v>2958.2999999999997</v>
      </c>
      <c r="I1381" s="7">
        <f>SUM(I1382:I1383)</f>
        <v>0</v>
      </c>
      <c r="J1381" s="35">
        <f t="shared" si="296"/>
        <v>2958.2999999999997</v>
      </c>
      <c r="K1381" s="7">
        <f>SUM(K1382:K1383)</f>
        <v>0</v>
      </c>
      <c r="L1381" s="35">
        <f t="shared" si="302"/>
        <v>2958.2999999999997</v>
      </c>
      <c r="M1381" s="7">
        <f>SUM(M1382:M1383)</f>
        <v>0</v>
      </c>
      <c r="N1381" s="35">
        <f t="shared" si="303"/>
        <v>2958.2999999999997</v>
      </c>
      <c r="O1381" s="7">
        <f>SUM(O1382:O1383)</f>
        <v>0</v>
      </c>
      <c r="P1381" s="35">
        <f t="shared" si="294"/>
        <v>2958.2999999999997</v>
      </c>
      <c r="Q1381" s="7">
        <f>SUM(Q1382:Q1383)</f>
        <v>0</v>
      </c>
      <c r="R1381" s="35">
        <f t="shared" si="291"/>
        <v>2958.2999999999997</v>
      </c>
      <c r="S1381" s="7">
        <f>SUM(S1382:S1383)</f>
        <v>0</v>
      </c>
      <c r="T1381" s="35">
        <f t="shared" si="305"/>
        <v>2958.2999999999997</v>
      </c>
    </row>
    <row r="1382" spans="1:20">
      <c r="A1382" s="61" t="str">
        <f t="shared" ca="1" si="304"/>
        <v>Уплата налога на имущество организаций и земельного налога</v>
      </c>
      <c r="B1382" s="45" t="s">
        <v>128</v>
      </c>
      <c r="C1382" s="8" t="s">
        <v>213</v>
      </c>
      <c r="D1382" s="1" t="s">
        <v>190</v>
      </c>
      <c r="E1382" s="104">
        <v>851</v>
      </c>
      <c r="F1382" s="7">
        <f>прил.6!G124</f>
        <v>2591.6</v>
      </c>
      <c r="G1382" s="7">
        <f>прил.6!H124</f>
        <v>0</v>
      </c>
      <c r="H1382" s="35">
        <f t="shared" si="297"/>
        <v>2591.6</v>
      </c>
      <c r="I1382" s="7">
        <f>прил.6!J124</f>
        <v>0</v>
      </c>
      <c r="J1382" s="35">
        <f t="shared" si="296"/>
        <v>2591.6</v>
      </c>
      <c r="K1382" s="7">
        <f>прил.6!L124</f>
        <v>0</v>
      </c>
      <c r="L1382" s="35">
        <f t="shared" si="302"/>
        <v>2591.6</v>
      </c>
      <c r="M1382" s="7">
        <f>прил.6!N124</f>
        <v>0</v>
      </c>
      <c r="N1382" s="35">
        <f t="shared" si="303"/>
        <v>2591.6</v>
      </c>
      <c r="O1382" s="7">
        <f>прил.6!P124</f>
        <v>0</v>
      </c>
      <c r="P1382" s="35">
        <f t="shared" si="294"/>
        <v>2591.6</v>
      </c>
      <c r="Q1382" s="7">
        <f>прил.6!R124</f>
        <v>30</v>
      </c>
      <c r="R1382" s="35">
        <f t="shared" si="291"/>
        <v>2621.6</v>
      </c>
      <c r="S1382" s="7">
        <f>прил.6!T124</f>
        <v>0</v>
      </c>
      <c r="T1382" s="35">
        <f t="shared" si="305"/>
        <v>2621.6</v>
      </c>
    </row>
    <row r="1383" spans="1:20">
      <c r="A1383" s="61" t="str">
        <f t="shared" ca="1" si="304"/>
        <v>Уплата прочих налогов, сборов и иных платежей</v>
      </c>
      <c r="B1383" s="45" t="s">
        <v>128</v>
      </c>
      <c r="C1383" s="8" t="s">
        <v>213</v>
      </c>
      <c r="D1383" s="1" t="s">
        <v>190</v>
      </c>
      <c r="E1383" s="104">
        <v>852</v>
      </c>
      <c r="F1383" s="7">
        <f>прил.6!G125</f>
        <v>366.7</v>
      </c>
      <c r="G1383" s="7">
        <f>прил.6!H125</f>
        <v>0</v>
      </c>
      <c r="H1383" s="35">
        <f t="shared" si="297"/>
        <v>366.7</v>
      </c>
      <c r="I1383" s="7">
        <f>прил.6!J125</f>
        <v>0</v>
      </c>
      <c r="J1383" s="35">
        <f t="shared" si="296"/>
        <v>366.7</v>
      </c>
      <c r="K1383" s="7">
        <f>прил.6!L125</f>
        <v>0</v>
      </c>
      <c r="L1383" s="35">
        <f t="shared" si="302"/>
        <v>366.7</v>
      </c>
      <c r="M1383" s="7">
        <f>прил.6!N125</f>
        <v>0</v>
      </c>
      <c r="N1383" s="35">
        <f t="shared" si="303"/>
        <v>366.7</v>
      </c>
      <c r="O1383" s="7">
        <f>прил.6!P125</f>
        <v>0</v>
      </c>
      <c r="P1383" s="35">
        <f t="shared" si="294"/>
        <v>366.7</v>
      </c>
      <c r="Q1383" s="7">
        <f>прил.6!R125</f>
        <v>-30</v>
      </c>
      <c r="R1383" s="35">
        <f t="shared" si="291"/>
        <v>336.7</v>
      </c>
      <c r="S1383" s="7">
        <f>прил.6!T125</f>
        <v>0</v>
      </c>
      <c r="T1383" s="35">
        <f t="shared" si="305"/>
        <v>336.7</v>
      </c>
    </row>
    <row r="1384" spans="1:20">
      <c r="A1384" s="61" t="str">
        <f ca="1">IF(ISERROR(MATCH(B1384,Код_КЦСР,0)),"",INDIRECT(ADDRESS(MATCH(B1384,Код_КЦСР,0)+1,2,,,"КЦСР")))</f>
        <v>Развитие муниципальной службы в мэрии города Череповца</v>
      </c>
      <c r="B1384" s="45" t="s">
        <v>130</v>
      </c>
      <c r="C1384" s="8"/>
      <c r="D1384" s="1"/>
      <c r="E1384" s="104"/>
      <c r="F1384" s="7">
        <f>F1385+F1391</f>
        <v>13790</v>
      </c>
      <c r="G1384" s="7">
        <f>G1385+G1391</f>
        <v>0</v>
      </c>
      <c r="H1384" s="35">
        <f t="shared" si="297"/>
        <v>13790</v>
      </c>
      <c r="I1384" s="7">
        <f>I1385+I1391</f>
        <v>0</v>
      </c>
      <c r="J1384" s="35">
        <f t="shared" si="296"/>
        <v>13790</v>
      </c>
      <c r="K1384" s="7">
        <f>K1385+K1391</f>
        <v>-77</v>
      </c>
      <c r="L1384" s="35">
        <f t="shared" si="302"/>
        <v>13713</v>
      </c>
      <c r="M1384" s="7">
        <f>M1385+M1391</f>
        <v>0</v>
      </c>
      <c r="N1384" s="35">
        <f t="shared" si="303"/>
        <v>13713</v>
      </c>
      <c r="O1384" s="7">
        <f>O1385+O1391</f>
        <v>0</v>
      </c>
      <c r="P1384" s="35">
        <f t="shared" si="294"/>
        <v>13713</v>
      </c>
      <c r="Q1384" s="7">
        <f>Q1385+Q1391</f>
        <v>20</v>
      </c>
      <c r="R1384" s="35">
        <f t="shared" si="291"/>
        <v>13733</v>
      </c>
      <c r="S1384" s="7">
        <f>S1385+S1391</f>
        <v>0</v>
      </c>
      <c r="T1384" s="35">
        <f t="shared" si="305"/>
        <v>13733</v>
      </c>
    </row>
    <row r="1385" spans="1:20" ht="49.5">
      <c r="A1385" s="61" t="str">
        <f ca="1">IF(ISERROR(MATCH(B1385,Код_КЦСР,0)),"",INDIRECT(ADDRESS(MATCH(B1385,Код_КЦСР,0)+1,2,,,"КЦСР")))</f>
        <v>Совершенствование организационных и правовых механизмов профессиональной служебной деятельности муниципальных служащих</v>
      </c>
      <c r="B1385" s="45" t="s">
        <v>132</v>
      </c>
      <c r="C1385" s="8"/>
      <c r="D1385" s="1"/>
      <c r="E1385" s="104"/>
      <c r="F1385" s="7">
        <f t="shared" ref="F1385:S1389" si="306">F1386</f>
        <v>350</v>
      </c>
      <c r="G1385" s="7">
        <f t="shared" si="306"/>
        <v>0</v>
      </c>
      <c r="H1385" s="35">
        <f t="shared" si="297"/>
        <v>350</v>
      </c>
      <c r="I1385" s="7">
        <f t="shared" si="306"/>
        <v>0</v>
      </c>
      <c r="J1385" s="35">
        <f t="shared" si="296"/>
        <v>350</v>
      </c>
      <c r="K1385" s="7">
        <f t="shared" si="306"/>
        <v>-77</v>
      </c>
      <c r="L1385" s="35">
        <f t="shared" si="302"/>
        <v>273</v>
      </c>
      <c r="M1385" s="7">
        <f t="shared" si="306"/>
        <v>0</v>
      </c>
      <c r="N1385" s="35">
        <f t="shared" si="303"/>
        <v>273</v>
      </c>
      <c r="O1385" s="7">
        <f t="shared" si="306"/>
        <v>0</v>
      </c>
      <c r="P1385" s="35">
        <f t="shared" si="294"/>
        <v>273</v>
      </c>
      <c r="Q1385" s="7">
        <f t="shared" si="306"/>
        <v>20</v>
      </c>
      <c r="R1385" s="35">
        <f t="shared" si="291"/>
        <v>293</v>
      </c>
      <c r="S1385" s="7">
        <f t="shared" si="306"/>
        <v>0</v>
      </c>
      <c r="T1385" s="35">
        <f t="shared" si="305"/>
        <v>293</v>
      </c>
    </row>
    <row r="1386" spans="1:20">
      <c r="A1386" s="61" t="str">
        <f ca="1">IF(ISERROR(MATCH(C1386,Код_Раздел,0)),"",INDIRECT(ADDRESS(MATCH(C1386,Код_Раздел,0)+1,2,,,"Раздел")))</f>
        <v>Общегосударственные  вопросы</v>
      </c>
      <c r="B1386" s="45" t="s">
        <v>132</v>
      </c>
      <c r="C1386" s="8" t="s">
        <v>213</v>
      </c>
      <c r="D1386" s="1"/>
      <c r="E1386" s="104"/>
      <c r="F1386" s="7">
        <f t="shared" si="306"/>
        <v>350</v>
      </c>
      <c r="G1386" s="7">
        <f t="shared" si="306"/>
        <v>0</v>
      </c>
      <c r="H1386" s="35">
        <f t="shared" si="297"/>
        <v>350</v>
      </c>
      <c r="I1386" s="7">
        <f t="shared" si="306"/>
        <v>0</v>
      </c>
      <c r="J1386" s="35">
        <f t="shared" si="296"/>
        <v>350</v>
      </c>
      <c r="K1386" s="7">
        <f t="shared" si="306"/>
        <v>-77</v>
      </c>
      <c r="L1386" s="35">
        <f t="shared" si="302"/>
        <v>273</v>
      </c>
      <c r="M1386" s="7">
        <f t="shared" si="306"/>
        <v>0</v>
      </c>
      <c r="N1386" s="35">
        <f t="shared" si="303"/>
        <v>273</v>
      </c>
      <c r="O1386" s="7">
        <f t="shared" si="306"/>
        <v>0</v>
      </c>
      <c r="P1386" s="35">
        <f t="shared" si="294"/>
        <v>273</v>
      </c>
      <c r="Q1386" s="7">
        <f t="shared" si="306"/>
        <v>20</v>
      </c>
      <c r="R1386" s="35">
        <f t="shared" si="291"/>
        <v>293</v>
      </c>
      <c r="S1386" s="7">
        <f t="shared" si="306"/>
        <v>0</v>
      </c>
      <c r="T1386" s="35">
        <f t="shared" si="305"/>
        <v>293</v>
      </c>
    </row>
    <row r="1387" spans="1:20">
      <c r="A1387" s="12" t="s">
        <v>237</v>
      </c>
      <c r="B1387" s="45" t="s">
        <v>132</v>
      </c>
      <c r="C1387" s="8" t="s">
        <v>213</v>
      </c>
      <c r="D1387" s="1" t="s">
        <v>190</v>
      </c>
      <c r="E1387" s="104"/>
      <c r="F1387" s="7">
        <f t="shared" si="306"/>
        <v>350</v>
      </c>
      <c r="G1387" s="7">
        <f t="shared" si="306"/>
        <v>0</v>
      </c>
      <c r="H1387" s="35">
        <f t="shared" si="297"/>
        <v>350</v>
      </c>
      <c r="I1387" s="7">
        <f t="shared" si="306"/>
        <v>0</v>
      </c>
      <c r="J1387" s="35">
        <f t="shared" si="296"/>
        <v>350</v>
      </c>
      <c r="K1387" s="7">
        <f t="shared" si="306"/>
        <v>-77</v>
      </c>
      <c r="L1387" s="35">
        <f t="shared" si="302"/>
        <v>273</v>
      </c>
      <c r="M1387" s="7">
        <f t="shared" si="306"/>
        <v>0</v>
      </c>
      <c r="N1387" s="35">
        <f t="shared" si="303"/>
        <v>273</v>
      </c>
      <c r="O1387" s="7">
        <f t="shared" si="306"/>
        <v>0</v>
      </c>
      <c r="P1387" s="35">
        <f t="shared" si="294"/>
        <v>273</v>
      </c>
      <c r="Q1387" s="7">
        <f t="shared" si="306"/>
        <v>20</v>
      </c>
      <c r="R1387" s="35">
        <f t="shared" si="291"/>
        <v>293</v>
      </c>
      <c r="S1387" s="7">
        <f t="shared" si="306"/>
        <v>0</v>
      </c>
      <c r="T1387" s="35">
        <f t="shared" si="305"/>
        <v>293</v>
      </c>
    </row>
    <row r="1388" spans="1:20">
      <c r="A1388" s="61" t="str">
        <f ca="1">IF(ISERROR(MATCH(E1388,Код_КВР,0)),"",INDIRECT(ADDRESS(MATCH(E1388,Код_КВР,0)+1,2,,,"КВР")))</f>
        <v>Закупка товаров, работ и услуг для муниципальных нужд</v>
      </c>
      <c r="B1388" s="45" t="s">
        <v>132</v>
      </c>
      <c r="C1388" s="8" t="s">
        <v>213</v>
      </c>
      <c r="D1388" s="1" t="s">
        <v>190</v>
      </c>
      <c r="E1388" s="104">
        <v>200</v>
      </c>
      <c r="F1388" s="7">
        <f t="shared" si="306"/>
        <v>350</v>
      </c>
      <c r="G1388" s="7">
        <f t="shared" si="306"/>
        <v>0</v>
      </c>
      <c r="H1388" s="35">
        <f t="shared" si="297"/>
        <v>350</v>
      </c>
      <c r="I1388" s="7">
        <f t="shared" si="306"/>
        <v>0</v>
      </c>
      <c r="J1388" s="35">
        <f t="shared" si="296"/>
        <v>350</v>
      </c>
      <c r="K1388" s="7">
        <f t="shared" si="306"/>
        <v>-77</v>
      </c>
      <c r="L1388" s="35">
        <f t="shared" si="302"/>
        <v>273</v>
      </c>
      <c r="M1388" s="7">
        <f t="shared" si="306"/>
        <v>0</v>
      </c>
      <c r="N1388" s="35">
        <f t="shared" si="303"/>
        <v>273</v>
      </c>
      <c r="O1388" s="7">
        <f t="shared" si="306"/>
        <v>0</v>
      </c>
      <c r="P1388" s="35">
        <f t="shared" si="294"/>
        <v>273</v>
      </c>
      <c r="Q1388" s="7">
        <f t="shared" si="306"/>
        <v>20</v>
      </c>
      <c r="R1388" s="35">
        <f t="shared" si="291"/>
        <v>293</v>
      </c>
      <c r="S1388" s="7">
        <f t="shared" si="306"/>
        <v>0</v>
      </c>
      <c r="T1388" s="35">
        <f t="shared" si="305"/>
        <v>293</v>
      </c>
    </row>
    <row r="1389" spans="1:20" ht="33">
      <c r="A1389" s="61" t="str">
        <f ca="1">IF(ISERROR(MATCH(E1389,Код_КВР,0)),"",INDIRECT(ADDRESS(MATCH(E1389,Код_КВР,0)+1,2,,,"КВР")))</f>
        <v>Иные закупки товаров, работ и услуг для обеспечения муниципальных нужд</v>
      </c>
      <c r="B1389" s="45" t="s">
        <v>132</v>
      </c>
      <c r="C1389" s="8" t="s">
        <v>213</v>
      </c>
      <c r="D1389" s="1" t="s">
        <v>190</v>
      </c>
      <c r="E1389" s="104">
        <v>240</v>
      </c>
      <c r="F1389" s="7">
        <f t="shared" si="306"/>
        <v>350</v>
      </c>
      <c r="G1389" s="7">
        <f t="shared" si="306"/>
        <v>0</v>
      </c>
      <c r="H1389" s="35">
        <f t="shared" si="297"/>
        <v>350</v>
      </c>
      <c r="I1389" s="7">
        <f t="shared" si="306"/>
        <v>0</v>
      </c>
      <c r="J1389" s="35">
        <f t="shared" si="296"/>
        <v>350</v>
      </c>
      <c r="K1389" s="7">
        <f t="shared" si="306"/>
        <v>-77</v>
      </c>
      <c r="L1389" s="35">
        <f t="shared" si="302"/>
        <v>273</v>
      </c>
      <c r="M1389" s="7">
        <f t="shared" si="306"/>
        <v>0</v>
      </c>
      <c r="N1389" s="35">
        <f t="shared" si="303"/>
        <v>273</v>
      </c>
      <c r="O1389" s="7">
        <f t="shared" si="306"/>
        <v>0</v>
      </c>
      <c r="P1389" s="35">
        <f t="shared" si="294"/>
        <v>273</v>
      </c>
      <c r="Q1389" s="7">
        <f t="shared" si="306"/>
        <v>20</v>
      </c>
      <c r="R1389" s="35">
        <f t="shared" si="291"/>
        <v>293</v>
      </c>
      <c r="S1389" s="7">
        <f t="shared" si="306"/>
        <v>0</v>
      </c>
      <c r="T1389" s="35">
        <f t="shared" si="305"/>
        <v>293</v>
      </c>
    </row>
    <row r="1390" spans="1:20" ht="33">
      <c r="A1390" s="61" t="str">
        <f ca="1">IF(ISERROR(MATCH(E1390,Код_КВР,0)),"",INDIRECT(ADDRESS(MATCH(E1390,Код_КВР,0)+1,2,,,"КВР")))</f>
        <v xml:space="preserve">Прочая закупка товаров, работ и услуг для обеспечения муниципальных нужд         </v>
      </c>
      <c r="B1390" s="45" t="s">
        <v>132</v>
      </c>
      <c r="C1390" s="8" t="s">
        <v>213</v>
      </c>
      <c r="D1390" s="1" t="s">
        <v>190</v>
      </c>
      <c r="E1390" s="104">
        <v>244</v>
      </c>
      <c r="F1390" s="7">
        <f>прил.6!G130</f>
        <v>350</v>
      </c>
      <c r="G1390" s="7">
        <f>прил.6!H130</f>
        <v>0</v>
      </c>
      <c r="H1390" s="35">
        <f t="shared" si="297"/>
        <v>350</v>
      </c>
      <c r="I1390" s="7">
        <f>прил.6!J130</f>
        <v>0</v>
      </c>
      <c r="J1390" s="35">
        <f t="shared" si="296"/>
        <v>350</v>
      </c>
      <c r="K1390" s="7">
        <f>прил.6!L130</f>
        <v>-77</v>
      </c>
      <c r="L1390" s="35">
        <f t="shared" si="302"/>
        <v>273</v>
      </c>
      <c r="M1390" s="7">
        <f>прил.6!N130</f>
        <v>0</v>
      </c>
      <c r="N1390" s="35">
        <f t="shared" si="303"/>
        <v>273</v>
      </c>
      <c r="O1390" s="7">
        <f>прил.6!P130</f>
        <v>0</v>
      </c>
      <c r="P1390" s="35">
        <f t="shared" si="294"/>
        <v>273</v>
      </c>
      <c r="Q1390" s="7">
        <f>прил.6!R130</f>
        <v>20</v>
      </c>
      <c r="R1390" s="35">
        <f t="shared" si="291"/>
        <v>293</v>
      </c>
      <c r="S1390" s="7">
        <f>прил.6!T130</f>
        <v>0</v>
      </c>
      <c r="T1390" s="35">
        <f t="shared" si="305"/>
        <v>293</v>
      </c>
    </row>
    <row r="1391" spans="1:20">
      <c r="A1391" s="61" t="str">
        <f ca="1">IF(ISERROR(MATCH(B1391,Код_КЦСР,0)),"",INDIRECT(ADDRESS(MATCH(B1391,Код_КЦСР,0)+1,2,,,"КЦСР")))</f>
        <v>Повышение престижа муниципальной службы в городе</v>
      </c>
      <c r="B1391" s="45" t="s">
        <v>133</v>
      </c>
      <c r="C1391" s="8"/>
      <c r="D1391" s="1"/>
      <c r="E1391" s="104"/>
      <c r="F1391" s="7">
        <f t="shared" ref="F1391:S1394" si="307">F1392</f>
        <v>13440</v>
      </c>
      <c r="G1391" s="7">
        <f t="shared" si="307"/>
        <v>0</v>
      </c>
      <c r="H1391" s="35">
        <f t="shared" si="297"/>
        <v>13440</v>
      </c>
      <c r="I1391" s="7">
        <f t="shared" si="307"/>
        <v>0</v>
      </c>
      <c r="J1391" s="35">
        <f t="shared" si="296"/>
        <v>13440</v>
      </c>
      <c r="K1391" s="7">
        <f t="shared" si="307"/>
        <v>0</v>
      </c>
      <c r="L1391" s="35">
        <f t="shared" si="302"/>
        <v>13440</v>
      </c>
      <c r="M1391" s="7">
        <f t="shared" si="307"/>
        <v>0</v>
      </c>
      <c r="N1391" s="35">
        <f t="shared" si="303"/>
        <v>13440</v>
      </c>
      <c r="O1391" s="7">
        <f t="shared" si="307"/>
        <v>0</v>
      </c>
      <c r="P1391" s="35">
        <f t="shared" si="294"/>
        <v>13440</v>
      </c>
      <c r="Q1391" s="7">
        <f t="shared" si="307"/>
        <v>0</v>
      </c>
      <c r="R1391" s="35">
        <f t="shared" si="291"/>
        <v>13440</v>
      </c>
      <c r="S1391" s="7">
        <f t="shared" si="307"/>
        <v>0</v>
      </c>
      <c r="T1391" s="35">
        <f t="shared" si="305"/>
        <v>13440</v>
      </c>
    </row>
    <row r="1392" spans="1:20">
      <c r="A1392" s="61" t="str">
        <f ca="1">IF(ISERROR(MATCH(C1392,Код_Раздел,0)),"",INDIRECT(ADDRESS(MATCH(C1392,Код_Раздел,0)+1,2,,,"Раздел")))</f>
        <v>Социальная политика</v>
      </c>
      <c r="B1392" s="45" t="s">
        <v>133</v>
      </c>
      <c r="C1392" s="8" t="s">
        <v>188</v>
      </c>
      <c r="D1392" s="1"/>
      <c r="E1392" s="104"/>
      <c r="F1392" s="7">
        <f t="shared" si="307"/>
        <v>13440</v>
      </c>
      <c r="G1392" s="7">
        <f t="shared" si="307"/>
        <v>0</v>
      </c>
      <c r="H1392" s="35">
        <f t="shared" si="297"/>
        <v>13440</v>
      </c>
      <c r="I1392" s="7">
        <f t="shared" si="307"/>
        <v>0</v>
      </c>
      <c r="J1392" s="35">
        <f t="shared" si="296"/>
        <v>13440</v>
      </c>
      <c r="K1392" s="7">
        <f t="shared" si="307"/>
        <v>0</v>
      </c>
      <c r="L1392" s="35">
        <f t="shared" si="302"/>
        <v>13440</v>
      </c>
      <c r="M1392" s="7">
        <f t="shared" si="307"/>
        <v>0</v>
      </c>
      <c r="N1392" s="35">
        <f t="shared" si="303"/>
        <v>13440</v>
      </c>
      <c r="O1392" s="7">
        <f t="shared" si="307"/>
        <v>0</v>
      </c>
      <c r="P1392" s="35">
        <f t="shared" si="294"/>
        <v>13440</v>
      </c>
      <c r="Q1392" s="7">
        <f t="shared" si="307"/>
        <v>0</v>
      </c>
      <c r="R1392" s="35">
        <f t="shared" si="291"/>
        <v>13440</v>
      </c>
      <c r="S1392" s="7">
        <f t="shared" si="307"/>
        <v>0</v>
      </c>
      <c r="T1392" s="35">
        <f t="shared" si="305"/>
        <v>13440</v>
      </c>
    </row>
    <row r="1393" spans="1:20">
      <c r="A1393" s="12" t="s">
        <v>185</v>
      </c>
      <c r="B1393" s="45" t="s">
        <v>133</v>
      </c>
      <c r="C1393" s="8" t="s">
        <v>188</v>
      </c>
      <c r="D1393" s="1" t="s">
        <v>213</v>
      </c>
      <c r="E1393" s="104"/>
      <c r="F1393" s="7">
        <f t="shared" si="307"/>
        <v>13440</v>
      </c>
      <c r="G1393" s="7">
        <f t="shared" si="307"/>
        <v>0</v>
      </c>
      <c r="H1393" s="35">
        <f t="shared" si="297"/>
        <v>13440</v>
      </c>
      <c r="I1393" s="7">
        <f t="shared" si="307"/>
        <v>0</v>
      </c>
      <c r="J1393" s="35">
        <f t="shared" si="296"/>
        <v>13440</v>
      </c>
      <c r="K1393" s="7">
        <f t="shared" si="307"/>
        <v>0</v>
      </c>
      <c r="L1393" s="35">
        <f t="shared" si="302"/>
        <v>13440</v>
      </c>
      <c r="M1393" s="7">
        <f t="shared" si="307"/>
        <v>0</v>
      </c>
      <c r="N1393" s="35">
        <f t="shared" si="303"/>
        <v>13440</v>
      </c>
      <c r="O1393" s="7">
        <f t="shared" si="307"/>
        <v>0</v>
      </c>
      <c r="P1393" s="35">
        <f t="shared" si="294"/>
        <v>13440</v>
      </c>
      <c r="Q1393" s="7">
        <f t="shared" si="307"/>
        <v>0</v>
      </c>
      <c r="R1393" s="35">
        <f t="shared" ref="R1393:R1462" si="308">P1393+Q1393</f>
        <v>13440</v>
      </c>
      <c r="S1393" s="7">
        <f t="shared" si="307"/>
        <v>0</v>
      </c>
      <c r="T1393" s="35">
        <f t="shared" si="305"/>
        <v>13440</v>
      </c>
    </row>
    <row r="1394" spans="1:20">
      <c r="A1394" s="61" t="str">
        <f ca="1">IF(ISERROR(MATCH(E1394,Код_КВР,0)),"",INDIRECT(ADDRESS(MATCH(E1394,Код_КВР,0)+1,2,,,"КВР")))</f>
        <v>Социальное обеспечение и иные выплаты населению</v>
      </c>
      <c r="B1394" s="45" t="s">
        <v>133</v>
      </c>
      <c r="C1394" s="8" t="s">
        <v>188</v>
      </c>
      <c r="D1394" s="1" t="s">
        <v>213</v>
      </c>
      <c r="E1394" s="104">
        <v>300</v>
      </c>
      <c r="F1394" s="7">
        <f t="shared" si="307"/>
        <v>13440</v>
      </c>
      <c r="G1394" s="7">
        <f t="shared" si="307"/>
        <v>0</v>
      </c>
      <c r="H1394" s="35">
        <f t="shared" si="297"/>
        <v>13440</v>
      </c>
      <c r="I1394" s="7">
        <f t="shared" si="307"/>
        <v>0</v>
      </c>
      <c r="J1394" s="35">
        <f t="shared" si="296"/>
        <v>13440</v>
      </c>
      <c r="K1394" s="7">
        <f t="shared" si="307"/>
        <v>0</v>
      </c>
      <c r="L1394" s="35">
        <f t="shared" si="302"/>
        <v>13440</v>
      </c>
      <c r="M1394" s="7">
        <f t="shared" si="307"/>
        <v>0</v>
      </c>
      <c r="N1394" s="35">
        <f t="shared" si="303"/>
        <v>13440</v>
      </c>
      <c r="O1394" s="7">
        <f t="shared" si="307"/>
        <v>0</v>
      </c>
      <c r="P1394" s="35">
        <f t="shared" si="294"/>
        <v>13440</v>
      </c>
      <c r="Q1394" s="7">
        <f t="shared" si="307"/>
        <v>0</v>
      </c>
      <c r="R1394" s="35">
        <f t="shared" si="308"/>
        <v>13440</v>
      </c>
      <c r="S1394" s="7">
        <f t="shared" si="307"/>
        <v>0</v>
      </c>
      <c r="T1394" s="35">
        <f t="shared" si="305"/>
        <v>13440</v>
      </c>
    </row>
    <row r="1395" spans="1:20">
      <c r="A1395" s="61" t="str">
        <f ca="1">IF(ISERROR(MATCH(E1395,Код_КВР,0)),"",INDIRECT(ADDRESS(MATCH(E1395,Код_КВР,0)+1,2,,,"КВР")))</f>
        <v>Иные выплаты населению</v>
      </c>
      <c r="B1395" s="45" t="s">
        <v>133</v>
      </c>
      <c r="C1395" s="8" t="s">
        <v>188</v>
      </c>
      <c r="D1395" s="1" t="s">
        <v>213</v>
      </c>
      <c r="E1395" s="104">
        <v>360</v>
      </c>
      <c r="F1395" s="7">
        <f>прил.6!G339</f>
        <v>13440</v>
      </c>
      <c r="G1395" s="7">
        <f>прил.6!H339</f>
        <v>0</v>
      </c>
      <c r="H1395" s="35">
        <f t="shared" si="297"/>
        <v>13440</v>
      </c>
      <c r="I1395" s="7">
        <f>прил.6!J339</f>
        <v>0</v>
      </c>
      <c r="J1395" s="35">
        <f t="shared" si="296"/>
        <v>13440</v>
      </c>
      <c r="K1395" s="7">
        <f>прил.6!L339</f>
        <v>0</v>
      </c>
      <c r="L1395" s="35">
        <f t="shared" si="302"/>
        <v>13440</v>
      </c>
      <c r="M1395" s="7">
        <f>прил.6!N339</f>
        <v>0</v>
      </c>
      <c r="N1395" s="35">
        <f t="shared" si="303"/>
        <v>13440</v>
      </c>
      <c r="O1395" s="7">
        <f>прил.6!P339</f>
        <v>0</v>
      </c>
      <c r="P1395" s="35">
        <f t="shared" si="294"/>
        <v>13440</v>
      </c>
      <c r="Q1395" s="7">
        <f>прил.6!R339</f>
        <v>0</v>
      </c>
      <c r="R1395" s="35">
        <f t="shared" si="308"/>
        <v>13440</v>
      </c>
      <c r="S1395" s="7">
        <f>прил.6!T339</f>
        <v>0</v>
      </c>
      <c r="T1395" s="35">
        <f t="shared" si="305"/>
        <v>13440</v>
      </c>
    </row>
    <row r="1396" spans="1:20" ht="68.25" customHeight="1">
      <c r="A1396" s="61" t="str">
        <f ca="1">IF(ISERROR(MATCH(B1396,Код_КЦСР,0)),"",INDIRECT(ADDRESS(MATCH(B1396,Код_КЦСР,0)+1,2,,,"КЦСР")))</f>
        <v>Снижение административных барьеров, повышение качества и доступности муниципальных услуг, в том числе на базе многофункционального центра организации предоставления государственных и муниципальных услуг</v>
      </c>
      <c r="B1396" s="45" t="s">
        <v>135</v>
      </c>
      <c r="C1396" s="8"/>
      <c r="D1396" s="1"/>
      <c r="E1396" s="104"/>
      <c r="F1396" s="7">
        <f>F1397+F1403</f>
        <v>33737.9</v>
      </c>
      <c r="G1396" s="7">
        <f>G1397+G1403</f>
        <v>0</v>
      </c>
      <c r="H1396" s="35">
        <f t="shared" si="297"/>
        <v>33737.9</v>
      </c>
      <c r="I1396" s="7">
        <f>I1397+I1403</f>
        <v>-500</v>
      </c>
      <c r="J1396" s="35">
        <f t="shared" si="296"/>
        <v>33237.9</v>
      </c>
      <c r="K1396" s="7">
        <f>K1397+K1403</f>
        <v>-130</v>
      </c>
      <c r="L1396" s="35">
        <f t="shared" si="302"/>
        <v>33107.9</v>
      </c>
      <c r="M1396" s="7">
        <f>M1397+M1403</f>
        <v>0</v>
      </c>
      <c r="N1396" s="35">
        <f t="shared" si="303"/>
        <v>33107.9</v>
      </c>
      <c r="O1396" s="7">
        <f>O1397+O1403</f>
        <v>-1200</v>
      </c>
      <c r="P1396" s="35">
        <f t="shared" si="294"/>
        <v>31907.9</v>
      </c>
      <c r="Q1396" s="7">
        <f>Q1397+Q1403</f>
        <v>-3457</v>
      </c>
      <c r="R1396" s="35">
        <f t="shared" si="308"/>
        <v>28450.9</v>
      </c>
      <c r="S1396" s="7">
        <f>S1397+S1403+S1410</f>
        <v>4597.3999999999996</v>
      </c>
      <c r="T1396" s="35">
        <f t="shared" si="305"/>
        <v>33048.300000000003</v>
      </c>
    </row>
    <row r="1397" spans="1:20">
      <c r="A1397" s="61" t="str">
        <f ca="1">IF(ISERROR(MATCH(B1397,Код_КЦСР,0)),"",INDIRECT(ADDRESS(MATCH(B1397,Код_КЦСР,0)+1,2,,,"КЦСР")))</f>
        <v>Совершенствование предоставления муниципальных услуг</v>
      </c>
      <c r="B1397" s="45" t="s">
        <v>137</v>
      </c>
      <c r="C1397" s="8"/>
      <c r="D1397" s="1"/>
      <c r="E1397" s="104"/>
      <c r="F1397" s="7">
        <f t="shared" ref="F1397:S1401" si="309">F1398</f>
        <v>5880</v>
      </c>
      <c r="G1397" s="7">
        <f t="shared" si="309"/>
        <v>0</v>
      </c>
      <c r="H1397" s="35">
        <f t="shared" si="297"/>
        <v>5880</v>
      </c>
      <c r="I1397" s="7">
        <f t="shared" si="309"/>
        <v>-500</v>
      </c>
      <c r="J1397" s="35">
        <f t="shared" si="296"/>
        <v>5380</v>
      </c>
      <c r="K1397" s="7">
        <f t="shared" si="309"/>
        <v>0</v>
      </c>
      <c r="L1397" s="35">
        <f t="shared" si="302"/>
        <v>5380</v>
      </c>
      <c r="M1397" s="7">
        <f t="shared" si="309"/>
        <v>0</v>
      </c>
      <c r="N1397" s="35">
        <f t="shared" si="303"/>
        <v>5380</v>
      </c>
      <c r="O1397" s="7">
        <f t="shared" si="309"/>
        <v>-1200</v>
      </c>
      <c r="P1397" s="35">
        <f t="shared" si="294"/>
        <v>4180</v>
      </c>
      <c r="Q1397" s="7">
        <f t="shared" si="309"/>
        <v>-3457</v>
      </c>
      <c r="R1397" s="35">
        <f t="shared" si="308"/>
        <v>723</v>
      </c>
      <c r="S1397" s="7">
        <f t="shared" si="309"/>
        <v>0</v>
      </c>
      <c r="T1397" s="35">
        <f t="shared" si="305"/>
        <v>723</v>
      </c>
    </row>
    <row r="1398" spans="1:20">
      <c r="A1398" s="61" t="str">
        <f ca="1">IF(ISERROR(MATCH(C1398,Код_Раздел,0)),"",INDIRECT(ADDRESS(MATCH(C1398,Код_Раздел,0)+1,2,,,"Раздел")))</f>
        <v>Национальная экономика</v>
      </c>
      <c r="B1398" s="45" t="s">
        <v>137</v>
      </c>
      <c r="C1398" s="8" t="s">
        <v>216</v>
      </c>
      <c r="D1398" s="1"/>
      <c r="E1398" s="104"/>
      <c r="F1398" s="7">
        <f t="shared" si="309"/>
        <v>5880</v>
      </c>
      <c r="G1398" s="7">
        <f t="shared" si="309"/>
        <v>0</v>
      </c>
      <c r="H1398" s="35">
        <f t="shared" si="297"/>
        <v>5880</v>
      </c>
      <c r="I1398" s="7">
        <f t="shared" si="309"/>
        <v>-500</v>
      </c>
      <c r="J1398" s="35">
        <f t="shared" si="296"/>
        <v>5380</v>
      </c>
      <c r="K1398" s="7">
        <f t="shared" si="309"/>
        <v>0</v>
      </c>
      <c r="L1398" s="35">
        <f t="shared" si="302"/>
        <v>5380</v>
      </c>
      <c r="M1398" s="7">
        <f t="shared" si="309"/>
        <v>0</v>
      </c>
      <c r="N1398" s="35">
        <f t="shared" si="303"/>
        <v>5380</v>
      </c>
      <c r="O1398" s="7">
        <f t="shared" si="309"/>
        <v>-1200</v>
      </c>
      <c r="P1398" s="35">
        <f t="shared" si="294"/>
        <v>4180</v>
      </c>
      <c r="Q1398" s="7">
        <f t="shared" si="309"/>
        <v>-3457</v>
      </c>
      <c r="R1398" s="35">
        <f t="shared" si="308"/>
        <v>723</v>
      </c>
      <c r="S1398" s="7">
        <f t="shared" si="309"/>
        <v>0</v>
      </c>
      <c r="T1398" s="35">
        <f t="shared" si="305"/>
        <v>723</v>
      </c>
    </row>
    <row r="1399" spans="1:20">
      <c r="A1399" s="12" t="s">
        <v>230</v>
      </c>
      <c r="B1399" s="45" t="s">
        <v>137</v>
      </c>
      <c r="C1399" s="8" t="s">
        <v>216</v>
      </c>
      <c r="D1399" s="8" t="s">
        <v>188</v>
      </c>
      <c r="E1399" s="104"/>
      <c r="F1399" s="7">
        <f t="shared" si="309"/>
        <v>5880</v>
      </c>
      <c r="G1399" s="7">
        <f t="shared" si="309"/>
        <v>0</v>
      </c>
      <c r="H1399" s="35">
        <f t="shared" si="297"/>
        <v>5880</v>
      </c>
      <c r="I1399" s="7">
        <f t="shared" si="309"/>
        <v>-500</v>
      </c>
      <c r="J1399" s="35">
        <f t="shared" si="296"/>
        <v>5380</v>
      </c>
      <c r="K1399" s="7">
        <f t="shared" si="309"/>
        <v>0</v>
      </c>
      <c r="L1399" s="35">
        <f t="shared" si="302"/>
        <v>5380</v>
      </c>
      <c r="M1399" s="7">
        <f t="shared" si="309"/>
        <v>0</v>
      </c>
      <c r="N1399" s="35">
        <f t="shared" si="303"/>
        <v>5380</v>
      </c>
      <c r="O1399" s="7">
        <f t="shared" si="309"/>
        <v>-1200</v>
      </c>
      <c r="P1399" s="35">
        <f t="shared" si="294"/>
        <v>4180</v>
      </c>
      <c r="Q1399" s="7">
        <f t="shared" si="309"/>
        <v>-3457</v>
      </c>
      <c r="R1399" s="35">
        <f t="shared" si="308"/>
        <v>723</v>
      </c>
      <c r="S1399" s="7">
        <f t="shared" si="309"/>
        <v>0</v>
      </c>
      <c r="T1399" s="35">
        <f t="shared" si="305"/>
        <v>723</v>
      </c>
    </row>
    <row r="1400" spans="1:20" ht="33">
      <c r="A1400" s="61" t="str">
        <f ca="1">IF(ISERROR(MATCH(E1400,Код_КВР,0)),"",INDIRECT(ADDRESS(MATCH(E1400,Код_КВР,0)+1,2,,,"КВР")))</f>
        <v>Предоставление субсидий бюджетным, автономным учреждениям и иным некоммерческим организациям</v>
      </c>
      <c r="B1400" s="45" t="s">
        <v>137</v>
      </c>
      <c r="C1400" s="8" t="s">
        <v>216</v>
      </c>
      <c r="D1400" s="8" t="s">
        <v>188</v>
      </c>
      <c r="E1400" s="104">
        <v>600</v>
      </c>
      <c r="F1400" s="7">
        <f t="shared" si="309"/>
        <v>5880</v>
      </c>
      <c r="G1400" s="7">
        <f t="shared" si="309"/>
        <v>0</v>
      </c>
      <c r="H1400" s="35">
        <f t="shared" si="297"/>
        <v>5880</v>
      </c>
      <c r="I1400" s="7">
        <f t="shared" si="309"/>
        <v>-500</v>
      </c>
      <c r="J1400" s="35">
        <f t="shared" si="296"/>
        <v>5380</v>
      </c>
      <c r="K1400" s="7">
        <f t="shared" si="309"/>
        <v>0</v>
      </c>
      <c r="L1400" s="35">
        <f t="shared" si="302"/>
        <v>5380</v>
      </c>
      <c r="M1400" s="7">
        <f t="shared" si="309"/>
        <v>0</v>
      </c>
      <c r="N1400" s="35">
        <f t="shared" si="303"/>
        <v>5380</v>
      </c>
      <c r="O1400" s="7">
        <f t="shared" si="309"/>
        <v>-1200</v>
      </c>
      <c r="P1400" s="35">
        <f t="shared" si="294"/>
        <v>4180</v>
      </c>
      <c r="Q1400" s="7">
        <f t="shared" si="309"/>
        <v>-3457</v>
      </c>
      <c r="R1400" s="35">
        <f t="shared" si="308"/>
        <v>723</v>
      </c>
      <c r="S1400" s="7">
        <f t="shared" si="309"/>
        <v>0</v>
      </c>
      <c r="T1400" s="35">
        <f t="shared" si="305"/>
        <v>723</v>
      </c>
    </row>
    <row r="1401" spans="1:20">
      <c r="A1401" s="61" t="str">
        <f ca="1">IF(ISERROR(MATCH(E1401,Код_КВР,0)),"",INDIRECT(ADDRESS(MATCH(E1401,Код_КВР,0)+1,2,,,"КВР")))</f>
        <v>Субсидии бюджетным учреждениям</v>
      </c>
      <c r="B1401" s="45" t="s">
        <v>137</v>
      </c>
      <c r="C1401" s="8" t="s">
        <v>216</v>
      </c>
      <c r="D1401" s="8" t="s">
        <v>188</v>
      </c>
      <c r="E1401" s="104">
        <v>610</v>
      </c>
      <c r="F1401" s="7">
        <f t="shared" si="309"/>
        <v>5880</v>
      </c>
      <c r="G1401" s="7">
        <f t="shared" si="309"/>
        <v>0</v>
      </c>
      <c r="H1401" s="35">
        <f t="shared" si="297"/>
        <v>5880</v>
      </c>
      <c r="I1401" s="7">
        <f t="shared" si="309"/>
        <v>-500</v>
      </c>
      <c r="J1401" s="35">
        <f t="shared" si="296"/>
        <v>5380</v>
      </c>
      <c r="K1401" s="7">
        <f t="shared" si="309"/>
        <v>0</v>
      </c>
      <c r="L1401" s="35">
        <f t="shared" si="302"/>
        <v>5380</v>
      </c>
      <c r="M1401" s="7">
        <f t="shared" si="309"/>
        <v>0</v>
      </c>
      <c r="N1401" s="35">
        <f t="shared" si="303"/>
        <v>5380</v>
      </c>
      <c r="O1401" s="7">
        <f t="shared" si="309"/>
        <v>-1200</v>
      </c>
      <c r="P1401" s="35">
        <f t="shared" ref="P1401:P1470" si="310">N1401+O1401</f>
        <v>4180</v>
      </c>
      <c r="Q1401" s="7">
        <f t="shared" si="309"/>
        <v>-3457</v>
      </c>
      <c r="R1401" s="35">
        <f t="shared" si="308"/>
        <v>723</v>
      </c>
      <c r="S1401" s="7">
        <f t="shared" si="309"/>
        <v>0</v>
      </c>
      <c r="T1401" s="35">
        <f t="shared" si="305"/>
        <v>723</v>
      </c>
    </row>
    <row r="1402" spans="1:20">
      <c r="A1402" s="61" t="str">
        <f ca="1">IF(ISERROR(MATCH(E1402,Код_КВР,0)),"",INDIRECT(ADDRESS(MATCH(E1402,Код_КВР,0)+1,2,,,"КВР")))</f>
        <v>Субсидии бюджетным учреждениям на иные цели</v>
      </c>
      <c r="B1402" s="45" t="s">
        <v>137</v>
      </c>
      <c r="C1402" s="8" t="s">
        <v>216</v>
      </c>
      <c r="D1402" s="8" t="s">
        <v>188</v>
      </c>
      <c r="E1402" s="104">
        <v>612</v>
      </c>
      <c r="F1402" s="7">
        <f>прил.6!G266</f>
        <v>5880</v>
      </c>
      <c r="G1402" s="7">
        <f>прил.6!H266</f>
        <v>0</v>
      </c>
      <c r="H1402" s="35">
        <f t="shared" si="297"/>
        <v>5880</v>
      </c>
      <c r="I1402" s="7">
        <f>прил.6!J266</f>
        <v>-500</v>
      </c>
      <c r="J1402" s="35">
        <f t="shared" ref="J1402:J1470" si="311">H1402+I1402</f>
        <v>5380</v>
      </c>
      <c r="K1402" s="7">
        <f>прил.6!L266</f>
        <v>0</v>
      </c>
      <c r="L1402" s="35">
        <f t="shared" si="302"/>
        <v>5380</v>
      </c>
      <c r="M1402" s="7">
        <f>прил.6!N266</f>
        <v>0</v>
      </c>
      <c r="N1402" s="35">
        <f t="shared" si="303"/>
        <v>5380</v>
      </c>
      <c r="O1402" s="7">
        <f>прил.6!P266</f>
        <v>-1200</v>
      </c>
      <c r="P1402" s="35">
        <f t="shared" si="310"/>
        <v>4180</v>
      </c>
      <c r="Q1402" s="7">
        <f>прил.6!R266</f>
        <v>-3457</v>
      </c>
      <c r="R1402" s="35">
        <f t="shared" si="308"/>
        <v>723</v>
      </c>
      <c r="S1402" s="7">
        <f>прил.6!T266</f>
        <v>0</v>
      </c>
      <c r="T1402" s="35">
        <f t="shared" si="305"/>
        <v>723</v>
      </c>
    </row>
    <row r="1403" spans="1:20" ht="33">
      <c r="A1403" s="61" t="str">
        <f ca="1">IF(ISERROR(MATCH(B1403,Код_КЦСР,0)),"",INDIRECT(ADDRESS(MATCH(B1403,Код_КЦСР,0)+1,2,,,"КЦСР")))</f>
        <v>Создание и организация деятельности многофункционального центра</v>
      </c>
      <c r="B1403" s="45" t="s">
        <v>139</v>
      </c>
      <c r="C1403" s="8"/>
      <c r="D1403" s="1"/>
      <c r="E1403" s="104"/>
      <c r="F1403" s="7">
        <f>F1404</f>
        <v>27857.9</v>
      </c>
      <c r="G1403" s="7">
        <f t="shared" ref="G1403:S1403" si="312">G1404</f>
        <v>0</v>
      </c>
      <c r="H1403" s="7">
        <f t="shared" si="312"/>
        <v>27857.9</v>
      </c>
      <c r="I1403" s="7">
        <f t="shared" si="312"/>
        <v>0</v>
      </c>
      <c r="J1403" s="7">
        <f t="shared" si="312"/>
        <v>27857.9</v>
      </c>
      <c r="K1403" s="7">
        <f t="shared" si="312"/>
        <v>-130</v>
      </c>
      <c r="L1403" s="7">
        <f t="shared" si="312"/>
        <v>27727.9</v>
      </c>
      <c r="M1403" s="7">
        <f t="shared" si="312"/>
        <v>0</v>
      </c>
      <c r="N1403" s="7">
        <f t="shared" si="312"/>
        <v>27727.9</v>
      </c>
      <c r="O1403" s="7">
        <f t="shared" si="312"/>
        <v>0</v>
      </c>
      <c r="P1403" s="35">
        <f t="shared" si="310"/>
        <v>27727.9</v>
      </c>
      <c r="Q1403" s="7">
        <f t="shared" si="312"/>
        <v>0</v>
      </c>
      <c r="R1403" s="35">
        <f t="shared" si="308"/>
        <v>27727.9</v>
      </c>
      <c r="S1403" s="7">
        <f t="shared" si="312"/>
        <v>0</v>
      </c>
      <c r="T1403" s="35">
        <f t="shared" si="305"/>
        <v>27727.9</v>
      </c>
    </row>
    <row r="1404" spans="1:20">
      <c r="A1404" s="61" t="str">
        <f ca="1">IF(ISERROR(MATCH(C1404,Код_Раздел,0)),"",INDIRECT(ADDRESS(MATCH(C1404,Код_Раздел,0)+1,2,,,"Раздел")))</f>
        <v>Общегосударственные  вопросы</v>
      </c>
      <c r="B1404" s="45" t="s">
        <v>139</v>
      </c>
      <c r="C1404" s="8" t="s">
        <v>213</v>
      </c>
      <c r="D1404" s="1"/>
      <c r="E1404" s="104"/>
      <c r="F1404" s="7">
        <f t="shared" ref="F1404:S1406" si="313">F1405</f>
        <v>27857.9</v>
      </c>
      <c r="G1404" s="7">
        <f t="shared" si="313"/>
        <v>0</v>
      </c>
      <c r="H1404" s="35">
        <f t="shared" si="297"/>
        <v>27857.9</v>
      </c>
      <c r="I1404" s="7">
        <f t="shared" si="313"/>
        <v>0</v>
      </c>
      <c r="J1404" s="35">
        <f t="shared" si="311"/>
        <v>27857.9</v>
      </c>
      <c r="K1404" s="7">
        <f t="shared" si="313"/>
        <v>-130</v>
      </c>
      <c r="L1404" s="35">
        <f t="shared" si="302"/>
        <v>27727.9</v>
      </c>
      <c r="M1404" s="7">
        <f t="shared" si="313"/>
        <v>0</v>
      </c>
      <c r="N1404" s="35">
        <f t="shared" ref="N1404:N1473" si="314">L1404+M1404</f>
        <v>27727.9</v>
      </c>
      <c r="O1404" s="7">
        <f t="shared" si="313"/>
        <v>0</v>
      </c>
      <c r="P1404" s="35">
        <f t="shared" si="310"/>
        <v>27727.9</v>
      </c>
      <c r="Q1404" s="7">
        <f t="shared" si="313"/>
        <v>0</v>
      </c>
      <c r="R1404" s="35">
        <f t="shared" si="308"/>
        <v>27727.9</v>
      </c>
      <c r="S1404" s="7">
        <f t="shared" si="313"/>
        <v>0</v>
      </c>
      <c r="T1404" s="35">
        <f t="shared" si="305"/>
        <v>27727.9</v>
      </c>
    </row>
    <row r="1405" spans="1:20">
      <c r="A1405" s="12" t="s">
        <v>237</v>
      </c>
      <c r="B1405" s="45" t="s">
        <v>139</v>
      </c>
      <c r="C1405" s="8" t="s">
        <v>213</v>
      </c>
      <c r="D1405" s="1" t="s">
        <v>190</v>
      </c>
      <c r="E1405" s="104"/>
      <c r="F1405" s="7">
        <f t="shared" si="313"/>
        <v>27857.9</v>
      </c>
      <c r="G1405" s="7">
        <f t="shared" si="313"/>
        <v>0</v>
      </c>
      <c r="H1405" s="35">
        <f t="shared" si="297"/>
        <v>27857.9</v>
      </c>
      <c r="I1405" s="7">
        <f t="shared" si="313"/>
        <v>0</v>
      </c>
      <c r="J1405" s="35">
        <f t="shared" si="311"/>
        <v>27857.9</v>
      </c>
      <c r="K1405" s="7">
        <f t="shared" si="313"/>
        <v>-130</v>
      </c>
      <c r="L1405" s="35">
        <f t="shared" si="302"/>
        <v>27727.9</v>
      </c>
      <c r="M1405" s="7">
        <f t="shared" si="313"/>
        <v>0</v>
      </c>
      <c r="N1405" s="35">
        <f t="shared" si="314"/>
        <v>27727.9</v>
      </c>
      <c r="O1405" s="7">
        <f t="shared" si="313"/>
        <v>0</v>
      </c>
      <c r="P1405" s="35">
        <f t="shared" si="310"/>
        <v>27727.9</v>
      </c>
      <c r="Q1405" s="7">
        <f t="shared" si="313"/>
        <v>0</v>
      </c>
      <c r="R1405" s="35">
        <f t="shared" si="308"/>
        <v>27727.9</v>
      </c>
      <c r="S1405" s="7">
        <f t="shared" si="313"/>
        <v>0</v>
      </c>
      <c r="T1405" s="35">
        <f t="shared" si="305"/>
        <v>27727.9</v>
      </c>
    </row>
    <row r="1406" spans="1:20" ht="33">
      <c r="A1406" s="61" t="str">
        <f ca="1">IF(ISERROR(MATCH(E1406,Код_КВР,0)),"",INDIRECT(ADDRESS(MATCH(E1406,Код_КВР,0)+1,2,,,"КВР")))</f>
        <v>Предоставление субсидий бюджетным, автономным учреждениям и иным некоммерческим организациям</v>
      </c>
      <c r="B1406" s="45" t="s">
        <v>139</v>
      </c>
      <c r="C1406" s="8" t="s">
        <v>213</v>
      </c>
      <c r="D1406" s="1" t="s">
        <v>190</v>
      </c>
      <c r="E1406" s="104">
        <v>600</v>
      </c>
      <c r="F1406" s="7">
        <f t="shared" si="313"/>
        <v>27857.9</v>
      </c>
      <c r="G1406" s="7">
        <f t="shared" si="313"/>
        <v>0</v>
      </c>
      <c r="H1406" s="35">
        <f t="shared" si="297"/>
        <v>27857.9</v>
      </c>
      <c r="I1406" s="7">
        <f t="shared" si="313"/>
        <v>0</v>
      </c>
      <c r="J1406" s="35">
        <f t="shared" si="311"/>
        <v>27857.9</v>
      </c>
      <c r="K1406" s="7">
        <f t="shared" si="313"/>
        <v>-130</v>
      </c>
      <c r="L1406" s="35">
        <f t="shared" si="302"/>
        <v>27727.9</v>
      </c>
      <c r="M1406" s="7">
        <f t="shared" si="313"/>
        <v>0</v>
      </c>
      <c r="N1406" s="35">
        <f t="shared" si="314"/>
        <v>27727.9</v>
      </c>
      <c r="O1406" s="7">
        <f t="shared" si="313"/>
        <v>0</v>
      </c>
      <c r="P1406" s="35">
        <f t="shared" si="310"/>
        <v>27727.9</v>
      </c>
      <c r="Q1406" s="7">
        <f t="shared" si="313"/>
        <v>0</v>
      </c>
      <c r="R1406" s="35">
        <f t="shared" si="308"/>
        <v>27727.9</v>
      </c>
      <c r="S1406" s="7">
        <f t="shared" si="313"/>
        <v>0</v>
      </c>
      <c r="T1406" s="35">
        <f t="shared" si="305"/>
        <v>27727.9</v>
      </c>
    </row>
    <row r="1407" spans="1:20">
      <c r="A1407" s="61" t="str">
        <f ca="1">IF(ISERROR(MATCH(E1407,Код_КВР,0)),"",INDIRECT(ADDRESS(MATCH(E1407,Код_КВР,0)+1,2,,,"КВР")))</f>
        <v>Субсидии бюджетным учреждениям</v>
      </c>
      <c r="B1407" s="45" t="s">
        <v>139</v>
      </c>
      <c r="C1407" s="8" t="s">
        <v>213</v>
      </c>
      <c r="D1407" s="1" t="s">
        <v>190</v>
      </c>
      <c r="E1407" s="104">
        <v>610</v>
      </c>
      <c r="F1407" s="7">
        <f>SUM(F1408:F1409)</f>
        <v>27857.9</v>
      </c>
      <c r="G1407" s="7">
        <f>SUM(G1408:G1409)</f>
        <v>0</v>
      </c>
      <c r="H1407" s="35">
        <f t="shared" si="297"/>
        <v>27857.9</v>
      </c>
      <c r="I1407" s="7">
        <f>SUM(I1408:I1409)</f>
        <v>0</v>
      </c>
      <c r="J1407" s="35">
        <f t="shared" si="311"/>
        <v>27857.9</v>
      </c>
      <c r="K1407" s="7">
        <f>SUM(K1408:K1409)</f>
        <v>-130</v>
      </c>
      <c r="L1407" s="35">
        <f t="shared" si="302"/>
        <v>27727.9</v>
      </c>
      <c r="M1407" s="7">
        <f>SUM(M1408:M1409)</f>
        <v>0</v>
      </c>
      <c r="N1407" s="35">
        <f t="shared" si="314"/>
        <v>27727.9</v>
      </c>
      <c r="O1407" s="7">
        <f>SUM(O1408:O1409)</f>
        <v>0</v>
      </c>
      <c r="P1407" s="35">
        <f t="shared" si="310"/>
        <v>27727.9</v>
      </c>
      <c r="Q1407" s="7">
        <f>SUM(Q1408:Q1409)</f>
        <v>0</v>
      </c>
      <c r="R1407" s="35">
        <f t="shared" si="308"/>
        <v>27727.9</v>
      </c>
      <c r="S1407" s="7">
        <f>SUM(S1408:S1409)</f>
        <v>0</v>
      </c>
      <c r="T1407" s="35">
        <f t="shared" si="305"/>
        <v>27727.9</v>
      </c>
    </row>
    <row r="1408" spans="1:20" ht="49.5">
      <c r="A1408" s="61" t="str">
        <f ca="1">IF(ISERROR(MATCH(E1408,Код_КВР,0)),"",INDIRECT(ADDRESS(MATCH(E1408,Код_КВР,0)+1,2,,,"КВР")))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408" s="45" t="s">
        <v>139</v>
      </c>
      <c r="C1408" s="8" t="s">
        <v>213</v>
      </c>
      <c r="D1408" s="1" t="s">
        <v>190</v>
      </c>
      <c r="E1408" s="104">
        <v>611</v>
      </c>
      <c r="F1408" s="7">
        <f>прил.6!G135</f>
        <v>27757.9</v>
      </c>
      <c r="G1408" s="7">
        <f>прил.6!H135</f>
        <v>0</v>
      </c>
      <c r="H1408" s="35">
        <f t="shared" si="297"/>
        <v>27757.9</v>
      </c>
      <c r="I1408" s="7">
        <f>прил.6!J135</f>
        <v>0</v>
      </c>
      <c r="J1408" s="35">
        <f t="shared" si="311"/>
        <v>27757.9</v>
      </c>
      <c r="K1408" s="7">
        <f>прил.6!L135</f>
        <v>-130</v>
      </c>
      <c r="L1408" s="35">
        <f t="shared" si="302"/>
        <v>27627.9</v>
      </c>
      <c r="M1408" s="7">
        <f>прил.6!N135</f>
        <v>0</v>
      </c>
      <c r="N1408" s="35">
        <f t="shared" si="314"/>
        <v>27627.9</v>
      </c>
      <c r="O1408" s="7">
        <f>прил.6!P135</f>
        <v>0</v>
      </c>
      <c r="P1408" s="35">
        <f t="shared" si="310"/>
        <v>27627.9</v>
      </c>
      <c r="Q1408" s="7">
        <f>прил.6!R135</f>
        <v>0</v>
      </c>
      <c r="R1408" s="35">
        <f t="shared" si="308"/>
        <v>27627.9</v>
      </c>
      <c r="S1408" s="7">
        <f>прил.6!T135</f>
        <v>0</v>
      </c>
      <c r="T1408" s="35">
        <f t="shared" si="305"/>
        <v>27627.9</v>
      </c>
    </row>
    <row r="1409" spans="1:20">
      <c r="A1409" s="61" t="str">
        <f ca="1">IF(ISERROR(MATCH(E1409,Код_КВР,0)),"",INDIRECT(ADDRESS(MATCH(E1409,Код_КВР,0)+1,2,,,"КВР")))</f>
        <v>Субсидии бюджетным учреждениям на иные цели</v>
      </c>
      <c r="B1409" s="45" t="s">
        <v>139</v>
      </c>
      <c r="C1409" s="8" t="s">
        <v>213</v>
      </c>
      <c r="D1409" s="1" t="s">
        <v>190</v>
      </c>
      <c r="E1409" s="104">
        <v>612</v>
      </c>
      <c r="F1409" s="7">
        <f>прил.6!G136</f>
        <v>100</v>
      </c>
      <c r="G1409" s="7">
        <f>прил.6!H136</f>
        <v>0</v>
      </c>
      <c r="H1409" s="35">
        <f t="shared" ref="H1409:H1478" si="315">F1409+G1409</f>
        <v>100</v>
      </c>
      <c r="I1409" s="7">
        <f>прил.6!J136</f>
        <v>0</v>
      </c>
      <c r="J1409" s="35">
        <f t="shared" si="311"/>
        <v>100</v>
      </c>
      <c r="K1409" s="7">
        <f>прил.6!L136</f>
        <v>0</v>
      </c>
      <c r="L1409" s="35">
        <f t="shared" si="302"/>
        <v>100</v>
      </c>
      <c r="M1409" s="7">
        <f>прил.6!N136</f>
        <v>0</v>
      </c>
      <c r="N1409" s="35">
        <f t="shared" si="314"/>
        <v>100</v>
      </c>
      <c r="O1409" s="7">
        <f>прил.6!P136</f>
        <v>0</v>
      </c>
      <c r="P1409" s="35">
        <f t="shared" si="310"/>
        <v>100</v>
      </c>
      <c r="Q1409" s="7">
        <f>прил.6!R136</f>
        <v>0</v>
      </c>
      <c r="R1409" s="35">
        <f t="shared" si="308"/>
        <v>100</v>
      </c>
      <c r="S1409" s="7">
        <f>прил.6!T136</f>
        <v>0</v>
      </c>
      <c r="T1409" s="35">
        <f t="shared" si="305"/>
        <v>100</v>
      </c>
    </row>
    <row r="1410" spans="1:20" ht="71.25" customHeight="1">
      <c r="A1410" s="61" t="str">
        <f ca="1">IF(ISERROR(MATCH(B1410,Код_КЦСР,0)),"",INDIRECT(ADDRESS(MATCH(B1410,Код_КЦСР,0)+1,2,,,"КЦСР")))</f>
        <v>Создание и развитие сети многофункциональных центров предоставления государственных и муниципальных услуг за счет иных межбюджетных трасфертов из федерального бюджета</v>
      </c>
      <c r="B1410" s="45" t="s">
        <v>689</v>
      </c>
      <c r="C1410" s="8"/>
      <c r="D1410" s="1"/>
      <c r="E1410" s="137"/>
      <c r="F1410" s="7"/>
      <c r="G1410" s="7"/>
      <c r="H1410" s="35"/>
      <c r="I1410" s="7"/>
      <c r="J1410" s="35"/>
      <c r="K1410" s="7"/>
      <c r="L1410" s="35"/>
      <c r="M1410" s="7"/>
      <c r="N1410" s="35"/>
      <c r="O1410" s="7"/>
      <c r="P1410" s="35"/>
      <c r="Q1410" s="7"/>
      <c r="R1410" s="35"/>
      <c r="S1410" s="7">
        <f>S1411</f>
        <v>4597.3999999999996</v>
      </c>
      <c r="T1410" s="35">
        <f t="shared" si="305"/>
        <v>4597.3999999999996</v>
      </c>
    </row>
    <row r="1411" spans="1:20">
      <c r="A1411" s="61" t="str">
        <f ca="1">IF(ISERROR(MATCH(C1411,Код_Раздел,0)),"",INDIRECT(ADDRESS(MATCH(C1411,Код_Раздел,0)+1,2,,,"Раздел")))</f>
        <v>Общегосударственные  вопросы</v>
      </c>
      <c r="B1411" s="45" t="s">
        <v>689</v>
      </c>
      <c r="C1411" s="8" t="s">
        <v>213</v>
      </c>
      <c r="D1411" s="1"/>
      <c r="E1411" s="137"/>
      <c r="F1411" s="7"/>
      <c r="G1411" s="7"/>
      <c r="H1411" s="35"/>
      <c r="I1411" s="7"/>
      <c r="J1411" s="35"/>
      <c r="K1411" s="7"/>
      <c r="L1411" s="35"/>
      <c r="M1411" s="7"/>
      <c r="N1411" s="35"/>
      <c r="O1411" s="7"/>
      <c r="P1411" s="35"/>
      <c r="Q1411" s="7"/>
      <c r="R1411" s="35"/>
      <c r="S1411" s="7">
        <f>S1412</f>
        <v>4597.3999999999996</v>
      </c>
      <c r="T1411" s="35">
        <f t="shared" si="305"/>
        <v>4597.3999999999996</v>
      </c>
    </row>
    <row r="1412" spans="1:20">
      <c r="A1412" s="12" t="s">
        <v>237</v>
      </c>
      <c r="B1412" s="45" t="s">
        <v>689</v>
      </c>
      <c r="C1412" s="8" t="s">
        <v>213</v>
      </c>
      <c r="D1412" s="1" t="s">
        <v>190</v>
      </c>
      <c r="E1412" s="137"/>
      <c r="F1412" s="7"/>
      <c r="G1412" s="7"/>
      <c r="H1412" s="35"/>
      <c r="I1412" s="7"/>
      <c r="J1412" s="35"/>
      <c r="K1412" s="7"/>
      <c r="L1412" s="35"/>
      <c r="M1412" s="7"/>
      <c r="N1412" s="35"/>
      <c r="O1412" s="7"/>
      <c r="P1412" s="35"/>
      <c r="Q1412" s="7"/>
      <c r="R1412" s="35"/>
      <c r="S1412" s="7">
        <f>S1413</f>
        <v>4597.3999999999996</v>
      </c>
      <c r="T1412" s="35">
        <f t="shared" si="305"/>
        <v>4597.3999999999996</v>
      </c>
    </row>
    <row r="1413" spans="1:20" ht="33">
      <c r="A1413" s="61" t="str">
        <f ca="1">IF(ISERROR(MATCH(E1413,Код_КВР,0)),"",INDIRECT(ADDRESS(MATCH(E1413,Код_КВР,0)+1,2,,,"КВР")))</f>
        <v>Предоставление субсидий бюджетным, автономным учреждениям и иным некоммерческим организациям</v>
      </c>
      <c r="B1413" s="45" t="s">
        <v>689</v>
      </c>
      <c r="C1413" s="8" t="s">
        <v>213</v>
      </c>
      <c r="D1413" s="1" t="s">
        <v>190</v>
      </c>
      <c r="E1413" s="137">
        <v>600</v>
      </c>
      <c r="F1413" s="7"/>
      <c r="G1413" s="7"/>
      <c r="H1413" s="35"/>
      <c r="I1413" s="7"/>
      <c r="J1413" s="35"/>
      <c r="K1413" s="7"/>
      <c r="L1413" s="35"/>
      <c r="M1413" s="7"/>
      <c r="N1413" s="35"/>
      <c r="O1413" s="7"/>
      <c r="P1413" s="35"/>
      <c r="Q1413" s="7"/>
      <c r="R1413" s="35"/>
      <c r="S1413" s="7">
        <f>S1414</f>
        <v>4597.3999999999996</v>
      </c>
      <c r="T1413" s="35">
        <f t="shared" si="305"/>
        <v>4597.3999999999996</v>
      </c>
    </row>
    <row r="1414" spans="1:20">
      <c r="A1414" s="61" t="str">
        <f ca="1">IF(ISERROR(MATCH(E1414,Код_КВР,0)),"",INDIRECT(ADDRESS(MATCH(E1414,Код_КВР,0)+1,2,,,"КВР")))</f>
        <v>Субсидии бюджетным учреждениям</v>
      </c>
      <c r="B1414" s="45" t="s">
        <v>689</v>
      </c>
      <c r="C1414" s="8" t="s">
        <v>213</v>
      </c>
      <c r="D1414" s="1" t="s">
        <v>190</v>
      </c>
      <c r="E1414" s="137">
        <v>610</v>
      </c>
      <c r="F1414" s="7"/>
      <c r="G1414" s="7"/>
      <c r="H1414" s="35"/>
      <c r="I1414" s="7"/>
      <c r="J1414" s="35"/>
      <c r="K1414" s="7"/>
      <c r="L1414" s="35"/>
      <c r="M1414" s="7"/>
      <c r="N1414" s="35"/>
      <c r="O1414" s="7"/>
      <c r="P1414" s="35"/>
      <c r="Q1414" s="7"/>
      <c r="R1414" s="35"/>
      <c r="S1414" s="7">
        <f>S1415</f>
        <v>4597.3999999999996</v>
      </c>
      <c r="T1414" s="35">
        <f t="shared" si="305"/>
        <v>4597.3999999999996</v>
      </c>
    </row>
    <row r="1415" spans="1:20" ht="16.5" customHeight="1">
      <c r="A1415" s="61" t="str">
        <f ca="1">IF(ISERROR(MATCH(E1415,Код_КВР,0)),"",INDIRECT(ADDRESS(MATCH(E1415,Код_КВР,0)+1,2,,,"КВР")))</f>
        <v>Субсидии бюджетным учреждениям на иные цели</v>
      </c>
      <c r="B1415" s="45" t="s">
        <v>689</v>
      </c>
      <c r="C1415" s="8" t="s">
        <v>213</v>
      </c>
      <c r="D1415" s="1" t="s">
        <v>190</v>
      </c>
      <c r="E1415" s="137">
        <v>612</v>
      </c>
      <c r="F1415" s="7"/>
      <c r="G1415" s="7"/>
      <c r="H1415" s="35"/>
      <c r="I1415" s="7"/>
      <c r="J1415" s="35"/>
      <c r="K1415" s="7"/>
      <c r="L1415" s="35"/>
      <c r="M1415" s="7"/>
      <c r="N1415" s="35"/>
      <c r="O1415" s="7"/>
      <c r="P1415" s="35"/>
      <c r="Q1415" s="7"/>
      <c r="R1415" s="35"/>
      <c r="S1415" s="7">
        <f>прил.6!T140</f>
        <v>4597.3999999999996</v>
      </c>
      <c r="T1415" s="35">
        <f t="shared" si="305"/>
        <v>4597.3999999999996</v>
      </c>
    </row>
    <row r="1416" spans="1:20" ht="49.5">
      <c r="A1416" s="61" t="str">
        <f ca="1">IF(ISERROR(MATCH(B1416,Код_КЦСР,0)),"",INDIRECT(ADDRESS(MATCH(B1416,Код_КЦСР,0)+1,2,,,"КЦСР")))</f>
        <v>Муниципальная программа «Содействие развитию институтов гражданского общества и информационной открытости органов местного самоуправления в городе Череповце» на 2014-2018 годы</v>
      </c>
      <c r="B1416" s="45" t="s">
        <v>141</v>
      </c>
      <c r="C1416" s="8"/>
      <c r="D1416" s="1"/>
      <c r="E1416" s="104"/>
      <c r="F1416" s="7">
        <f>F1417+F1423+F1434+F1440+F1446+F1458</f>
        <v>46053.3</v>
      </c>
      <c r="G1416" s="7">
        <f>G1417+G1423+G1434+G1440+G1446+G1458</f>
        <v>0</v>
      </c>
      <c r="H1416" s="35">
        <f t="shared" si="315"/>
        <v>46053.3</v>
      </c>
      <c r="I1416" s="7">
        <f>I1417+I1423+I1434+I1440+I1446+I1458</f>
        <v>126.5</v>
      </c>
      <c r="J1416" s="35">
        <f t="shared" si="311"/>
        <v>46179.8</v>
      </c>
      <c r="K1416" s="7">
        <f>K1417+K1423+K1434+K1440+K1446+K1458</f>
        <v>-133.9</v>
      </c>
      <c r="L1416" s="35">
        <f t="shared" si="302"/>
        <v>46045.9</v>
      </c>
      <c r="M1416" s="7">
        <f>M1417+M1423+M1434+M1440+M1446+M1458</f>
        <v>240.5</v>
      </c>
      <c r="N1416" s="35">
        <f t="shared" si="314"/>
        <v>46286.400000000001</v>
      </c>
      <c r="O1416" s="7">
        <f>O1417+O1423+O1434+O1440+O1446+O1458</f>
        <v>0</v>
      </c>
      <c r="P1416" s="35">
        <f t="shared" si="310"/>
        <v>46286.400000000001</v>
      </c>
      <c r="Q1416" s="7">
        <f>Q1417+Q1423+Q1434+Q1440+Q1446+Q1458</f>
        <v>4297.7000000000007</v>
      </c>
      <c r="R1416" s="35">
        <f t="shared" si="308"/>
        <v>50584.100000000006</v>
      </c>
      <c r="S1416" s="7">
        <f>S1417+S1423+S1434+S1440+S1446+S1458</f>
        <v>400</v>
      </c>
      <c r="T1416" s="35">
        <f t="shared" si="305"/>
        <v>50984.100000000006</v>
      </c>
    </row>
    <row r="1417" spans="1:20" ht="49.5" hidden="1">
      <c r="A1417" s="61" t="str">
        <f ca="1">IF(ISERROR(MATCH(B1417,Код_КЦСР,0)),"",INDIRECT(ADDRESS(MATCH(B1417,Код_КЦСР,0)+1,2,,,"КЦСР")))</f>
        <v>Формирование положительного имиджа Череповца, как социально ориентированного города, посредством изготовления и размещения социальной рекламы</v>
      </c>
      <c r="B1417" s="45" t="s">
        <v>142</v>
      </c>
      <c r="C1417" s="8"/>
      <c r="D1417" s="1"/>
      <c r="E1417" s="104"/>
      <c r="F1417" s="7">
        <f t="shared" ref="F1417:S1421" si="316">F1418</f>
        <v>72</v>
      </c>
      <c r="G1417" s="7">
        <f t="shared" si="316"/>
        <v>0</v>
      </c>
      <c r="H1417" s="35">
        <f t="shared" si="315"/>
        <v>72</v>
      </c>
      <c r="I1417" s="7">
        <f t="shared" si="316"/>
        <v>0</v>
      </c>
      <c r="J1417" s="35">
        <f t="shared" si="311"/>
        <v>72</v>
      </c>
      <c r="K1417" s="7">
        <f t="shared" si="316"/>
        <v>-72</v>
      </c>
      <c r="L1417" s="35">
        <f t="shared" si="302"/>
        <v>0</v>
      </c>
      <c r="M1417" s="7">
        <f t="shared" si="316"/>
        <v>0</v>
      </c>
      <c r="N1417" s="35">
        <f t="shared" si="314"/>
        <v>0</v>
      </c>
      <c r="O1417" s="7">
        <f t="shared" si="316"/>
        <v>0</v>
      </c>
      <c r="P1417" s="35">
        <f t="shared" si="310"/>
        <v>0</v>
      </c>
      <c r="Q1417" s="7">
        <f t="shared" si="316"/>
        <v>0</v>
      </c>
      <c r="R1417" s="35">
        <f t="shared" si="308"/>
        <v>0</v>
      </c>
      <c r="S1417" s="7">
        <f t="shared" si="316"/>
        <v>0</v>
      </c>
      <c r="T1417" s="35">
        <f t="shared" si="305"/>
        <v>0</v>
      </c>
    </row>
    <row r="1418" spans="1:20" hidden="1">
      <c r="A1418" s="61" t="str">
        <f ca="1">IF(ISERROR(MATCH(C1418,Код_Раздел,0)),"",INDIRECT(ADDRESS(MATCH(C1418,Код_Раздел,0)+1,2,,,"Раздел")))</f>
        <v>Общегосударственные  вопросы</v>
      </c>
      <c r="B1418" s="45" t="s">
        <v>142</v>
      </c>
      <c r="C1418" s="8" t="s">
        <v>213</v>
      </c>
      <c r="D1418" s="1"/>
      <c r="E1418" s="104"/>
      <c r="F1418" s="7">
        <f t="shared" si="316"/>
        <v>72</v>
      </c>
      <c r="G1418" s="7">
        <f t="shared" si="316"/>
        <v>0</v>
      </c>
      <c r="H1418" s="35">
        <f t="shared" si="315"/>
        <v>72</v>
      </c>
      <c r="I1418" s="7">
        <f t="shared" si="316"/>
        <v>0</v>
      </c>
      <c r="J1418" s="35">
        <f t="shared" si="311"/>
        <v>72</v>
      </c>
      <c r="K1418" s="7">
        <f t="shared" si="316"/>
        <v>-72</v>
      </c>
      <c r="L1418" s="35">
        <f t="shared" si="302"/>
        <v>0</v>
      </c>
      <c r="M1418" s="7">
        <f t="shared" si="316"/>
        <v>0</v>
      </c>
      <c r="N1418" s="35">
        <f t="shared" si="314"/>
        <v>0</v>
      </c>
      <c r="O1418" s="7">
        <f t="shared" si="316"/>
        <v>0</v>
      </c>
      <c r="P1418" s="35">
        <f t="shared" si="310"/>
        <v>0</v>
      </c>
      <c r="Q1418" s="7">
        <f t="shared" si="316"/>
        <v>0</v>
      </c>
      <c r="R1418" s="35">
        <f t="shared" si="308"/>
        <v>0</v>
      </c>
      <c r="S1418" s="7">
        <f t="shared" si="316"/>
        <v>0</v>
      </c>
      <c r="T1418" s="35">
        <f t="shared" si="305"/>
        <v>0</v>
      </c>
    </row>
    <row r="1419" spans="1:20" hidden="1">
      <c r="A1419" s="12" t="s">
        <v>237</v>
      </c>
      <c r="B1419" s="45" t="s">
        <v>142</v>
      </c>
      <c r="C1419" s="8" t="s">
        <v>213</v>
      </c>
      <c r="D1419" s="1" t="s">
        <v>190</v>
      </c>
      <c r="E1419" s="104"/>
      <c r="F1419" s="7">
        <f t="shared" si="316"/>
        <v>72</v>
      </c>
      <c r="G1419" s="7">
        <f t="shared" si="316"/>
        <v>0</v>
      </c>
      <c r="H1419" s="35">
        <f t="shared" si="315"/>
        <v>72</v>
      </c>
      <c r="I1419" s="7">
        <f t="shared" si="316"/>
        <v>0</v>
      </c>
      <c r="J1419" s="35">
        <f t="shared" si="311"/>
        <v>72</v>
      </c>
      <c r="K1419" s="7">
        <f t="shared" si="316"/>
        <v>-72</v>
      </c>
      <c r="L1419" s="35">
        <f t="shared" si="302"/>
        <v>0</v>
      </c>
      <c r="M1419" s="7">
        <f t="shared" si="316"/>
        <v>0</v>
      </c>
      <c r="N1419" s="35">
        <f t="shared" si="314"/>
        <v>0</v>
      </c>
      <c r="O1419" s="7">
        <f t="shared" si="316"/>
        <v>0</v>
      </c>
      <c r="P1419" s="35">
        <f t="shared" si="310"/>
        <v>0</v>
      </c>
      <c r="Q1419" s="7">
        <f t="shared" si="316"/>
        <v>0</v>
      </c>
      <c r="R1419" s="35">
        <f t="shared" si="308"/>
        <v>0</v>
      </c>
      <c r="S1419" s="7">
        <f t="shared" si="316"/>
        <v>0</v>
      </c>
      <c r="T1419" s="35">
        <f t="shared" si="305"/>
        <v>0</v>
      </c>
    </row>
    <row r="1420" spans="1:20" hidden="1">
      <c r="A1420" s="61" t="str">
        <f ca="1">IF(ISERROR(MATCH(E1420,Код_КВР,0)),"",INDIRECT(ADDRESS(MATCH(E1420,Код_КВР,0)+1,2,,,"КВР")))</f>
        <v>Закупка товаров, работ и услуг для муниципальных нужд</v>
      </c>
      <c r="B1420" s="45" t="s">
        <v>142</v>
      </c>
      <c r="C1420" s="8" t="s">
        <v>213</v>
      </c>
      <c r="D1420" s="1" t="s">
        <v>190</v>
      </c>
      <c r="E1420" s="104">
        <v>200</v>
      </c>
      <c r="F1420" s="7">
        <f t="shared" si="316"/>
        <v>72</v>
      </c>
      <c r="G1420" s="7">
        <f t="shared" si="316"/>
        <v>0</v>
      </c>
      <c r="H1420" s="35">
        <f t="shared" si="315"/>
        <v>72</v>
      </c>
      <c r="I1420" s="7">
        <f t="shared" si="316"/>
        <v>0</v>
      </c>
      <c r="J1420" s="35">
        <f t="shared" si="311"/>
        <v>72</v>
      </c>
      <c r="K1420" s="7">
        <f t="shared" si="316"/>
        <v>-72</v>
      </c>
      <c r="L1420" s="35">
        <f t="shared" si="302"/>
        <v>0</v>
      </c>
      <c r="M1420" s="7">
        <f t="shared" si="316"/>
        <v>0</v>
      </c>
      <c r="N1420" s="35">
        <f t="shared" si="314"/>
        <v>0</v>
      </c>
      <c r="O1420" s="7">
        <f t="shared" si="316"/>
        <v>0</v>
      </c>
      <c r="P1420" s="35">
        <f t="shared" si="310"/>
        <v>0</v>
      </c>
      <c r="Q1420" s="7">
        <f t="shared" si="316"/>
        <v>0</v>
      </c>
      <c r="R1420" s="35">
        <f t="shared" si="308"/>
        <v>0</v>
      </c>
      <c r="S1420" s="7">
        <f t="shared" si="316"/>
        <v>0</v>
      </c>
      <c r="T1420" s="35">
        <f t="shared" si="305"/>
        <v>0</v>
      </c>
    </row>
    <row r="1421" spans="1:20" ht="33" hidden="1">
      <c r="A1421" s="61" t="str">
        <f ca="1">IF(ISERROR(MATCH(E1421,Код_КВР,0)),"",INDIRECT(ADDRESS(MATCH(E1421,Код_КВР,0)+1,2,,,"КВР")))</f>
        <v>Иные закупки товаров, работ и услуг для обеспечения муниципальных нужд</v>
      </c>
      <c r="B1421" s="45" t="s">
        <v>142</v>
      </c>
      <c r="C1421" s="8" t="s">
        <v>213</v>
      </c>
      <c r="D1421" s="1" t="s">
        <v>190</v>
      </c>
      <c r="E1421" s="104">
        <v>240</v>
      </c>
      <c r="F1421" s="7">
        <f t="shared" si="316"/>
        <v>72</v>
      </c>
      <c r="G1421" s="7">
        <f t="shared" si="316"/>
        <v>0</v>
      </c>
      <c r="H1421" s="35">
        <f t="shared" si="315"/>
        <v>72</v>
      </c>
      <c r="I1421" s="7">
        <f t="shared" si="316"/>
        <v>0</v>
      </c>
      <c r="J1421" s="35">
        <f t="shared" si="311"/>
        <v>72</v>
      </c>
      <c r="K1421" s="7">
        <f t="shared" si="316"/>
        <v>-72</v>
      </c>
      <c r="L1421" s="35">
        <f t="shared" si="302"/>
        <v>0</v>
      </c>
      <c r="M1421" s="7">
        <f t="shared" si="316"/>
        <v>0</v>
      </c>
      <c r="N1421" s="35">
        <f t="shared" si="314"/>
        <v>0</v>
      </c>
      <c r="O1421" s="7">
        <f t="shared" si="316"/>
        <v>0</v>
      </c>
      <c r="P1421" s="35">
        <f t="shared" si="310"/>
        <v>0</v>
      </c>
      <c r="Q1421" s="7">
        <f t="shared" si="316"/>
        <v>0</v>
      </c>
      <c r="R1421" s="35">
        <f t="shared" si="308"/>
        <v>0</v>
      </c>
      <c r="S1421" s="7">
        <f t="shared" si="316"/>
        <v>0</v>
      </c>
      <c r="T1421" s="35">
        <f t="shared" si="305"/>
        <v>0</v>
      </c>
    </row>
    <row r="1422" spans="1:20" ht="33" hidden="1">
      <c r="A1422" s="61" t="str">
        <f ca="1">IF(ISERROR(MATCH(E1422,Код_КВР,0)),"",INDIRECT(ADDRESS(MATCH(E1422,Код_КВР,0)+1,2,,,"КВР")))</f>
        <v xml:space="preserve">Прочая закупка товаров, работ и услуг для обеспечения муниципальных нужд         </v>
      </c>
      <c r="B1422" s="45" t="s">
        <v>142</v>
      </c>
      <c r="C1422" s="8" t="s">
        <v>213</v>
      </c>
      <c r="D1422" s="1" t="s">
        <v>190</v>
      </c>
      <c r="E1422" s="104">
        <v>244</v>
      </c>
      <c r="F1422" s="7">
        <f>прил.6!G145</f>
        <v>72</v>
      </c>
      <c r="G1422" s="7">
        <f>прил.6!H145</f>
        <v>0</v>
      </c>
      <c r="H1422" s="35">
        <f t="shared" si="315"/>
        <v>72</v>
      </c>
      <c r="I1422" s="7">
        <f>прил.6!J145</f>
        <v>0</v>
      </c>
      <c r="J1422" s="35">
        <f t="shared" si="311"/>
        <v>72</v>
      </c>
      <c r="K1422" s="7">
        <f>прил.6!L145</f>
        <v>-72</v>
      </c>
      <c r="L1422" s="35">
        <f t="shared" si="302"/>
        <v>0</v>
      </c>
      <c r="M1422" s="7">
        <f>прил.6!N145</f>
        <v>0</v>
      </c>
      <c r="N1422" s="35">
        <f t="shared" si="314"/>
        <v>0</v>
      </c>
      <c r="O1422" s="7">
        <f>прил.6!P145</f>
        <v>0</v>
      </c>
      <c r="P1422" s="35">
        <f t="shared" si="310"/>
        <v>0</v>
      </c>
      <c r="Q1422" s="7">
        <f>прил.6!R145</f>
        <v>0</v>
      </c>
      <c r="R1422" s="35">
        <f t="shared" si="308"/>
        <v>0</v>
      </c>
      <c r="S1422" s="7">
        <f>прил.6!T145</f>
        <v>0</v>
      </c>
      <c r="T1422" s="35">
        <f t="shared" si="305"/>
        <v>0</v>
      </c>
    </row>
    <row r="1423" spans="1:20" ht="70.5" customHeight="1">
      <c r="A1423" s="61" t="str">
        <f ca="1">IF(ISERROR(MATCH(B1423,Код_КЦСР,0)),"",INDIRECT(ADDRESS(MATCH(B1423,Код_КЦСР,0)+1,2,,,"КЦСР")))</f>
        <v>Формирование положительного имиджа Череповца на внутреннем, межрегиональном и международном уровнях посредством проведения имиджевых мероприятий, стимулирующих формирование общественного мнения</v>
      </c>
      <c r="B1423" s="45" t="s">
        <v>143</v>
      </c>
      <c r="C1423" s="8"/>
      <c r="D1423" s="1"/>
      <c r="E1423" s="104"/>
      <c r="F1423" s="7">
        <f>F1424+F1429</f>
        <v>495.7</v>
      </c>
      <c r="G1423" s="7">
        <f>G1424+G1429</f>
        <v>0</v>
      </c>
      <c r="H1423" s="35">
        <f t="shared" si="315"/>
        <v>495.7</v>
      </c>
      <c r="I1423" s="7">
        <f>I1424+I1429</f>
        <v>0</v>
      </c>
      <c r="J1423" s="35">
        <f t="shared" si="311"/>
        <v>495.7</v>
      </c>
      <c r="K1423" s="7">
        <f>K1424+K1429</f>
        <v>0</v>
      </c>
      <c r="L1423" s="35">
        <f t="shared" si="302"/>
        <v>495.7</v>
      </c>
      <c r="M1423" s="7">
        <f>M1424+M1429</f>
        <v>0</v>
      </c>
      <c r="N1423" s="35">
        <f t="shared" si="314"/>
        <v>495.7</v>
      </c>
      <c r="O1423" s="7">
        <f>O1424+O1429</f>
        <v>0</v>
      </c>
      <c r="P1423" s="35">
        <f t="shared" si="310"/>
        <v>495.7</v>
      </c>
      <c r="Q1423" s="7">
        <f>Q1424+Q1429</f>
        <v>59.5</v>
      </c>
      <c r="R1423" s="35">
        <f t="shared" si="308"/>
        <v>555.20000000000005</v>
      </c>
      <c r="S1423" s="7">
        <f>S1424+S1429</f>
        <v>0</v>
      </c>
      <c r="T1423" s="35">
        <f t="shared" si="305"/>
        <v>555.20000000000005</v>
      </c>
    </row>
    <row r="1424" spans="1:20">
      <c r="A1424" s="61" t="str">
        <f ca="1">IF(ISERROR(MATCH(C1424,Код_Раздел,0)),"",INDIRECT(ADDRESS(MATCH(C1424,Код_Раздел,0)+1,2,,,"Раздел")))</f>
        <v>Общегосударственные  вопросы</v>
      </c>
      <c r="B1424" s="45" t="s">
        <v>143</v>
      </c>
      <c r="C1424" s="8" t="s">
        <v>213</v>
      </c>
      <c r="D1424" s="1"/>
      <c r="E1424" s="104"/>
      <c r="F1424" s="7">
        <f t="shared" ref="F1424:S1427" si="317">F1425</f>
        <v>411.5</v>
      </c>
      <c r="G1424" s="7">
        <f t="shared" si="317"/>
        <v>0</v>
      </c>
      <c r="H1424" s="35">
        <f t="shared" si="315"/>
        <v>411.5</v>
      </c>
      <c r="I1424" s="7">
        <f t="shared" si="317"/>
        <v>0</v>
      </c>
      <c r="J1424" s="35">
        <f t="shared" si="311"/>
        <v>411.5</v>
      </c>
      <c r="K1424" s="7">
        <f t="shared" si="317"/>
        <v>0</v>
      </c>
      <c r="L1424" s="35">
        <f t="shared" si="302"/>
        <v>411.5</v>
      </c>
      <c r="M1424" s="7">
        <f t="shared" si="317"/>
        <v>0</v>
      </c>
      <c r="N1424" s="35">
        <f t="shared" si="314"/>
        <v>411.5</v>
      </c>
      <c r="O1424" s="7">
        <f t="shared" si="317"/>
        <v>0</v>
      </c>
      <c r="P1424" s="35">
        <f t="shared" si="310"/>
        <v>411.5</v>
      </c>
      <c r="Q1424" s="7">
        <f t="shared" si="317"/>
        <v>59.5</v>
      </c>
      <c r="R1424" s="35">
        <f t="shared" si="308"/>
        <v>471</v>
      </c>
      <c r="S1424" s="7">
        <f t="shared" si="317"/>
        <v>0</v>
      </c>
      <c r="T1424" s="35">
        <f t="shared" si="305"/>
        <v>471</v>
      </c>
    </row>
    <row r="1425" spans="1:20">
      <c r="A1425" s="12" t="s">
        <v>237</v>
      </c>
      <c r="B1425" s="45" t="s">
        <v>143</v>
      </c>
      <c r="C1425" s="8" t="s">
        <v>213</v>
      </c>
      <c r="D1425" s="1" t="s">
        <v>190</v>
      </c>
      <c r="E1425" s="104"/>
      <c r="F1425" s="7">
        <f t="shared" si="317"/>
        <v>411.5</v>
      </c>
      <c r="G1425" s="7">
        <f t="shared" si="317"/>
        <v>0</v>
      </c>
      <c r="H1425" s="35">
        <f t="shared" si="315"/>
        <v>411.5</v>
      </c>
      <c r="I1425" s="7">
        <f t="shared" si="317"/>
        <v>0</v>
      </c>
      <c r="J1425" s="35">
        <f t="shared" si="311"/>
        <v>411.5</v>
      </c>
      <c r="K1425" s="7">
        <f t="shared" si="317"/>
        <v>0</v>
      </c>
      <c r="L1425" s="35">
        <f t="shared" si="302"/>
        <v>411.5</v>
      </c>
      <c r="M1425" s="7">
        <f t="shared" si="317"/>
        <v>0</v>
      </c>
      <c r="N1425" s="35">
        <f t="shared" si="314"/>
        <v>411.5</v>
      </c>
      <c r="O1425" s="7">
        <f t="shared" si="317"/>
        <v>0</v>
      </c>
      <c r="P1425" s="35">
        <f t="shared" si="310"/>
        <v>411.5</v>
      </c>
      <c r="Q1425" s="7">
        <f t="shared" si="317"/>
        <v>59.5</v>
      </c>
      <c r="R1425" s="35">
        <f t="shared" si="308"/>
        <v>471</v>
      </c>
      <c r="S1425" s="7">
        <f t="shared" si="317"/>
        <v>0</v>
      </c>
      <c r="T1425" s="35">
        <f t="shared" si="305"/>
        <v>471</v>
      </c>
    </row>
    <row r="1426" spans="1:20">
      <c r="A1426" s="61" t="str">
        <f ca="1">IF(ISERROR(MATCH(E1426,Код_КВР,0)),"",INDIRECT(ADDRESS(MATCH(E1426,Код_КВР,0)+1,2,,,"КВР")))</f>
        <v>Закупка товаров, работ и услуг для муниципальных нужд</v>
      </c>
      <c r="B1426" s="45" t="s">
        <v>143</v>
      </c>
      <c r="C1426" s="8" t="s">
        <v>213</v>
      </c>
      <c r="D1426" s="1" t="s">
        <v>190</v>
      </c>
      <c r="E1426" s="104">
        <v>200</v>
      </c>
      <c r="F1426" s="7">
        <f t="shared" si="317"/>
        <v>411.5</v>
      </c>
      <c r="G1426" s="7">
        <f t="shared" si="317"/>
        <v>0</v>
      </c>
      <c r="H1426" s="35">
        <f t="shared" si="315"/>
        <v>411.5</v>
      </c>
      <c r="I1426" s="7">
        <f t="shared" si="317"/>
        <v>0</v>
      </c>
      <c r="J1426" s="35">
        <f t="shared" si="311"/>
        <v>411.5</v>
      </c>
      <c r="K1426" s="7">
        <f t="shared" si="317"/>
        <v>0</v>
      </c>
      <c r="L1426" s="35">
        <f t="shared" si="302"/>
        <v>411.5</v>
      </c>
      <c r="M1426" s="7">
        <f t="shared" si="317"/>
        <v>0</v>
      </c>
      <c r="N1426" s="35">
        <f t="shared" si="314"/>
        <v>411.5</v>
      </c>
      <c r="O1426" s="7">
        <f t="shared" si="317"/>
        <v>0</v>
      </c>
      <c r="P1426" s="35">
        <f t="shared" si="310"/>
        <v>411.5</v>
      </c>
      <c r="Q1426" s="7">
        <f t="shared" si="317"/>
        <v>59.5</v>
      </c>
      <c r="R1426" s="35">
        <f t="shared" si="308"/>
        <v>471</v>
      </c>
      <c r="S1426" s="7">
        <f t="shared" si="317"/>
        <v>0</v>
      </c>
      <c r="T1426" s="35">
        <f t="shared" si="305"/>
        <v>471</v>
      </c>
    </row>
    <row r="1427" spans="1:20" ht="33">
      <c r="A1427" s="61" t="str">
        <f ca="1">IF(ISERROR(MATCH(E1427,Код_КВР,0)),"",INDIRECT(ADDRESS(MATCH(E1427,Код_КВР,0)+1,2,,,"КВР")))</f>
        <v>Иные закупки товаров, работ и услуг для обеспечения муниципальных нужд</v>
      </c>
      <c r="B1427" s="45" t="s">
        <v>143</v>
      </c>
      <c r="C1427" s="8" t="s">
        <v>213</v>
      </c>
      <c r="D1427" s="1" t="s">
        <v>190</v>
      </c>
      <c r="E1427" s="104">
        <v>240</v>
      </c>
      <c r="F1427" s="7">
        <f t="shared" si="317"/>
        <v>411.5</v>
      </c>
      <c r="G1427" s="7">
        <f t="shared" si="317"/>
        <v>0</v>
      </c>
      <c r="H1427" s="35">
        <f t="shared" si="315"/>
        <v>411.5</v>
      </c>
      <c r="I1427" s="7">
        <f t="shared" si="317"/>
        <v>0</v>
      </c>
      <c r="J1427" s="35">
        <f t="shared" si="311"/>
        <v>411.5</v>
      </c>
      <c r="K1427" s="7">
        <f t="shared" si="317"/>
        <v>0</v>
      </c>
      <c r="L1427" s="35">
        <f t="shared" si="302"/>
        <v>411.5</v>
      </c>
      <c r="M1427" s="7">
        <f t="shared" si="317"/>
        <v>0</v>
      </c>
      <c r="N1427" s="35">
        <f t="shared" si="314"/>
        <v>411.5</v>
      </c>
      <c r="O1427" s="7">
        <f t="shared" si="317"/>
        <v>0</v>
      </c>
      <c r="P1427" s="35">
        <f t="shared" si="310"/>
        <v>411.5</v>
      </c>
      <c r="Q1427" s="7">
        <f t="shared" si="317"/>
        <v>59.5</v>
      </c>
      <c r="R1427" s="35">
        <f t="shared" si="308"/>
        <v>471</v>
      </c>
      <c r="S1427" s="7">
        <f t="shared" si="317"/>
        <v>0</v>
      </c>
      <c r="T1427" s="35">
        <f t="shared" si="305"/>
        <v>471</v>
      </c>
    </row>
    <row r="1428" spans="1:20" ht="33">
      <c r="A1428" s="61" t="str">
        <f ca="1">IF(ISERROR(MATCH(E1428,Код_КВР,0)),"",INDIRECT(ADDRESS(MATCH(E1428,Код_КВР,0)+1,2,,,"КВР")))</f>
        <v xml:space="preserve">Прочая закупка товаров, работ и услуг для обеспечения муниципальных нужд         </v>
      </c>
      <c r="B1428" s="45" t="s">
        <v>143</v>
      </c>
      <c r="C1428" s="8" t="s">
        <v>213</v>
      </c>
      <c r="D1428" s="1" t="s">
        <v>190</v>
      </c>
      <c r="E1428" s="104">
        <v>244</v>
      </c>
      <c r="F1428" s="7">
        <f>прил.6!G149</f>
        <v>411.5</v>
      </c>
      <c r="G1428" s="7">
        <f>прил.6!H149</f>
        <v>0</v>
      </c>
      <c r="H1428" s="35">
        <f t="shared" si="315"/>
        <v>411.5</v>
      </c>
      <c r="I1428" s="7">
        <f>прил.6!J149</f>
        <v>0</v>
      </c>
      <c r="J1428" s="35">
        <f t="shared" si="311"/>
        <v>411.5</v>
      </c>
      <c r="K1428" s="7">
        <f>прил.6!L149</f>
        <v>0</v>
      </c>
      <c r="L1428" s="35">
        <f t="shared" si="302"/>
        <v>411.5</v>
      </c>
      <c r="M1428" s="7">
        <f>прил.6!N149</f>
        <v>0</v>
      </c>
      <c r="N1428" s="35">
        <f t="shared" si="314"/>
        <v>411.5</v>
      </c>
      <c r="O1428" s="7">
        <f>прил.6!P149</f>
        <v>0</v>
      </c>
      <c r="P1428" s="35">
        <f t="shared" si="310"/>
        <v>411.5</v>
      </c>
      <c r="Q1428" s="7">
        <f>прил.6!R149</f>
        <v>59.5</v>
      </c>
      <c r="R1428" s="35">
        <f t="shared" si="308"/>
        <v>471</v>
      </c>
      <c r="S1428" s="7">
        <f>прил.6!T149</f>
        <v>0</v>
      </c>
      <c r="T1428" s="35">
        <f t="shared" si="305"/>
        <v>471</v>
      </c>
    </row>
    <row r="1429" spans="1:20">
      <c r="A1429" s="61" t="str">
        <f ca="1">IF(ISERROR(MATCH(C1429,Код_Раздел,0)),"",INDIRECT(ADDRESS(MATCH(C1429,Код_Раздел,0)+1,2,,,"Раздел")))</f>
        <v>Жилищно-коммунальное хозяйство</v>
      </c>
      <c r="B1429" s="45" t="s">
        <v>143</v>
      </c>
      <c r="C1429" s="8" t="s">
        <v>221</v>
      </c>
      <c r="D1429" s="1"/>
      <c r="E1429" s="104"/>
      <c r="F1429" s="7">
        <f t="shared" ref="F1429:S1432" si="318">F1430</f>
        <v>84.2</v>
      </c>
      <c r="G1429" s="7">
        <f t="shared" si="318"/>
        <v>0</v>
      </c>
      <c r="H1429" s="35">
        <f t="shared" si="315"/>
        <v>84.2</v>
      </c>
      <c r="I1429" s="7">
        <f t="shared" si="318"/>
        <v>0</v>
      </c>
      <c r="J1429" s="35">
        <f t="shared" si="311"/>
        <v>84.2</v>
      </c>
      <c r="K1429" s="7">
        <f t="shared" si="318"/>
        <v>0</v>
      </c>
      <c r="L1429" s="35">
        <f t="shared" si="302"/>
        <v>84.2</v>
      </c>
      <c r="M1429" s="7">
        <f t="shared" si="318"/>
        <v>0</v>
      </c>
      <c r="N1429" s="35">
        <f t="shared" si="314"/>
        <v>84.2</v>
      </c>
      <c r="O1429" s="7">
        <f t="shared" si="318"/>
        <v>0</v>
      </c>
      <c r="P1429" s="35">
        <f t="shared" si="310"/>
        <v>84.2</v>
      </c>
      <c r="Q1429" s="7">
        <f t="shared" si="318"/>
        <v>0</v>
      </c>
      <c r="R1429" s="35">
        <f t="shared" si="308"/>
        <v>84.2</v>
      </c>
      <c r="S1429" s="7">
        <f t="shared" si="318"/>
        <v>0</v>
      </c>
      <c r="T1429" s="35">
        <f t="shared" si="305"/>
        <v>84.2</v>
      </c>
    </row>
    <row r="1430" spans="1:20">
      <c r="A1430" s="61" t="s">
        <v>252</v>
      </c>
      <c r="B1430" s="45" t="s">
        <v>143</v>
      </c>
      <c r="C1430" s="8" t="s">
        <v>221</v>
      </c>
      <c r="D1430" s="8" t="s">
        <v>215</v>
      </c>
      <c r="E1430" s="104"/>
      <c r="F1430" s="7">
        <f t="shared" si="318"/>
        <v>84.2</v>
      </c>
      <c r="G1430" s="7">
        <f t="shared" si="318"/>
        <v>0</v>
      </c>
      <c r="H1430" s="35">
        <f t="shared" si="315"/>
        <v>84.2</v>
      </c>
      <c r="I1430" s="7">
        <f t="shared" si="318"/>
        <v>0</v>
      </c>
      <c r="J1430" s="35">
        <f t="shared" si="311"/>
        <v>84.2</v>
      </c>
      <c r="K1430" s="7">
        <f t="shared" si="318"/>
        <v>0</v>
      </c>
      <c r="L1430" s="35">
        <f t="shared" si="302"/>
        <v>84.2</v>
      </c>
      <c r="M1430" s="7">
        <f t="shared" si="318"/>
        <v>0</v>
      </c>
      <c r="N1430" s="35">
        <f t="shared" si="314"/>
        <v>84.2</v>
      </c>
      <c r="O1430" s="7">
        <f t="shared" si="318"/>
        <v>0</v>
      </c>
      <c r="P1430" s="35">
        <f t="shared" si="310"/>
        <v>84.2</v>
      </c>
      <c r="Q1430" s="7">
        <f t="shared" si="318"/>
        <v>0</v>
      </c>
      <c r="R1430" s="35">
        <f t="shared" si="308"/>
        <v>84.2</v>
      </c>
      <c r="S1430" s="7">
        <f t="shared" si="318"/>
        <v>0</v>
      </c>
      <c r="T1430" s="35">
        <f t="shared" si="305"/>
        <v>84.2</v>
      </c>
    </row>
    <row r="1431" spans="1:20">
      <c r="A1431" s="61" t="str">
        <f ca="1">IF(ISERROR(MATCH(E1431,Код_КВР,0)),"",INDIRECT(ADDRESS(MATCH(E1431,Код_КВР,0)+1,2,,,"КВР")))</f>
        <v>Закупка товаров, работ и услуг для муниципальных нужд</v>
      </c>
      <c r="B1431" s="45" t="s">
        <v>143</v>
      </c>
      <c r="C1431" s="8" t="s">
        <v>221</v>
      </c>
      <c r="D1431" s="8" t="s">
        <v>215</v>
      </c>
      <c r="E1431" s="104">
        <v>200</v>
      </c>
      <c r="F1431" s="7">
        <f t="shared" si="318"/>
        <v>84.2</v>
      </c>
      <c r="G1431" s="7">
        <f t="shared" si="318"/>
        <v>0</v>
      </c>
      <c r="H1431" s="35">
        <f t="shared" si="315"/>
        <v>84.2</v>
      </c>
      <c r="I1431" s="7">
        <f t="shared" si="318"/>
        <v>0</v>
      </c>
      <c r="J1431" s="35">
        <f t="shared" si="311"/>
        <v>84.2</v>
      </c>
      <c r="K1431" s="7">
        <f t="shared" si="318"/>
        <v>0</v>
      </c>
      <c r="L1431" s="35">
        <f t="shared" si="302"/>
        <v>84.2</v>
      </c>
      <c r="M1431" s="7">
        <f t="shared" si="318"/>
        <v>0</v>
      </c>
      <c r="N1431" s="35">
        <f t="shared" si="314"/>
        <v>84.2</v>
      </c>
      <c r="O1431" s="7">
        <f t="shared" si="318"/>
        <v>0</v>
      </c>
      <c r="P1431" s="35">
        <f t="shared" si="310"/>
        <v>84.2</v>
      </c>
      <c r="Q1431" s="7">
        <f t="shared" si="318"/>
        <v>0</v>
      </c>
      <c r="R1431" s="35">
        <f t="shared" si="308"/>
        <v>84.2</v>
      </c>
      <c r="S1431" s="7">
        <f t="shared" si="318"/>
        <v>0</v>
      </c>
      <c r="T1431" s="35">
        <f t="shared" si="305"/>
        <v>84.2</v>
      </c>
    </row>
    <row r="1432" spans="1:20" ht="33">
      <c r="A1432" s="61" t="str">
        <f ca="1">IF(ISERROR(MATCH(E1432,Код_КВР,0)),"",INDIRECT(ADDRESS(MATCH(E1432,Код_КВР,0)+1,2,,,"КВР")))</f>
        <v>Иные закупки товаров, работ и услуг для обеспечения муниципальных нужд</v>
      </c>
      <c r="B1432" s="45" t="s">
        <v>143</v>
      </c>
      <c r="C1432" s="8" t="s">
        <v>221</v>
      </c>
      <c r="D1432" s="8" t="s">
        <v>215</v>
      </c>
      <c r="E1432" s="104">
        <v>240</v>
      </c>
      <c r="F1432" s="7">
        <f t="shared" si="318"/>
        <v>84.2</v>
      </c>
      <c r="G1432" s="7">
        <f t="shared" si="318"/>
        <v>0</v>
      </c>
      <c r="H1432" s="35">
        <f t="shared" si="315"/>
        <v>84.2</v>
      </c>
      <c r="I1432" s="7">
        <f t="shared" si="318"/>
        <v>0</v>
      </c>
      <c r="J1432" s="35">
        <f t="shared" si="311"/>
        <v>84.2</v>
      </c>
      <c r="K1432" s="7">
        <f t="shared" si="318"/>
        <v>0</v>
      </c>
      <c r="L1432" s="35">
        <f t="shared" si="302"/>
        <v>84.2</v>
      </c>
      <c r="M1432" s="7">
        <f t="shared" si="318"/>
        <v>0</v>
      </c>
      <c r="N1432" s="35">
        <f t="shared" si="314"/>
        <v>84.2</v>
      </c>
      <c r="O1432" s="7">
        <f t="shared" si="318"/>
        <v>0</v>
      </c>
      <c r="P1432" s="35">
        <f t="shared" si="310"/>
        <v>84.2</v>
      </c>
      <c r="Q1432" s="7">
        <f t="shared" si="318"/>
        <v>0</v>
      </c>
      <c r="R1432" s="35">
        <f t="shared" si="308"/>
        <v>84.2</v>
      </c>
      <c r="S1432" s="7">
        <f t="shared" si="318"/>
        <v>0</v>
      </c>
      <c r="T1432" s="35">
        <f t="shared" si="305"/>
        <v>84.2</v>
      </c>
    </row>
    <row r="1433" spans="1:20" ht="33">
      <c r="A1433" s="61" t="str">
        <f ca="1">IF(ISERROR(MATCH(E1433,Код_КВР,0)),"",INDIRECT(ADDRESS(MATCH(E1433,Код_КВР,0)+1,2,,,"КВР")))</f>
        <v xml:space="preserve">Прочая закупка товаров, работ и услуг для обеспечения муниципальных нужд         </v>
      </c>
      <c r="B1433" s="45" t="s">
        <v>143</v>
      </c>
      <c r="C1433" s="8" t="s">
        <v>221</v>
      </c>
      <c r="D1433" s="8" t="s">
        <v>215</v>
      </c>
      <c r="E1433" s="104">
        <v>244</v>
      </c>
      <c r="F1433" s="7">
        <f>прил.6!G512</f>
        <v>84.2</v>
      </c>
      <c r="G1433" s="7">
        <f>прил.6!H512</f>
        <v>0</v>
      </c>
      <c r="H1433" s="35">
        <f t="shared" si="315"/>
        <v>84.2</v>
      </c>
      <c r="I1433" s="7">
        <f>прил.6!J512</f>
        <v>0</v>
      </c>
      <c r="J1433" s="35">
        <f t="shared" si="311"/>
        <v>84.2</v>
      </c>
      <c r="K1433" s="7">
        <f>прил.6!L512</f>
        <v>0</v>
      </c>
      <c r="L1433" s="35">
        <f t="shared" si="302"/>
        <v>84.2</v>
      </c>
      <c r="M1433" s="7">
        <f>прил.6!N512</f>
        <v>0</v>
      </c>
      <c r="N1433" s="35">
        <f t="shared" si="314"/>
        <v>84.2</v>
      </c>
      <c r="O1433" s="7">
        <f>прил.6!P512</f>
        <v>0</v>
      </c>
      <c r="P1433" s="35">
        <f t="shared" si="310"/>
        <v>84.2</v>
      </c>
      <c r="Q1433" s="7">
        <f>прил.6!R512</f>
        <v>0</v>
      </c>
      <c r="R1433" s="35">
        <f t="shared" si="308"/>
        <v>84.2</v>
      </c>
      <c r="S1433" s="7">
        <f>прил.6!T512</f>
        <v>0</v>
      </c>
      <c r="T1433" s="35">
        <f t="shared" si="305"/>
        <v>84.2</v>
      </c>
    </row>
    <row r="1434" spans="1:20" ht="72" customHeight="1">
      <c r="A1434" s="61" t="str">
        <f ca="1">IF(ISERROR(MATCH(B1434,Код_КЦСР,0)),"",INDIRECT(ADDRESS(MATCH(B1434,Код_КЦСР,0)+1,2,,,"КЦСР")))</f>
        <v>Формирование положительного имиджа Череповца на внутреннем, межрегиональном и международном уровнях посредством формирования презентационных пакетов, соответствующих Стандарту качества презентационных пакетов</v>
      </c>
      <c r="B1434" s="45" t="s">
        <v>144</v>
      </c>
      <c r="C1434" s="8"/>
      <c r="D1434" s="1"/>
      <c r="E1434" s="104"/>
      <c r="F1434" s="7">
        <f t="shared" ref="F1434:S1438" si="319">F1435</f>
        <v>720</v>
      </c>
      <c r="G1434" s="7">
        <f t="shared" si="319"/>
        <v>0</v>
      </c>
      <c r="H1434" s="35">
        <f t="shared" si="315"/>
        <v>720</v>
      </c>
      <c r="I1434" s="7">
        <f t="shared" si="319"/>
        <v>0</v>
      </c>
      <c r="J1434" s="35">
        <f t="shared" si="311"/>
        <v>720</v>
      </c>
      <c r="K1434" s="7">
        <f t="shared" si="319"/>
        <v>0</v>
      </c>
      <c r="L1434" s="35">
        <f t="shared" si="302"/>
        <v>720</v>
      </c>
      <c r="M1434" s="7">
        <f t="shared" si="319"/>
        <v>205.6</v>
      </c>
      <c r="N1434" s="35">
        <f t="shared" si="314"/>
        <v>925.6</v>
      </c>
      <c r="O1434" s="7">
        <f t="shared" si="319"/>
        <v>0</v>
      </c>
      <c r="P1434" s="35">
        <f t="shared" si="310"/>
        <v>925.6</v>
      </c>
      <c r="Q1434" s="7">
        <f t="shared" si="319"/>
        <v>115.2</v>
      </c>
      <c r="R1434" s="35">
        <f t="shared" si="308"/>
        <v>1040.8</v>
      </c>
      <c r="S1434" s="7">
        <f t="shared" si="319"/>
        <v>0</v>
      </c>
      <c r="T1434" s="35">
        <f t="shared" si="305"/>
        <v>1040.8</v>
      </c>
    </row>
    <row r="1435" spans="1:20">
      <c r="A1435" s="61" t="str">
        <f ca="1">IF(ISERROR(MATCH(C1435,Код_Раздел,0)),"",INDIRECT(ADDRESS(MATCH(C1435,Код_Раздел,0)+1,2,,,"Раздел")))</f>
        <v>Общегосударственные  вопросы</v>
      </c>
      <c r="B1435" s="45" t="s">
        <v>144</v>
      </c>
      <c r="C1435" s="8" t="s">
        <v>213</v>
      </c>
      <c r="D1435" s="1"/>
      <c r="E1435" s="104"/>
      <c r="F1435" s="7">
        <f t="shared" si="319"/>
        <v>720</v>
      </c>
      <c r="G1435" s="7">
        <f t="shared" si="319"/>
        <v>0</v>
      </c>
      <c r="H1435" s="35">
        <f t="shared" si="315"/>
        <v>720</v>
      </c>
      <c r="I1435" s="7">
        <f t="shared" si="319"/>
        <v>0</v>
      </c>
      <c r="J1435" s="35">
        <f t="shared" si="311"/>
        <v>720</v>
      </c>
      <c r="K1435" s="7">
        <f t="shared" si="319"/>
        <v>0</v>
      </c>
      <c r="L1435" s="35">
        <f t="shared" si="302"/>
        <v>720</v>
      </c>
      <c r="M1435" s="7">
        <f t="shared" si="319"/>
        <v>205.6</v>
      </c>
      <c r="N1435" s="35">
        <f t="shared" si="314"/>
        <v>925.6</v>
      </c>
      <c r="O1435" s="7">
        <f t="shared" si="319"/>
        <v>0</v>
      </c>
      <c r="P1435" s="35">
        <f t="shared" si="310"/>
        <v>925.6</v>
      </c>
      <c r="Q1435" s="7">
        <f t="shared" si="319"/>
        <v>115.2</v>
      </c>
      <c r="R1435" s="35">
        <f t="shared" si="308"/>
        <v>1040.8</v>
      </c>
      <c r="S1435" s="7">
        <f t="shared" si="319"/>
        <v>0</v>
      </c>
      <c r="T1435" s="35">
        <f t="shared" si="305"/>
        <v>1040.8</v>
      </c>
    </row>
    <row r="1436" spans="1:20">
      <c r="A1436" s="12" t="s">
        <v>237</v>
      </c>
      <c r="B1436" s="45" t="s">
        <v>144</v>
      </c>
      <c r="C1436" s="8" t="s">
        <v>213</v>
      </c>
      <c r="D1436" s="1" t="s">
        <v>190</v>
      </c>
      <c r="E1436" s="104"/>
      <c r="F1436" s="7">
        <f t="shared" si="319"/>
        <v>720</v>
      </c>
      <c r="G1436" s="7">
        <f t="shared" si="319"/>
        <v>0</v>
      </c>
      <c r="H1436" s="35">
        <f t="shared" si="315"/>
        <v>720</v>
      </c>
      <c r="I1436" s="7">
        <f t="shared" si="319"/>
        <v>0</v>
      </c>
      <c r="J1436" s="35">
        <f t="shared" si="311"/>
        <v>720</v>
      </c>
      <c r="K1436" s="7">
        <f t="shared" si="319"/>
        <v>0</v>
      </c>
      <c r="L1436" s="35">
        <f t="shared" ref="L1436:L1499" si="320">J1436+K1436</f>
        <v>720</v>
      </c>
      <c r="M1436" s="7">
        <f t="shared" si="319"/>
        <v>205.6</v>
      </c>
      <c r="N1436" s="35">
        <f t="shared" si="314"/>
        <v>925.6</v>
      </c>
      <c r="O1436" s="7">
        <f t="shared" si="319"/>
        <v>0</v>
      </c>
      <c r="P1436" s="35">
        <f t="shared" si="310"/>
        <v>925.6</v>
      </c>
      <c r="Q1436" s="7">
        <f t="shared" si="319"/>
        <v>115.2</v>
      </c>
      <c r="R1436" s="35">
        <f t="shared" si="308"/>
        <v>1040.8</v>
      </c>
      <c r="S1436" s="7">
        <f t="shared" si="319"/>
        <v>0</v>
      </c>
      <c r="T1436" s="35">
        <f t="shared" si="305"/>
        <v>1040.8</v>
      </c>
    </row>
    <row r="1437" spans="1:20">
      <c r="A1437" s="61" t="str">
        <f ca="1">IF(ISERROR(MATCH(E1437,Код_КВР,0)),"",INDIRECT(ADDRESS(MATCH(E1437,Код_КВР,0)+1,2,,,"КВР")))</f>
        <v>Закупка товаров, работ и услуг для муниципальных нужд</v>
      </c>
      <c r="B1437" s="45" t="s">
        <v>144</v>
      </c>
      <c r="C1437" s="8" t="s">
        <v>213</v>
      </c>
      <c r="D1437" s="1" t="s">
        <v>190</v>
      </c>
      <c r="E1437" s="104">
        <v>200</v>
      </c>
      <c r="F1437" s="7">
        <f t="shared" si="319"/>
        <v>720</v>
      </c>
      <c r="G1437" s="7">
        <f t="shared" si="319"/>
        <v>0</v>
      </c>
      <c r="H1437" s="35">
        <f t="shared" si="315"/>
        <v>720</v>
      </c>
      <c r="I1437" s="7">
        <f t="shared" si="319"/>
        <v>0</v>
      </c>
      <c r="J1437" s="35">
        <f t="shared" si="311"/>
        <v>720</v>
      </c>
      <c r="K1437" s="7">
        <f t="shared" si="319"/>
        <v>0</v>
      </c>
      <c r="L1437" s="35">
        <f t="shared" si="320"/>
        <v>720</v>
      </c>
      <c r="M1437" s="7">
        <f t="shared" si="319"/>
        <v>205.6</v>
      </c>
      <c r="N1437" s="35">
        <f t="shared" si="314"/>
        <v>925.6</v>
      </c>
      <c r="O1437" s="7">
        <f t="shared" si="319"/>
        <v>0</v>
      </c>
      <c r="P1437" s="35">
        <f t="shared" si="310"/>
        <v>925.6</v>
      </c>
      <c r="Q1437" s="7">
        <f t="shared" si="319"/>
        <v>115.2</v>
      </c>
      <c r="R1437" s="35">
        <f t="shared" si="308"/>
        <v>1040.8</v>
      </c>
      <c r="S1437" s="7">
        <f t="shared" si="319"/>
        <v>0</v>
      </c>
      <c r="T1437" s="35">
        <f t="shared" si="305"/>
        <v>1040.8</v>
      </c>
    </row>
    <row r="1438" spans="1:20" ht="33">
      <c r="A1438" s="61" t="str">
        <f ca="1">IF(ISERROR(MATCH(E1438,Код_КВР,0)),"",INDIRECT(ADDRESS(MATCH(E1438,Код_КВР,0)+1,2,,,"КВР")))</f>
        <v>Иные закупки товаров, работ и услуг для обеспечения муниципальных нужд</v>
      </c>
      <c r="B1438" s="45" t="s">
        <v>144</v>
      </c>
      <c r="C1438" s="8" t="s">
        <v>213</v>
      </c>
      <c r="D1438" s="1" t="s">
        <v>190</v>
      </c>
      <c r="E1438" s="104">
        <v>240</v>
      </c>
      <c r="F1438" s="7">
        <f t="shared" si="319"/>
        <v>720</v>
      </c>
      <c r="G1438" s="7">
        <f t="shared" si="319"/>
        <v>0</v>
      </c>
      <c r="H1438" s="35">
        <f t="shared" si="315"/>
        <v>720</v>
      </c>
      <c r="I1438" s="7">
        <f t="shared" si="319"/>
        <v>0</v>
      </c>
      <c r="J1438" s="35">
        <f t="shared" si="311"/>
        <v>720</v>
      </c>
      <c r="K1438" s="7">
        <f t="shared" si="319"/>
        <v>0</v>
      </c>
      <c r="L1438" s="35">
        <f t="shared" si="320"/>
        <v>720</v>
      </c>
      <c r="M1438" s="7">
        <f t="shared" si="319"/>
        <v>205.6</v>
      </c>
      <c r="N1438" s="35">
        <f t="shared" si="314"/>
        <v>925.6</v>
      </c>
      <c r="O1438" s="7">
        <f t="shared" si="319"/>
        <v>0</v>
      </c>
      <c r="P1438" s="35">
        <f t="shared" si="310"/>
        <v>925.6</v>
      </c>
      <c r="Q1438" s="7">
        <f t="shared" si="319"/>
        <v>115.2</v>
      </c>
      <c r="R1438" s="35">
        <f t="shared" si="308"/>
        <v>1040.8</v>
      </c>
      <c r="S1438" s="7">
        <f t="shared" si="319"/>
        <v>0</v>
      </c>
      <c r="T1438" s="35">
        <f t="shared" si="305"/>
        <v>1040.8</v>
      </c>
    </row>
    <row r="1439" spans="1:20" ht="33">
      <c r="A1439" s="61" t="str">
        <f ca="1">IF(ISERROR(MATCH(E1439,Код_КВР,0)),"",INDIRECT(ADDRESS(MATCH(E1439,Код_КВР,0)+1,2,,,"КВР")))</f>
        <v xml:space="preserve">Прочая закупка товаров, работ и услуг для обеспечения муниципальных нужд         </v>
      </c>
      <c r="B1439" s="45" t="s">
        <v>144</v>
      </c>
      <c r="C1439" s="8" t="s">
        <v>213</v>
      </c>
      <c r="D1439" s="1" t="s">
        <v>190</v>
      </c>
      <c r="E1439" s="104">
        <v>244</v>
      </c>
      <c r="F1439" s="7">
        <f>прил.6!G153</f>
        <v>720</v>
      </c>
      <c r="G1439" s="7">
        <f>прил.6!H153</f>
        <v>0</v>
      </c>
      <c r="H1439" s="35">
        <f t="shared" si="315"/>
        <v>720</v>
      </c>
      <c r="I1439" s="7">
        <f>прил.6!J153</f>
        <v>0</v>
      </c>
      <c r="J1439" s="35">
        <f t="shared" si="311"/>
        <v>720</v>
      </c>
      <c r="K1439" s="7">
        <f>прил.6!L153</f>
        <v>0</v>
      </c>
      <c r="L1439" s="35">
        <f t="shared" si="320"/>
        <v>720</v>
      </c>
      <c r="M1439" s="7">
        <f>прил.6!N153</f>
        <v>205.6</v>
      </c>
      <c r="N1439" s="35">
        <f t="shared" si="314"/>
        <v>925.6</v>
      </c>
      <c r="O1439" s="7">
        <f>прил.6!P153</f>
        <v>0</v>
      </c>
      <c r="P1439" s="35">
        <f t="shared" si="310"/>
        <v>925.6</v>
      </c>
      <c r="Q1439" s="7">
        <f>прил.6!R153</f>
        <v>115.2</v>
      </c>
      <c r="R1439" s="35">
        <f t="shared" si="308"/>
        <v>1040.8</v>
      </c>
      <c r="S1439" s="7">
        <f>прил.6!T153</f>
        <v>0</v>
      </c>
      <c r="T1439" s="35">
        <f t="shared" si="305"/>
        <v>1040.8</v>
      </c>
    </row>
    <row r="1440" spans="1:20" ht="54" customHeight="1">
      <c r="A1440" s="61" t="str">
        <f ca="1">IF(ISERROR(MATCH(B1440,Код_КЦСР,0)),"",INDIRECT(ADDRESS(MATCH(B1440,Код_КЦСР,0)+1,2,,,"КЦСР")))</f>
        <v>Формирование положительного имиджа Череповца на межрегиональном уровне посредством участия города в деятельности союзов и ассоциаций</v>
      </c>
      <c r="B1440" s="45" t="s">
        <v>145</v>
      </c>
      <c r="C1440" s="8"/>
      <c r="D1440" s="1"/>
      <c r="E1440" s="104"/>
      <c r="F1440" s="7">
        <f t="shared" ref="F1440:S1444" si="321">F1441</f>
        <v>479.7</v>
      </c>
      <c r="G1440" s="7">
        <f t="shared" si="321"/>
        <v>0</v>
      </c>
      <c r="H1440" s="35">
        <f t="shared" si="315"/>
        <v>479.7</v>
      </c>
      <c r="I1440" s="7">
        <f t="shared" si="321"/>
        <v>0</v>
      </c>
      <c r="J1440" s="35">
        <f t="shared" si="311"/>
        <v>479.7</v>
      </c>
      <c r="K1440" s="7">
        <f t="shared" si="321"/>
        <v>0</v>
      </c>
      <c r="L1440" s="35">
        <f t="shared" si="320"/>
        <v>479.7</v>
      </c>
      <c r="M1440" s="7">
        <f t="shared" si="321"/>
        <v>0</v>
      </c>
      <c r="N1440" s="35">
        <f t="shared" si="314"/>
        <v>479.7</v>
      </c>
      <c r="O1440" s="7">
        <f t="shared" si="321"/>
        <v>0</v>
      </c>
      <c r="P1440" s="35">
        <f t="shared" si="310"/>
        <v>479.7</v>
      </c>
      <c r="Q1440" s="7">
        <f t="shared" si="321"/>
        <v>14.2</v>
      </c>
      <c r="R1440" s="35">
        <f t="shared" si="308"/>
        <v>493.9</v>
      </c>
      <c r="S1440" s="7">
        <f t="shared" si="321"/>
        <v>0</v>
      </c>
      <c r="T1440" s="35">
        <f t="shared" si="305"/>
        <v>493.9</v>
      </c>
    </row>
    <row r="1441" spans="1:20">
      <c r="A1441" s="61" t="str">
        <f ca="1">IF(ISERROR(MATCH(C1441,Код_Раздел,0)),"",INDIRECT(ADDRESS(MATCH(C1441,Код_Раздел,0)+1,2,,,"Раздел")))</f>
        <v>Общегосударственные  вопросы</v>
      </c>
      <c r="B1441" s="45" t="s">
        <v>145</v>
      </c>
      <c r="C1441" s="8" t="s">
        <v>213</v>
      </c>
      <c r="D1441" s="1"/>
      <c r="E1441" s="104"/>
      <c r="F1441" s="7">
        <f t="shared" si="321"/>
        <v>479.7</v>
      </c>
      <c r="G1441" s="7">
        <f t="shared" si="321"/>
        <v>0</v>
      </c>
      <c r="H1441" s="35">
        <f t="shared" si="315"/>
        <v>479.7</v>
      </c>
      <c r="I1441" s="7">
        <f t="shared" si="321"/>
        <v>0</v>
      </c>
      <c r="J1441" s="35">
        <f t="shared" si="311"/>
        <v>479.7</v>
      </c>
      <c r="K1441" s="7">
        <f t="shared" si="321"/>
        <v>0</v>
      </c>
      <c r="L1441" s="35">
        <f t="shared" si="320"/>
        <v>479.7</v>
      </c>
      <c r="M1441" s="7">
        <f t="shared" si="321"/>
        <v>0</v>
      </c>
      <c r="N1441" s="35">
        <f t="shared" si="314"/>
        <v>479.7</v>
      </c>
      <c r="O1441" s="7">
        <f t="shared" si="321"/>
        <v>0</v>
      </c>
      <c r="P1441" s="35">
        <f t="shared" si="310"/>
        <v>479.7</v>
      </c>
      <c r="Q1441" s="7">
        <f t="shared" si="321"/>
        <v>14.2</v>
      </c>
      <c r="R1441" s="35">
        <f t="shared" si="308"/>
        <v>493.9</v>
      </c>
      <c r="S1441" s="7">
        <f t="shared" si="321"/>
        <v>0</v>
      </c>
      <c r="T1441" s="35">
        <f t="shared" si="305"/>
        <v>493.9</v>
      </c>
    </row>
    <row r="1442" spans="1:20">
      <c r="A1442" s="12" t="s">
        <v>237</v>
      </c>
      <c r="B1442" s="45" t="s">
        <v>145</v>
      </c>
      <c r="C1442" s="8" t="s">
        <v>213</v>
      </c>
      <c r="D1442" s="1" t="s">
        <v>190</v>
      </c>
      <c r="E1442" s="104"/>
      <c r="F1442" s="7">
        <f t="shared" si="321"/>
        <v>479.7</v>
      </c>
      <c r="G1442" s="7">
        <f t="shared" si="321"/>
        <v>0</v>
      </c>
      <c r="H1442" s="35">
        <f t="shared" si="315"/>
        <v>479.7</v>
      </c>
      <c r="I1442" s="7">
        <f t="shared" si="321"/>
        <v>0</v>
      </c>
      <c r="J1442" s="35">
        <f t="shared" si="311"/>
        <v>479.7</v>
      </c>
      <c r="K1442" s="7">
        <f t="shared" si="321"/>
        <v>0</v>
      </c>
      <c r="L1442" s="35">
        <f t="shared" si="320"/>
        <v>479.7</v>
      </c>
      <c r="M1442" s="7">
        <f t="shared" si="321"/>
        <v>0</v>
      </c>
      <c r="N1442" s="35">
        <f t="shared" si="314"/>
        <v>479.7</v>
      </c>
      <c r="O1442" s="7">
        <f t="shared" si="321"/>
        <v>0</v>
      </c>
      <c r="P1442" s="35">
        <f t="shared" si="310"/>
        <v>479.7</v>
      </c>
      <c r="Q1442" s="7">
        <f t="shared" si="321"/>
        <v>14.2</v>
      </c>
      <c r="R1442" s="35">
        <f t="shared" si="308"/>
        <v>493.9</v>
      </c>
      <c r="S1442" s="7">
        <f t="shared" si="321"/>
        <v>0</v>
      </c>
      <c r="T1442" s="35">
        <f t="shared" si="305"/>
        <v>493.9</v>
      </c>
    </row>
    <row r="1443" spans="1:20">
      <c r="A1443" s="61" t="str">
        <f ca="1">IF(ISERROR(MATCH(E1443,Код_КВР,0)),"",INDIRECT(ADDRESS(MATCH(E1443,Код_КВР,0)+1,2,,,"КВР")))</f>
        <v>Иные бюджетные ассигнования</v>
      </c>
      <c r="B1443" s="45" t="s">
        <v>145</v>
      </c>
      <c r="C1443" s="8" t="s">
        <v>213</v>
      </c>
      <c r="D1443" s="1" t="s">
        <v>190</v>
      </c>
      <c r="E1443" s="104">
        <v>800</v>
      </c>
      <c r="F1443" s="7">
        <f t="shared" si="321"/>
        <v>479.7</v>
      </c>
      <c r="G1443" s="7">
        <f t="shared" si="321"/>
        <v>0</v>
      </c>
      <c r="H1443" s="35">
        <f t="shared" si="315"/>
        <v>479.7</v>
      </c>
      <c r="I1443" s="7">
        <f t="shared" si="321"/>
        <v>0</v>
      </c>
      <c r="J1443" s="35">
        <f t="shared" si="311"/>
        <v>479.7</v>
      </c>
      <c r="K1443" s="7">
        <f t="shared" si="321"/>
        <v>0</v>
      </c>
      <c r="L1443" s="35">
        <f t="shared" si="320"/>
        <v>479.7</v>
      </c>
      <c r="M1443" s="7">
        <f t="shared" si="321"/>
        <v>0</v>
      </c>
      <c r="N1443" s="35">
        <f t="shared" si="314"/>
        <v>479.7</v>
      </c>
      <c r="O1443" s="7">
        <f t="shared" si="321"/>
        <v>0</v>
      </c>
      <c r="P1443" s="35">
        <f t="shared" si="310"/>
        <v>479.7</v>
      </c>
      <c r="Q1443" s="7">
        <f t="shared" si="321"/>
        <v>14.2</v>
      </c>
      <c r="R1443" s="35">
        <f t="shared" si="308"/>
        <v>493.9</v>
      </c>
      <c r="S1443" s="7">
        <f t="shared" si="321"/>
        <v>0</v>
      </c>
      <c r="T1443" s="35">
        <f t="shared" si="305"/>
        <v>493.9</v>
      </c>
    </row>
    <row r="1444" spans="1:20">
      <c r="A1444" s="61" t="str">
        <f ca="1">IF(ISERROR(MATCH(E1444,Код_КВР,0)),"",INDIRECT(ADDRESS(MATCH(E1444,Код_КВР,0)+1,2,,,"КВР")))</f>
        <v>Уплата налогов, сборов и иных платежей</v>
      </c>
      <c r="B1444" s="45" t="s">
        <v>145</v>
      </c>
      <c r="C1444" s="8" t="s">
        <v>213</v>
      </c>
      <c r="D1444" s="1" t="s">
        <v>190</v>
      </c>
      <c r="E1444" s="104">
        <v>850</v>
      </c>
      <c r="F1444" s="7">
        <f t="shared" si="321"/>
        <v>479.7</v>
      </c>
      <c r="G1444" s="7">
        <f t="shared" si="321"/>
        <v>0</v>
      </c>
      <c r="H1444" s="35">
        <f t="shared" si="315"/>
        <v>479.7</v>
      </c>
      <c r="I1444" s="7">
        <f t="shared" si="321"/>
        <v>0</v>
      </c>
      <c r="J1444" s="35">
        <f t="shared" si="311"/>
        <v>479.7</v>
      </c>
      <c r="K1444" s="7">
        <f t="shared" si="321"/>
        <v>0</v>
      </c>
      <c r="L1444" s="35">
        <f t="shared" si="320"/>
        <v>479.7</v>
      </c>
      <c r="M1444" s="7">
        <f t="shared" si="321"/>
        <v>0</v>
      </c>
      <c r="N1444" s="35">
        <f t="shared" si="314"/>
        <v>479.7</v>
      </c>
      <c r="O1444" s="7">
        <f t="shared" si="321"/>
        <v>0</v>
      </c>
      <c r="P1444" s="35">
        <f t="shared" si="310"/>
        <v>479.7</v>
      </c>
      <c r="Q1444" s="7">
        <f t="shared" si="321"/>
        <v>14.2</v>
      </c>
      <c r="R1444" s="35">
        <f t="shared" si="308"/>
        <v>493.9</v>
      </c>
      <c r="S1444" s="7">
        <f t="shared" si="321"/>
        <v>0</v>
      </c>
      <c r="T1444" s="35">
        <f t="shared" si="305"/>
        <v>493.9</v>
      </c>
    </row>
    <row r="1445" spans="1:20">
      <c r="A1445" s="61" t="str">
        <f ca="1">IF(ISERROR(MATCH(E1445,Код_КВР,0)),"",INDIRECT(ADDRESS(MATCH(E1445,Код_КВР,0)+1,2,,,"КВР")))</f>
        <v>Уплата прочих налогов, сборов и иных платежей</v>
      </c>
      <c r="B1445" s="45" t="s">
        <v>145</v>
      </c>
      <c r="C1445" s="8" t="s">
        <v>213</v>
      </c>
      <c r="D1445" s="1" t="s">
        <v>190</v>
      </c>
      <c r="E1445" s="104">
        <v>852</v>
      </c>
      <c r="F1445" s="7">
        <f>прил.6!G157</f>
        <v>479.7</v>
      </c>
      <c r="G1445" s="7">
        <f>прил.6!H157</f>
        <v>0</v>
      </c>
      <c r="H1445" s="35">
        <f t="shared" si="315"/>
        <v>479.7</v>
      </c>
      <c r="I1445" s="7">
        <f>прил.6!J157</f>
        <v>0</v>
      </c>
      <c r="J1445" s="35">
        <f t="shared" si="311"/>
        <v>479.7</v>
      </c>
      <c r="K1445" s="7">
        <f>прил.6!L157</f>
        <v>0</v>
      </c>
      <c r="L1445" s="35">
        <f t="shared" si="320"/>
        <v>479.7</v>
      </c>
      <c r="M1445" s="7">
        <f>прил.6!N157</f>
        <v>0</v>
      </c>
      <c r="N1445" s="35">
        <f t="shared" si="314"/>
        <v>479.7</v>
      </c>
      <c r="O1445" s="7">
        <f>прил.6!P157</f>
        <v>0</v>
      </c>
      <c r="P1445" s="35">
        <f t="shared" si="310"/>
        <v>479.7</v>
      </c>
      <c r="Q1445" s="7">
        <f>прил.6!R157</f>
        <v>14.2</v>
      </c>
      <c r="R1445" s="35">
        <f t="shared" si="308"/>
        <v>493.9</v>
      </c>
      <c r="S1445" s="7">
        <f>прил.6!T157</f>
        <v>0</v>
      </c>
      <c r="T1445" s="35">
        <f t="shared" ref="T1445:T1515" si="322">R1445+S1445</f>
        <v>493.9</v>
      </c>
    </row>
    <row r="1446" spans="1:20" ht="49.5">
      <c r="A1446" s="61" t="str">
        <f ca="1">IF(ISERROR(MATCH(B1446,Код_КЦСР,0)),"",INDIRECT(ADDRESS(MATCH(B1446,Код_КЦСР,0)+1,2,,,"КЦСР")))</f>
        <v>Обеспечение информирования населения о деятельности органов местного самоуправления, органов мэрии Череповца и актуальных вопросах городской жизнедеятельности</v>
      </c>
      <c r="B1446" s="45" t="s">
        <v>146</v>
      </c>
      <c r="C1446" s="8"/>
      <c r="D1446" s="1"/>
      <c r="E1446" s="104"/>
      <c r="F1446" s="7">
        <f>F1447</f>
        <v>23381.1</v>
      </c>
      <c r="G1446" s="7">
        <f>G1447</f>
        <v>0</v>
      </c>
      <c r="H1446" s="35">
        <f t="shared" si="315"/>
        <v>23381.1</v>
      </c>
      <c r="I1446" s="7">
        <f>I1447</f>
        <v>126.5</v>
      </c>
      <c r="J1446" s="35">
        <f t="shared" si="311"/>
        <v>23507.599999999999</v>
      </c>
      <c r="K1446" s="7">
        <f>K1447</f>
        <v>-61.9</v>
      </c>
      <c r="L1446" s="35">
        <f t="shared" si="320"/>
        <v>23445.699999999997</v>
      </c>
      <c r="M1446" s="7">
        <f>M1447</f>
        <v>34.9</v>
      </c>
      <c r="N1446" s="35">
        <f t="shared" si="314"/>
        <v>23480.6</v>
      </c>
      <c r="O1446" s="7">
        <f>O1447</f>
        <v>0</v>
      </c>
      <c r="P1446" s="35">
        <f t="shared" si="310"/>
        <v>23480.6</v>
      </c>
      <c r="Q1446" s="7">
        <f>Q1447</f>
        <v>1063.4000000000001</v>
      </c>
      <c r="R1446" s="35">
        <f t="shared" si="308"/>
        <v>24544</v>
      </c>
      <c r="S1446" s="7">
        <f>S1447</f>
        <v>400</v>
      </c>
      <c r="T1446" s="35">
        <f t="shared" si="322"/>
        <v>24944</v>
      </c>
    </row>
    <row r="1447" spans="1:20">
      <c r="A1447" s="61" t="str">
        <f ca="1">IF(ISERROR(MATCH(C1447,Код_Раздел,0)),"",INDIRECT(ADDRESS(MATCH(C1447,Код_Раздел,0)+1,2,,,"Раздел")))</f>
        <v>Средства массовой информации</v>
      </c>
      <c r="B1447" s="45" t="s">
        <v>146</v>
      </c>
      <c r="C1447" s="8" t="s">
        <v>196</v>
      </c>
      <c r="D1447" s="1"/>
      <c r="E1447" s="104"/>
      <c r="F1447" s="7">
        <f>F1448</f>
        <v>23381.1</v>
      </c>
      <c r="G1447" s="7">
        <f>G1448</f>
        <v>0</v>
      </c>
      <c r="H1447" s="35">
        <f t="shared" si="315"/>
        <v>23381.1</v>
      </c>
      <c r="I1447" s="7">
        <f>I1448</f>
        <v>126.5</v>
      </c>
      <c r="J1447" s="35">
        <f t="shared" si="311"/>
        <v>23507.599999999999</v>
      </c>
      <c r="K1447" s="7">
        <f>K1448</f>
        <v>-61.9</v>
      </c>
      <c r="L1447" s="35">
        <f t="shared" si="320"/>
        <v>23445.699999999997</v>
      </c>
      <c r="M1447" s="7">
        <f>M1448</f>
        <v>34.9</v>
      </c>
      <c r="N1447" s="35">
        <f t="shared" si="314"/>
        <v>23480.6</v>
      </c>
      <c r="O1447" s="7">
        <f>O1448</f>
        <v>0</v>
      </c>
      <c r="P1447" s="35">
        <f t="shared" si="310"/>
        <v>23480.6</v>
      </c>
      <c r="Q1447" s="7">
        <f>Q1448</f>
        <v>1063.4000000000001</v>
      </c>
      <c r="R1447" s="35">
        <f t="shared" si="308"/>
        <v>24544</v>
      </c>
      <c r="S1447" s="7">
        <f>S1448</f>
        <v>400</v>
      </c>
      <c r="T1447" s="35">
        <f t="shared" si="322"/>
        <v>24944</v>
      </c>
    </row>
    <row r="1448" spans="1:20">
      <c r="A1448" s="12" t="s">
        <v>198</v>
      </c>
      <c r="B1448" s="45" t="s">
        <v>146</v>
      </c>
      <c r="C1448" s="8" t="s">
        <v>196</v>
      </c>
      <c r="D1448" s="1" t="s">
        <v>214</v>
      </c>
      <c r="E1448" s="104"/>
      <c r="F1448" s="7">
        <f>F1449+F1451+F1454</f>
        <v>23381.1</v>
      </c>
      <c r="G1448" s="7">
        <f>G1449+G1451+G1454</f>
        <v>0</v>
      </c>
      <c r="H1448" s="35">
        <f t="shared" si="315"/>
        <v>23381.1</v>
      </c>
      <c r="I1448" s="7">
        <f>I1449+I1451+I1454</f>
        <v>126.5</v>
      </c>
      <c r="J1448" s="35">
        <f t="shared" si="311"/>
        <v>23507.599999999999</v>
      </c>
      <c r="K1448" s="7">
        <f>K1449+K1451+K1454</f>
        <v>-61.9</v>
      </c>
      <c r="L1448" s="35">
        <f t="shared" si="320"/>
        <v>23445.699999999997</v>
      </c>
      <c r="M1448" s="7">
        <f>M1449+M1451+M1454</f>
        <v>34.9</v>
      </c>
      <c r="N1448" s="35">
        <f t="shared" si="314"/>
        <v>23480.6</v>
      </c>
      <c r="O1448" s="7">
        <f>O1449+O1451+O1454</f>
        <v>0</v>
      </c>
      <c r="P1448" s="35">
        <f t="shared" si="310"/>
        <v>23480.6</v>
      </c>
      <c r="Q1448" s="7">
        <f>Q1449+Q1451+Q1454</f>
        <v>1063.4000000000001</v>
      </c>
      <c r="R1448" s="35">
        <f t="shared" si="308"/>
        <v>24544</v>
      </c>
      <c r="S1448" s="7">
        <f>S1449+S1451+S1454</f>
        <v>400</v>
      </c>
      <c r="T1448" s="35">
        <f t="shared" si="322"/>
        <v>24944</v>
      </c>
    </row>
    <row r="1449" spans="1:20" ht="33">
      <c r="A1449" s="61" t="str">
        <f t="shared" ref="A1449:A1457" ca="1" si="323">IF(ISERROR(MATCH(E1449,Код_КВР,0)),"",INDIRECT(ADDRESS(MATCH(E1449,Код_КВР,0)+1,2,,,"КВР")))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49" s="45" t="s">
        <v>146</v>
      </c>
      <c r="C1449" s="8" t="s">
        <v>196</v>
      </c>
      <c r="D1449" s="1" t="s">
        <v>214</v>
      </c>
      <c r="E1449" s="104">
        <v>100</v>
      </c>
      <c r="F1449" s="7">
        <f>F1450</f>
        <v>19202.599999999999</v>
      </c>
      <c r="G1449" s="7">
        <f>G1450</f>
        <v>0</v>
      </c>
      <c r="H1449" s="35">
        <f t="shared" si="315"/>
        <v>19202.599999999999</v>
      </c>
      <c r="I1449" s="7">
        <f>I1450</f>
        <v>0</v>
      </c>
      <c r="J1449" s="35">
        <f t="shared" si="311"/>
        <v>19202.599999999999</v>
      </c>
      <c r="K1449" s="7">
        <f>K1450</f>
        <v>0</v>
      </c>
      <c r="L1449" s="35">
        <f t="shared" si="320"/>
        <v>19202.599999999999</v>
      </c>
      <c r="M1449" s="7">
        <f>M1450</f>
        <v>0</v>
      </c>
      <c r="N1449" s="35">
        <f t="shared" si="314"/>
        <v>19202.599999999999</v>
      </c>
      <c r="O1449" s="7">
        <f>O1450</f>
        <v>0</v>
      </c>
      <c r="P1449" s="35">
        <f t="shared" si="310"/>
        <v>19202.599999999999</v>
      </c>
      <c r="Q1449" s="7">
        <f>Q1450</f>
        <v>0</v>
      </c>
      <c r="R1449" s="35">
        <f t="shared" si="308"/>
        <v>19202.599999999999</v>
      </c>
      <c r="S1449" s="7">
        <f>S1450</f>
        <v>15</v>
      </c>
      <c r="T1449" s="35">
        <f t="shared" si="322"/>
        <v>19217.599999999999</v>
      </c>
    </row>
    <row r="1450" spans="1:20">
      <c r="A1450" s="61" t="str">
        <f t="shared" ca="1" si="323"/>
        <v>Расходы на выплаты персоналу казенных учреждений</v>
      </c>
      <c r="B1450" s="45" t="s">
        <v>146</v>
      </c>
      <c r="C1450" s="8" t="s">
        <v>196</v>
      </c>
      <c r="D1450" s="1" t="s">
        <v>214</v>
      </c>
      <c r="E1450" s="104">
        <v>110</v>
      </c>
      <c r="F1450" s="7">
        <f>прил.6!G380</f>
        <v>19202.599999999999</v>
      </c>
      <c r="G1450" s="7">
        <f>прил.6!H380</f>
        <v>0</v>
      </c>
      <c r="H1450" s="35">
        <f t="shared" si="315"/>
        <v>19202.599999999999</v>
      </c>
      <c r="I1450" s="7">
        <f>прил.6!J380</f>
        <v>0</v>
      </c>
      <c r="J1450" s="35">
        <f t="shared" si="311"/>
        <v>19202.599999999999</v>
      </c>
      <c r="K1450" s="7">
        <f>прил.6!L380</f>
        <v>0</v>
      </c>
      <c r="L1450" s="35">
        <f t="shared" si="320"/>
        <v>19202.599999999999</v>
      </c>
      <c r="M1450" s="7">
        <f>прил.6!N380</f>
        <v>0</v>
      </c>
      <c r="N1450" s="35">
        <f t="shared" si="314"/>
        <v>19202.599999999999</v>
      </c>
      <c r="O1450" s="7">
        <f>прил.6!P380</f>
        <v>0</v>
      </c>
      <c r="P1450" s="35">
        <f t="shared" si="310"/>
        <v>19202.599999999999</v>
      </c>
      <c r="Q1450" s="7">
        <f>прил.6!R380</f>
        <v>0</v>
      </c>
      <c r="R1450" s="35">
        <f t="shared" si="308"/>
        <v>19202.599999999999</v>
      </c>
      <c r="S1450" s="7">
        <f>прил.6!T380</f>
        <v>15</v>
      </c>
      <c r="T1450" s="35">
        <f t="shared" si="322"/>
        <v>19217.599999999999</v>
      </c>
    </row>
    <row r="1451" spans="1:20">
      <c r="A1451" s="61" t="str">
        <f t="shared" ca="1" si="323"/>
        <v>Закупка товаров, работ и услуг для муниципальных нужд</v>
      </c>
      <c r="B1451" s="45" t="s">
        <v>146</v>
      </c>
      <c r="C1451" s="8" t="s">
        <v>196</v>
      </c>
      <c r="D1451" s="1" t="s">
        <v>214</v>
      </c>
      <c r="E1451" s="104">
        <v>200</v>
      </c>
      <c r="F1451" s="7">
        <f>F1452</f>
        <v>4028.5</v>
      </c>
      <c r="G1451" s="7">
        <f>G1452</f>
        <v>0</v>
      </c>
      <c r="H1451" s="35">
        <f t="shared" si="315"/>
        <v>4028.5</v>
      </c>
      <c r="I1451" s="7">
        <f>I1452</f>
        <v>124.5</v>
      </c>
      <c r="J1451" s="35">
        <f t="shared" si="311"/>
        <v>4153</v>
      </c>
      <c r="K1451" s="7">
        <f>K1452</f>
        <v>-61.9</v>
      </c>
      <c r="L1451" s="35">
        <f t="shared" si="320"/>
        <v>4091.1</v>
      </c>
      <c r="M1451" s="7">
        <f>M1452</f>
        <v>30.099999999999998</v>
      </c>
      <c r="N1451" s="35">
        <f t="shared" si="314"/>
        <v>4121.2</v>
      </c>
      <c r="O1451" s="7">
        <f>O1452</f>
        <v>-18</v>
      </c>
      <c r="P1451" s="35">
        <f t="shared" si="310"/>
        <v>4103.2</v>
      </c>
      <c r="Q1451" s="7">
        <f>Q1452</f>
        <v>1063.4000000000001</v>
      </c>
      <c r="R1451" s="35">
        <f t="shared" si="308"/>
        <v>5166.6000000000004</v>
      </c>
      <c r="S1451" s="7">
        <f>S1452</f>
        <v>385</v>
      </c>
      <c r="T1451" s="35">
        <f t="shared" si="322"/>
        <v>5551.6</v>
      </c>
    </row>
    <row r="1452" spans="1:20" ht="33">
      <c r="A1452" s="61" t="str">
        <f t="shared" ca="1" si="323"/>
        <v>Иные закупки товаров, работ и услуг для обеспечения муниципальных нужд</v>
      </c>
      <c r="B1452" s="45" t="s">
        <v>146</v>
      </c>
      <c r="C1452" s="8" t="s">
        <v>196</v>
      </c>
      <c r="D1452" s="1" t="s">
        <v>214</v>
      </c>
      <c r="E1452" s="104">
        <v>240</v>
      </c>
      <c r="F1452" s="7">
        <f>F1453</f>
        <v>4028.5</v>
      </c>
      <c r="G1452" s="7">
        <f>G1453</f>
        <v>0</v>
      </c>
      <c r="H1452" s="35">
        <f t="shared" si="315"/>
        <v>4028.5</v>
      </c>
      <c r="I1452" s="7">
        <f>I1453</f>
        <v>124.5</v>
      </c>
      <c r="J1452" s="35">
        <f t="shared" si="311"/>
        <v>4153</v>
      </c>
      <c r="K1452" s="7">
        <f>K1453</f>
        <v>-61.9</v>
      </c>
      <c r="L1452" s="35">
        <f t="shared" si="320"/>
        <v>4091.1</v>
      </c>
      <c r="M1452" s="7">
        <f>M1453</f>
        <v>30.099999999999998</v>
      </c>
      <c r="N1452" s="35">
        <f t="shared" si="314"/>
        <v>4121.2</v>
      </c>
      <c r="O1452" s="7">
        <f>O1453</f>
        <v>-18</v>
      </c>
      <c r="P1452" s="35">
        <f t="shared" si="310"/>
        <v>4103.2</v>
      </c>
      <c r="Q1452" s="7">
        <f>Q1453</f>
        <v>1063.4000000000001</v>
      </c>
      <c r="R1452" s="35">
        <f t="shared" si="308"/>
        <v>5166.6000000000004</v>
      </c>
      <c r="S1452" s="7">
        <f>S1453</f>
        <v>385</v>
      </c>
      <c r="T1452" s="35">
        <f t="shared" si="322"/>
        <v>5551.6</v>
      </c>
    </row>
    <row r="1453" spans="1:20" ht="33">
      <c r="A1453" s="61" t="str">
        <f t="shared" ca="1" si="323"/>
        <v xml:space="preserve">Прочая закупка товаров, работ и услуг для обеспечения муниципальных нужд         </v>
      </c>
      <c r="B1453" s="45" t="s">
        <v>146</v>
      </c>
      <c r="C1453" s="8" t="s">
        <v>196</v>
      </c>
      <c r="D1453" s="1" t="s">
        <v>214</v>
      </c>
      <c r="E1453" s="104">
        <v>244</v>
      </c>
      <c r="F1453" s="7">
        <f>прил.6!G383</f>
        <v>4028.5</v>
      </c>
      <c r="G1453" s="7">
        <f>прил.6!H383</f>
        <v>0</v>
      </c>
      <c r="H1453" s="35">
        <f t="shared" si="315"/>
        <v>4028.5</v>
      </c>
      <c r="I1453" s="7">
        <f>прил.6!J383</f>
        <v>124.5</v>
      </c>
      <c r="J1453" s="35">
        <f t="shared" si="311"/>
        <v>4153</v>
      </c>
      <c r="K1453" s="7">
        <f>прил.6!L383</f>
        <v>-61.9</v>
      </c>
      <c r="L1453" s="35">
        <f t="shared" si="320"/>
        <v>4091.1</v>
      </c>
      <c r="M1453" s="7">
        <f>прил.6!N383</f>
        <v>30.099999999999998</v>
      </c>
      <c r="N1453" s="35">
        <f t="shared" si="314"/>
        <v>4121.2</v>
      </c>
      <c r="O1453" s="7">
        <f>прил.6!P383</f>
        <v>-18</v>
      </c>
      <c r="P1453" s="35">
        <f t="shared" si="310"/>
        <v>4103.2</v>
      </c>
      <c r="Q1453" s="7">
        <f>прил.6!R383</f>
        <v>1063.4000000000001</v>
      </c>
      <c r="R1453" s="35">
        <f t="shared" si="308"/>
        <v>5166.6000000000004</v>
      </c>
      <c r="S1453" s="7">
        <f>прил.6!T383</f>
        <v>385</v>
      </c>
      <c r="T1453" s="35">
        <f t="shared" si="322"/>
        <v>5551.6</v>
      </c>
    </row>
    <row r="1454" spans="1:20">
      <c r="A1454" s="61" t="str">
        <f t="shared" ca="1" si="323"/>
        <v>Иные бюджетные ассигнования</v>
      </c>
      <c r="B1454" s="45" t="s">
        <v>146</v>
      </c>
      <c r="C1454" s="8" t="s">
        <v>196</v>
      </c>
      <c r="D1454" s="1" t="s">
        <v>214</v>
      </c>
      <c r="E1454" s="104">
        <v>800</v>
      </c>
      <c r="F1454" s="7">
        <f>F1455</f>
        <v>150</v>
      </c>
      <c r="G1454" s="7">
        <f>G1455</f>
        <v>0</v>
      </c>
      <c r="H1454" s="35">
        <f t="shared" si="315"/>
        <v>150</v>
      </c>
      <c r="I1454" s="7">
        <f>I1455</f>
        <v>2</v>
      </c>
      <c r="J1454" s="35">
        <f t="shared" si="311"/>
        <v>152</v>
      </c>
      <c r="K1454" s="7">
        <f>K1455</f>
        <v>0</v>
      </c>
      <c r="L1454" s="35">
        <f t="shared" si="320"/>
        <v>152</v>
      </c>
      <c r="M1454" s="7">
        <f>M1455</f>
        <v>4.8</v>
      </c>
      <c r="N1454" s="35">
        <f t="shared" si="314"/>
        <v>156.80000000000001</v>
      </c>
      <c r="O1454" s="7">
        <f>O1455</f>
        <v>18</v>
      </c>
      <c r="P1454" s="35">
        <f t="shared" si="310"/>
        <v>174.8</v>
      </c>
      <c r="Q1454" s="7">
        <f>Q1455</f>
        <v>0</v>
      </c>
      <c r="R1454" s="35">
        <f t="shared" si="308"/>
        <v>174.8</v>
      </c>
      <c r="S1454" s="7">
        <f>S1455</f>
        <v>0</v>
      </c>
      <c r="T1454" s="35">
        <f t="shared" si="322"/>
        <v>174.8</v>
      </c>
    </row>
    <row r="1455" spans="1:20">
      <c r="A1455" s="61" t="str">
        <f t="shared" ca="1" si="323"/>
        <v>Уплата налогов, сборов и иных платежей</v>
      </c>
      <c r="B1455" s="45" t="s">
        <v>146</v>
      </c>
      <c r="C1455" s="8" t="s">
        <v>196</v>
      </c>
      <c r="D1455" s="1" t="s">
        <v>214</v>
      </c>
      <c r="E1455" s="104">
        <v>850</v>
      </c>
      <c r="F1455" s="7">
        <f>SUM(F1456:F1457)</f>
        <v>150</v>
      </c>
      <c r="G1455" s="7">
        <f>SUM(G1456:G1457)</f>
        <v>0</v>
      </c>
      <c r="H1455" s="35">
        <f t="shared" si="315"/>
        <v>150</v>
      </c>
      <c r="I1455" s="7">
        <f>SUM(I1456:I1457)</f>
        <v>2</v>
      </c>
      <c r="J1455" s="35">
        <f t="shared" si="311"/>
        <v>152</v>
      </c>
      <c r="K1455" s="7">
        <f>SUM(K1456:K1457)</f>
        <v>0</v>
      </c>
      <c r="L1455" s="35">
        <f t="shared" si="320"/>
        <v>152</v>
      </c>
      <c r="M1455" s="7">
        <f>SUM(M1456:M1457)</f>
        <v>4.8</v>
      </c>
      <c r="N1455" s="35">
        <f t="shared" si="314"/>
        <v>156.80000000000001</v>
      </c>
      <c r="O1455" s="7">
        <f>SUM(O1456:O1457)</f>
        <v>18</v>
      </c>
      <c r="P1455" s="35">
        <f t="shared" si="310"/>
        <v>174.8</v>
      </c>
      <c r="Q1455" s="7">
        <f>SUM(Q1456:Q1457)</f>
        <v>0</v>
      </c>
      <c r="R1455" s="35">
        <f t="shared" si="308"/>
        <v>174.8</v>
      </c>
      <c r="S1455" s="7">
        <f>SUM(S1456:S1457)</f>
        <v>0</v>
      </c>
      <c r="T1455" s="35">
        <f t="shared" si="322"/>
        <v>174.8</v>
      </c>
    </row>
    <row r="1456" spans="1:20">
      <c r="A1456" s="61" t="str">
        <f t="shared" ca="1" si="323"/>
        <v>Уплата налога на имущество организаций и земельного налога</v>
      </c>
      <c r="B1456" s="45" t="s">
        <v>146</v>
      </c>
      <c r="C1456" s="8" t="s">
        <v>196</v>
      </c>
      <c r="D1456" s="1" t="s">
        <v>214</v>
      </c>
      <c r="E1456" s="104">
        <v>851</v>
      </c>
      <c r="F1456" s="7">
        <f>прил.6!G386</f>
        <v>142</v>
      </c>
      <c r="G1456" s="7">
        <f>прил.6!H386</f>
        <v>0</v>
      </c>
      <c r="H1456" s="35">
        <f t="shared" si="315"/>
        <v>142</v>
      </c>
      <c r="I1456" s="7">
        <f>прил.6!J386</f>
        <v>0</v>
      </c>
      <c r="J1456" s="35">
        <f t="shared" si="311"/>
        <v>142</v>
      </c>
      <c r="K1456" s="7">
        <f>прил.6!L386</f>
        <v>0</v>
      </c>
      <c r="L1456" s="35">
        <f t="shared" si="320"/>
        <v>142</v>
      </c>
      <c r="M1456" s="7">
        <f>прил.6!N386</f>
        <v>0</v>
      </c>
      <c r="N1456" s="35">
        <f t="shared" si="314"/>
        <v>142</v>
      </c>
      <c r="O1456" s="7">
        <f>прил.6!P386</f>
        <v>0</v>
      </c>
      <c r="P1456" s="35">
        <f t="shared" si="310"/>
        <v>142</v>
      </c>
      <c r="Q1456" s="7">
        <f>прил.6!R386</f>
        <v>0</v>
      </c>
      <c r="R1456" s="35">
        <f t="shared" si="308"/>
        <v>142</v>
      </c>
      <c r="S1456" s="7">
        <f>прил.6!T386</f>
        <v>0</v>
      </c>
      <c r="T1456" s="35">
        <f t="shared" si="322"/>
        <v>142</v>
      </c>
    </row>
    <row r="1457" spans="1:20">
      <c r="A1457" s="61" t="str">
        <f t="shared" ca="1" si="323"/>
        <v>Уплата прочих налогов, сборов и иных платежей</v>
      </c>
      <c r="B1457" s="45" t="s">
        <v>146</v>
      </c>
      <c r="C1457" s="8" t="s">
        <v>196</v>
      </c>
      <c r="D1457" s="1" t="s">
        <v>214</v>
      </c>
      <c r="E1457" s="104">
        <v>852</v>
      </c>
      <c r="F1457" s="7">
        <f>прил.6!G387</f>
        <v>8</v>
      </c>
      <c r="G1457" s="7">
        <f>прил.6!H387</f>
        <v>0</v>
      </c>
      <c r="H1457" s="35">
        <f t="shared" si="315"/>
        <v>8</v>
      </c>
      <c r="I1457" s="7">
        <f>прил.6!J387</f>
        <v>2</v>
      </c>
      <c r="J1457" s="35">
        <f t="shared" si="311"/>
        <v>10</v>
      </c>
      <c r="K1457" s="7">
        <f>прил.6!L387</f>
        <v>0</v>
      </c>
      <c r="L1457" s="35">
        <f t="shared" si="320"/>
        <v>10</v>
      </c>
      <c r="M1457" s="7">
        <f>прил.6!N387</f>
        <v>4.8</v>
      </c>
      <c r="N1457" s="35">
        <f t="shared" si="314"/>
        <v>14.8</v>
      </c>
      <c r="O1457" s="7">
        <f>прил.6!P387</f>
        <v>18</v>
      </c>
      <c r="P1457" s="35">
        <f t="shared" si="310"/>
        <v>32.799999999999997</v>
      </c>
      <c r="Q1457" s="7">
        <f>прил.6!R387</f>
        <v>0</v>
      </c>
      <c r="R1457" s="35">
        <f t="shared" si="308"/>
        <v>32.799999999999997</v>
      </c>
      <c r="S1457" s="7">
        <f>прил.6!T387</f>
        <v>0</v>
      </c>
      <c r="T1457" s="35">
        <f t="shared" si="322"/>
        <v>32.799999999999997</v>
      </c>
    </row>
    <row r="1458" spans="1:20" ht="68.25" customHeight="1">
      <c r="A1458" s="61" t="str">
        <f ca="1">IF(ISERROR(MATCH(B1458,Код_КЦСР,0)),"",INDIRECT(ADDRESS(MATCH(B1458,Код_КЦСР,0)+1,2,,,"КЦСР")))</f>
        <v>Опубликование муниципальных правовых актов, конкурсной документации муниципальных заказчиков, изготовление и размещение других материалов по вопросам местного значения в СМИ</v>
      </c>
      <c r="B1458" s="45" t="s">
        <v>148</v>
      </c>
      <c r="C1458" s="8"/>
      <c r="D1458" s="1"/>
      <c r="E1458" s="104"/>
      <c r="F1458" s="7">
        <f t="shared" ref="F1458:S1462" si="324">F1459</f>
        <v>20904.8</v>
      </c>
      <c r="G1458" s="7">
        <f t="shared" si="324"/>
        <v>0</v>
      </c>
      <c r="H1458" s="35">
        <f t="shared" si="315"/>
        <v>20904.8</v>
      </c>
      <c r="I1458" s="7">
        <f t="shared" si="324"/>
        <v>0</v>
      </c>
      <c r="J1458" s="35">
        <f t="shared" si="311"/>
        <v>20904.8</v>
      </c>
      <c r="K1458" s="7">
        <f t="shared" si="324"/>
        <v>0</v>
      </c>
      <c r="L1458" s="35">
        <f t="shared" si="320"/>
        <v>20904.8</v>
      </c>
      <c r="M1458" s="7">
        <f t="shared" si="324"/>
        <v>0</v>
      </c>
      <c r="N1458" s="35">
        <f t="shared" si="314"/>
        <v>20904.8</v>
      </c>
      <c r="O1458" s="7">
        <f t="shared" si="324"/>
        <v>0</v>
      </c>
      <c r="P1458" s="35">
        <f t="shared" si="310"/>
        <v>20904.8</v>
      </c>
      <c r="Q1458" s="7">
        <f t="shared" si="324"/>
        <v>3045.4</v>
      </c>
      <c r="R1458" s="35">
        <f t="shared" si="308"/>
        <v>23950.2</v>
      </c>
      <c r="S1458" s="7">
        <f t="shared" si="324"/>
        <v>0</v>
      </c>
      <c r="T1458" s="35">
        <f t="shared" si="322"/>
        <v>23950.2</v>
      </c>
    </row>
    <row r="1459" spans="1:20">
      <c r="A1459" s="61" t="str">
        <f ca="1">IF(ISERROR(MATCH(C1459,Код_Раздел,0)),"",INDIRECT(ADDRESS(MATCH(C1459,Код_Раздел,0)+1,2,,,"Раздел")))</f>
        <v>Средства массовой информации</v>
      </c>
      <c r="B1459" s="45" t="s">
        <v>148</v>
      </c>
      <c r="C1459" s="8" t="s">
        <v>196</v>
      </c>
      <c r="D1459" s="1"/>
      <c r="E1459" s="104"/>
      <c r="F1459" s="7">
        <f t="shared" si="324"/>
        <v>20904.8</v>
      </c>
      <c r="G1459" s="7">
        <f t="shared" si="324"/>
        <v>0</v>
      </c>
      <c r="H1459" s="35">
        <f t="shared" si="315"/>
        <v>20904.8</v>
      </c>
      <c r="I1459" s="7">
        <f t="shared" si="324"/>
        <v>0</v>
      </c>
      <c r="J1459" s="35">
        <f t="shared" si="311"/>
        <v>20904.8</v>
      </c>
      <c r="K1459" s="7">
        <f t="shared" si="324"/>
        <v>0</v>
      </c>
      <c r="L1459" s="35">
        <f t="shared" si="320"/>
        <v>20904.8</v>
      </c>
      <c r="M1459" s="7">
        <f t="shared" si="324"/>
        <v>0</v>
      </c>
      <c r="N1459" s="35">
        <f t="shared" si="314"/>
        <v>20904.8</v>
      </c>
      <c r="O1459" s="7">
        <f t="shared" si="324"/>
        <v>0</v>
      </c>
      <c r="P1459" s="35">
        <f t="shared" si="310"/>
        <v>20904.8</v>
      </c>
      <c r="Q1459" s="7">
        <f t="shared" si="324"/>
        <v>3045.4</v>
      </c>
      <c r="R1459" s="35">
        <f t="shared" si="308"/>
        <v>23950.2</v>
      </c>
      <c r="S1459" s="7">
        <f t="shared" si="324"/>
        <v>0</v>
      </c>
      <c r="T1459" s="35">
        <f t="shared" si="322"/>
        <v>23950.2</v>
      </c>
    </row>
    <row r="1460" spans="1:20">
      <c r="A1460" s="12" t="s">
        <v>198</v>
      </c>
      <c r="B1460" s="45" t="s">
        <v>148</v>
      </c>
      <c r="C1460" s="8" t="s">
        <v>196</v>
      </c>
      <c r="D1460" s="1" t="s">
        <v>214</v>
      </c>
      <c r="E1460" s="104"/>
      <c r="F1460" s="7">
        <f t="shared" si="324"/>
        <v>20904.8</v>
      </c>
      <c r="G1460" s="7">
        <f t="shared" si="324"/>
        <v>0</v>
      </c>
      <c r="H1460" s="35">
        <f t="shared" si="315"/>
        <v>20904.8</v>
      </c>
      <c r="I1460" s="7">
        <f t="shared" si="324"/>
        <v>0</v>
      </c>
      <c r="J1460" s="35">
        <f t="shared" si="311"/>
        <v>20904.8</v>
      </c>
      <c r="K1460" s="7">
        <f t="shared" si="324"/>
        <v>0</v>
      </c>
      <c r="L1460" s="35">
        <f t="shared" si="320"/>
        <v>20904.8</v>
      </c>
      <c r="M1460" s="7">
        <f t="shared" si="324"/>
        <v>0</v>
      </c>
      <c r="N1460" s="35">
        <f t="shared" si="314"/>
        <v>20904.8</v>
      </c>
      <c r="O1460" s="7">
        <f t="shared" si="324"/>
        <v>0</v>
      </c>
      <c r="P1460" s="35">
        <f t="shared" si="310"/>
        <v>20904.8</v>
      </c>
      <c r="Q1460" s="7">
        <f t="shared" si="324"/>
        <v>3045.4</v>
      </c>
      <c r="R1460" s="35">
        <f t="shared" si="308"/>
        <v>23950.2</v>
      </c>
      <c r="S1460" s="7">
        <f t="shared" si="324"/>
        <v>0</v>
      </c>
      <c r="T1460" s="35">
        <f t="shared" si="322"/>
        <v>23950.2</v>
      </c>
    </row>
    <row r="1461" spans="1:20">
      <c r="A1461" s="61" t="str">
        <f ca="1">IF(ISERROR(MATCH(E1461,Код_КВР,0)),"",INDIRECT(ADDRESS(MATCH(E1461,Код_КВР,0)+1,2,,,"КВР")))</f>
        <v>Закупка товаров, работ и услуг для муниципальных нужд</v>
      </c>
      <c r="B1461" s="45" t="s">
        <v>148</v>
      </c>
      <c r="C1461" s="8" t="s">
        <v>196</v>
      </c>
      <c r="D1461" s="1" t="s">
        <v>214</v>
      </c>
      <c r="E1461" s="104">
        <v>200</v>
      </c>
      <c r="F1461" s="7">
        <f t="shared" si="324"/>
        <v>20904.8</v>
      </c>
      <c r="G1461" s="7">
        <f t="shared" si="324"/>
        <v>0</v>
      </c>
      <c r="H1461" s="35">
        <f t="shared" si="315"/>
        <v>20904.8</v>
      </c>
      <c r="I1461" s="7">
        <f t="shared" si="324"/>
        <v>0</v>
      </c>
      <c r="J1461" s="35">
        <f t="shared" si="311"/>
        <v>20904.8</v>
      </c>
      <c r="K1461" s="7">
        <f t="shared" si="324"/>
        <v>0</v>
      </c>
      <c r="L1461" s="35">
        <f t="shared" si="320"/>
        <v>20904.8</v>
      </c>
      <c r="M1461" s="7">
        <f t="shared" si="324"/>
        <v>0</v>
      </c>
      <c r="N1461" s="35">
        <f t="shared" si="314"/>
        <v>20904.8</v>
      </c>
      <c r="O1461" s="7">
        <f t="shared" si="324"/>
        <v>0</v>
      </c>
      <c r="P1461" s="35">
        <f t="shared" si="310"/>
        <v>20904.8</v>
      </c>
      <c r="Q1461" s="7">
        <f t="shared" si="324"/>
        <v>3045.4</v>
      </c>
      <c r="R1461" s="35">
        <f t="shared" si="308"/>
        <v>23950.2</v>
      </c>
      <c r="S1461" s="7">
        <f t="shared" si="324"/>
        <v>0</v>
      </c>
      <c r="T1461" s="35">
        <f t="shared" si="322"/>
        <v>23950.2</v>
      </c>
    </row>
    <row r="1462" spans="1:20" ht="33">
      <c r="A1462" s="61" t="str">
        <f ca="1">IF(ISERROR(MATCH(E1462,Код_КВР,0)),"",INDIRECT(ADDRESS(MATCH(E1462,Код_КВР,0)+1,2,,,"КВР")))</f>
        <v>Иные закупки товаров, работ и услуг для обеспечения муниципальных нужд</v>
      </c>
      <c r="B1462" s="45" t="s">
        <v>148</v>
      </c>
      <c r="C1462" s="8" t="s">
        <v>196</v>
      </c>
      <c r="D1462" s="1" t="s">
        <v>214</v>
      </c>
      <c r="E1462" s="104">
        <v>240</v>
      </c>
      <c r="F1462" s="7">
        <f t="shared" si="324"/>
        <v>20904.8</v>
      </c>
      <c r="G1462" s="7">
        <f t="shared" si="324"/>
        <v>0</v>
      </c>
      <c r="H1462" s="35">
        <f t="shared" si="315"/>
        <v>20904.8</v>
      </c>
      <c r="I1462" s="7">
        <f t="shared" si="324"/>
        <v>0</v>
      </c>
      <c r="J1462" s="35">
        <f t="shared" si="311"/>
        <v>20904.8</v>
      </c>
      <c r="K1462" s="7">
        <f t="shared" si="324"/>
        <v>0</v>
      </c>
      <c r="L1462" s="35">
        <f t="shared" si="320"/>
        <v>20904.8</v>
      </c>
      <c r="M1462" s="7">
        <f t="shared" si="324"/>
        <v>0</v>
      </c>
      <c r="N1462" s="35">
        <f t="shared" si="314"/>
        <v>20904.8</v>
      </c>
      <c r="O1462" s="7">
        <f t="shared" si="324"/>
        <v>0</v>
      </c>
      <c r="P1462" s="35">
        <f t="shared" si="310"/>
        <v>20904.8</v>
      </c>
      <c r="Q1462" s="7">
        <f t="shared" si="324"/>
        <v>3045.4</v>
      </c>
      <c r="R1462" s="35">
        <f t="shared" si="308"/>
        <v>23950.2</v>
      </c>
      <c r="S1462" s="7">
        <f t="shared" si="324"/>
        <v>0</v>
      </c>
      <c r="T1462" s="35">
        <f t="shared" si="322"/>
        <v>23950.2</v>
      </c>
    </row>
    <row r="1463" spans="1:20" ht="33">
      <c r="A1463" s="61" t="str">
        <f ca="1">IF(ISERROR(MATCH(E1463,Код_КВР,0)),"",INDIRECT(ADDRESS(MATCH(E1463,Код_КВР,0)+1,2,,,"КВР")))</f>
        <v xml:space="preserve">Прочая закупка товаров, работ и услуг для обеспечения муниципальных нужд         </v>
      </c>
      <c r="B1463" s="45" t="s">
        <v>148</v>
      </c>
      <c r="C1463" s="8" t="s">
        <v>196</v>
      </c>
      <c r="D1463" s="1" t="s">
        <v>214</v>
      </c>
      <c r="E1463" s="104">
        <v>244</v>
      </c>
      <c r="F1463" s="7">
        <f>прил.6!G391</f>
        <v>20904.8</v>
      </c>
      <c r="G1463" s="7">
        <f>прил.6!H391</f>
        <v>0</v>
      </c>
      <c r="H1463" s="35">
        <f t="shared" si="315"/>
        <v>20904.8</v>
      </c>
      <c r="I1463" s="7">
        <f>прил.6!J391</f>
        <v>0</v>
      </c>
      <c r="J1463" s="35">
        <f t="shared" si="311"/>
        <v>20904.8</v>
      </c>
      <c r="K1463" s="7">
        <f>прил.6!L391</f>
        <v>0</v>
      </c>
      <c r="L1463" s="35">
        <f t="shared" si="320"/>
        <v>20904.8</v>
      </c>
      <c r="M1463" s="7">
        <f>прил.6!N391</f>
        <v>0</v>
      </c>
      <c r="N1463" s="35">
        <f t="shared" si="314"/>
        <v>20904.8</v>
      </c>
      <c r="O1463" s="7">
        <f>прил.6!P391</f>
        <v>0</v>
      </c>
      <c r="P1463" s="35">
        <f t="shared" si="310"/>
        <v>20904.8</v>
      </c>
      <c r="Q1463" s="7">
        <f>прил.6!R391</f>
        <v>3045.4</v>
      </c>
      <c r="R1463" s="35">
        <f t="shared" ref="R1463:R1533" si="325">P1463+Q1463</f>
        <v>23950.2</v>
      </c>
      <c r="S1463" s="7">
        <f>прил.6!T391</f>
        <v>0</v>
      </c>
      <c r="T1463" s="35">
        <f t="shared" si="322"/>
        <v>23950.2</v>
      </c>
    </row>
    <row r="1464" spans="1:20" ht="49.5">
      <c r="A1464" s="61" t="str">
        <f ca="1">IF(ISERROR(MATCH(B1464,Код_КЦСР,0)),"",INDIRECT(ADDRESS(MATCH(B1464,Код_КЦСР,0)+1,2,,,"КЦСР")))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1464" s="45" t="s">
        <v>150</v>
      </c>
      <c r="C1464" s="8"/>
      <c r="D1464" s="1"/>
      <c r="E1464" s="104"/>
      <c r="F1464" s="7">
        <f>F1465+F1498</f>
        <v>10864.400000000001</v>
      </c>
      <c r="G1464" s="7">
        <f>G1465+G1498</f>
        <v>0</v>
      </c>
      <c r="H1464" s="35">
        <f t="shared" si="315"/>
        <v>10864.400000000001</v>
      </c>
      <c r="I1464" s="7">
        <f>I1465+I1498</f>
        <v>0</v>
      </c>
      <c r="J1464" s="35">
        <f t="shared" si="311"/>
        <v>10864.400000000001</v>
      </c>
      <c r="K1464" s="7">
        <f>K1465+K1498</f>
        <v>-17.5</v>
      </c>
      <c r="L1464" s="35">
        <f t="shared" si="320"/>
        <v>10846.900000000001</v>
      </c>
      <c r="M1464" s="7">
        <f>M1465+M1498</f>
        <v>0</v>
      </c>
      <c r="N1464" s="35">
        <f t="shared" si="314"/>
        <v>10846.900000000001</v>
      </c>
      <c r="O1464" s="7">
        <f>O1465+O1498</f>
        <v>0</v>
      </c>
      <c r="P1464" s="35">
        <f t="shared" si="310"/>
        <v>10846.900000000001</v>
      </c>
      <c r="Q1464" s="7">
        <f>Q1465+Q1498</f>
        <v>0</v>
      </c>
      <c r="R1464" s="35">
        <f t="shared" si="325"/>
        <v>10846.900000000001</v>
      </c>
      <c r="S1464" s="7">
        <f>S1465+S1498</f>
        <v>0</v>
      </c>
      <c r="T1464" s="35">
        <f t="shared" si="322"/>
        <v>10846.900000000001</v>
      </c>
    </row>
    <row r="1465" spans="1:20" ht="33">
      <c r="A1465" s="61" t="str">
        <f ca="1">IF(ISERROR(MATCH(B1465,Код_КЦСР,0)),"",INDIRECT(ADDRESS(MATCH(B1465,Код_КЦСР,0)+1,2,,,"КЦСР")))</f>
        <v>Профилактика преступлений и иных правонарушений в городе Череповце</v>
      </c>
      <c r="B1465" s="45" t="s">
        <v>152</v>
      </c>
      <c r="C1465" s="8"/>
      <c r="D1465" s="1"/>
      <c r="E1465" s="104"/>
      <c r="F1465" s="7">
        <f>F1466+F1472+F1492</f>
        <v>10834.400000000001</v>
      </c>
      <c r="G1465" s="7">
        <f>G1466+G1472+G1492</f>
        <v>0</v>
      </c>
      <c r="H1465" s="35">
        <f t="shared" si="315"/>
        <v>10834.400000000001</v>
      </c>
      <c r="I1465" s="7">
        <f>I1466+I1472+I1492</f>
        <v>0</v>
      </c>
      <c r="J1465" s="35">
        <f t="shared" si="311"/>
        <v>10834.400000000001</v>
      </c>
      <c r="K1465" s="7">
        <f>K1466+K1472+K1492</f>
        <v>-17.5</v>
      </c>
      <c r="L1465" s="35">
        <f t="shared" si="320"/>
        <v>10816.900000000001</v>
      </c>
      <c r="M1465" s="7">
        <f>M1466+M1472+M1492</f>
        <v>0</v>
      </c>
      <c r="N1465" s="35">
        <f t="shared" si="314"/>
        <v>10816.900000000001</v>
      </c>
      <c r="O1465" s="7">
        <f>O1466+O1472+O1492</f>
        <v>0</v>
      </c>
      <c r="P1465" s="35">
        <f t="shared" si="310"/>
        <v>10816.900000000001</v>
      </c>
      <c r="Q1465" s="7">
        <f>Q1466+Q1472+Q1492</f>
        <v>0</v>
      </c>
      <c r="R1465" s="35">
        <f t="shared" si="325"/>
        <v>10816.900000000001</v>
      </c>
      <c r="S1465" s="7">
        <f>S1466+S1472+S1492</f>
        <v>0</v>
      </c>
      <c r="T1465" s="35">
        <f t="shared" si="322"/>
        <v>10816.900000000001</v>
      </c>
    </row>
    <row r="1466" spans="1:20" ht="49.5">
      <c r="A1466" s="61" t="str">
        <f ca="1">IF(ISERROR(MATCH(B1466,Код_КЦСР,0)),"",INDIRECT(ADDRESS(MATCH(B1466,Код_КЦСР,0)+1,2,,,"КЦСР")))</f>
        <v>Внедрение современных технических средств, направленных на предупреждение правонарушений и преступлений в общественных местах и на улицах</v>
      </c>
      <c r="B1466" s="104" t="s">
        <v>386</v>
      </c>
      <c r="C1466" s="8"/>
      <c r="D1466" s="1"/>
      <c r="E1466" s="104"/>
      <c r="F1466" s="7">
        <f t="shared" ref="F1466:S1470" si="326">F1467</f>
        <v>65</v>
      </c>
      <c r="G1466" s="7">
        <f t="shared" si="326"/>
        <v>0</v>
      </c>
      <c r="H1466" s="35">
        <f t="shared" si="315"/>
        <v>65</v>
      </c>
      <c r="I1466" s="7">
        <f t="shared" si="326"/>
        <v>0</v>
      </c>
      <c r="J1466" s="35">
        <f t="shared" si="311"/>
        <v>65</v>
      </c>
      <c r="K1466" s="7">
        <f t="shared" si="326"/>
        <v>0</v>
      </c>
      <c r="L1466" s="35">
        <f t="shared" si="320"/>
        <v>65</v>
      </c>
      <c r="M1466" s="7">
        <f t="shared" si="326"/>
        <v>0</v>
      </c>
      <c r="N1466" s="35">
        <f t="shared" si="314"/>
        <v>65</v>
      </c>
      <c r="O1466" s="7">
        <f t="shared" si="326"/>
        <v>0</v>
      </c>
      <c r="P1466" s="35">
        <f t="shared" si="310"/>
        <v>65</v>
      </c>
      <c r="Q1466" s="7">
        <f t="shared" si="326"/>
        <v>0</v>
      </c>
      <c r="R1466" s="35">
        <f t="shared" si="325"/>
        <v>65</v>
      </c>
      <c r="S1466" s="7">
        <f t="shared" si="326"/>
        <v>0</v>
      </c>
      <c r="T1466" s="35">
        <f t="shared" si="322"/>
        <v>65</v>
      </c>
    </row>
    <row r="1467" spans="1:20">
      <c r="A1467" s="61" t="str">
        <f ca="1">IF(ISERROR(MATCH(C1467,Код_Раздел,0)),"",INDIRECT(ADDRESS(MATCH(C1467,Код_Раздел,0)+1,2,,,"Раздел")))</f>
        <v>Национальная экономика</v>
      </c>
      <c r="B1467" s="104" t="s">
        <v>386</v>
      </c>
      <c r="C1467" s="8" t="s">
        <v>216</v>
      </c>
      <c r="D1467" s="1"/>
      <c r="E1467" s="104"/>
      <c r="F1467" s="7">
        <f t="shared" si="326"/>
        <v>65</v>
      </c>
      <c r="G1467" s="7">
        <f t="shared" si="326"/>
        <v>0</v>
      </c>
      <c r="H1467" s="35">
        <f t="shared" si="315"/>
        <v>65</v>
      </c>
      <c r="I1467" s="7">
        <f t="shared" si="326"/>
        <v>0</v>
      </c>
      <c r="J1467" s="35">
        <f t="shared" si="311"/>
        <v>65</v>
      </c>
      <c r="K1467" s="7">
        <f t="shared" si="326"/>
        <v>0</v>
      </c>
      <c r="L1467" s="35">
        <f t="shared" si="320"/>
        <v>65</v>
      </c>
      <c r="M1467" s="7">
        <f t="shared" si="326"/>
        <v>0</v>
      </c>
      <c r="N1467" s="35">
        <f t="shared" si="314"/>
        <v>65</v>
      </c>
      <c r="O1467" s="7">
        <f t="shared" si="326"/>
        <v>0</v>
      </c>
      <c r="P1467" s="35">
        <f t="shared" si="310"/>
        <v>65</v>
      </c>
      <c r="Q1467" s="7">
        <f t="shared" si="326"/>
        <v>0</v>
      </c>
      <c r="R1467" s="35">
        <f t="shared" si="325"/>
        <v>65</v>
      </c>
      <c r="S1467" s="7">
        <f t="shared" si="326"/>
        <v>0</v>
      </c>
      <c r="T1467" s="35">
        <f t="shared" si="322"/>
        <v>65</v>
      </c>
    </row>
    <row r="1468" spans="1:20">
      <c r="A1468" s="12" t="s">
        <v>230</v>
      </c>
      <c r="B1468" s="104" t="s">
        <v>386</v>
      </c>
      <c r="C1468" s="8" t="s">
        <v>216</v>
      </c>
      <c r="D1468" s="1" t="s">
        <v>188</v>
      </c>
      <c r="E1468" s="104"/>
      <c r="F1468" s="7">
        <f t="shared" si="326"/>
        <v>65</v>
      </c>
      <c r="G1468" s="7">
        <f t="shared" si="326"/>
        <v>0</v>
      </c>
      <c r="H1468" s="35">
        <f t="shared" si="315"/>
        <v>65</v>
      </c>
      <c r="I1468" s="7">
        <f t="shared" si="326"/>
        <v>0</v>
      </c>
      <c r="J1468" s="35">
        <f t="shared" si="311"/>
        <v>65</v>
      </c>
      <c r="K1468" s="7">
        <f t="shared" si="326"/>
        <v>0</v>
      </c>
      <c r="L1468" s="35">
        <f t="shared" si="320"/>
        <v>65</v>
      </c>
      <c r="M1468" s="7">
        <f t="shared" si="326"/>
        <v>0</v>
      </c>
      <c r="N1468" s="35">
        <f t="shared" si="314"/>
        <v>65</v>
      </c>
      <c r="O1468" s="7">
        <f t="shared" si="326"/>
        <v>0</v>
      </c>
      <c r="P1468" s="35">
        <f t="shared" si="310"/>
        <v>65</v>
      </c>
      <c r="Q1468" s="7">
        <f t="shared" si="326"/>
        <v>0</v>
      </c>
      <c r="R1468" s="35">
        <f t="shared" si="325"/>
        <v>65</v>
      </c>
      <c r="S1468" s="7">
        <f t="shared" si="326"/>
        <v>0</v>
      </c>
      <c r="T1468" s="35">
        <f t="shared" si="322"/>
        <v>65</v>
      </c>
    </row>
    <row r="1469" spans="1:20" ht="33">
      <c r="A1469" s="61" t="str">
        <f ca="1">IF(ISERROR(MATCH(E1469,Код_КВР,0)),"",INDIRECT(ADDRESS(MATCH(E1469,Код_КВР,0)+1,2,,,"КВР")))</f>
        <v>Предоставление субсидий бюджетным, автономным учреждениям и иным некоммерческим организациям</v>
      </c>
      <c r="B1469" s="104" t="s">
        <v>386</v>
      </c>
      <c r="C1469" s="8" t="s">
        <v>216</v>
      </c>
      <c r="D1469" s="1" t="s">
        <v>188</v>
      </c>
      <c r="E1469" s="104">
        <v>600</v>
      </c>
      <c r="F1469" s="7">
        <f t="shared" si="326"/>
        <v>65</v>
      </c>
      <c r="G1469" s="7">
        <f t="shared" si="326"/>
        <v>0</v>
      </c>
      <c r="H1469" s="35">
        <f t="shared" si="315"/>
        <v>65</v>
      </c>
      <c r="I1469" s="7">
        <f t="shared" si="326"/>
        <v>0</v>
      </c>
      <c r="J1469" s="35">
        <f t="shared" si="311"/>
        <v>65</v>
      </c>
      <c r="K1469" s="7">
        <f t="shared" si="326"/>
        <v>0</v>
      </c>
      <c r="L1469" s="35">
        <f t="shared" si="320"/>
        <v>65</v>
      </c>
      <c r="M1469" s="7">
        <f t="shared" si="326"/>
        <v>0</v>
      </c>
      <c r="N1469" s="35">
        <f t="shared" si="314"/>
        <v>65</v>
      </c>
      <c r="O1469" s="7">
        <f t="shared" si="326"/>
        <v>0</v>
      </c>
      <c r="P1469" s="35">
        <f t="shared" si="310"/>
        <v>65</v>
      </c>
      <c r="Q1469" s="7">
        <f t="shared" si="326"/>
        <v>0</v>
      </c>
      <c r="R1469" s="35">
        <f t="shared" si="325"/>
        <v>65</v>
      </c>
      <c r="S1469" s="7">
        <f t="shared" si="326"/>
        <v>0</v>
      </c>
      <c r="T1469" s="35">
        <f t="shared" si="322"/>
        <v>65</v>
      </c>
    </row>
    <row r="1470" spans="1:20">
      <c r="A1470" s="61" t="str">
        <f ca="1">IF(ISERROR(MATCH(E1470,Код_КВР,0)),"",INDIRECT(ADDRESS(MATCH(E1470,Код_КВР,0)+1,2,,,"КВР")))</f>
        <v>Субсидии бюджетным учреждениям</v>
      </c>
      <c r="B1470" s="104" t="s">
        <v>386</v>
      </c>
      <c r="C1470" s="8" t="s">
        <v>216</v>
      </c>
      <c r="D1470" s="1" t="s">
        <v>188</v>
      </c>
      <c r="E1470" s="104">
        <v>610</v>
      </c>
      <c r="F1470" s="7">
        <f t="shared" si="326"/>
        <v>65</v>
      </c>
      <c r="G1470" s="7">
        <f t="shared" si="326"/>
        <v>0</v>
      </c>
      <c r="H1470" s="35">
        <f t="shared" si="315"/>
        <v>65</v>
      </c>
      <c r="I1470" s="7">
        <f t="shared" si="326"/>
        <v>0</v>
      </c>
      <c r="J1470" s="35">
        <f t="shared" si="311"/>
        <v>65</v>
      </c>
      <c r="K1470" s="7">
        <f t="shared" si="326"/>
        <v>0</v>
      </c>
      <c r="L1470" s="35">
        <f t="shared" si="320"/>
        <v>65</v>
      </c>
      <c r="M1470" s="7">
        <f t="shared" si="326"/>
        <v>0</v>
      </c>
      <c r="N1470" s="35">
        <f t="shared" si="314"/>
        <v>65</v>
      </c>
      <c r="O1470" s="7">
        <f t="shared" si="326"/>
        <v>0</v>
      </c>
      <c r="P1470" s="35">
        <f t="shared" si="310"/>
        <v>65</v>
      </c>
      <c r="Q1470" s="7">
        <f t="shared" si="326"/>
        <v>0</v>
      </c>
      <c r="R1470" s="35">
        <f t="shared" si="325"/>
        <v>65</v>
      </c>
      <c r="S1470" s="7">
        <f t="shared" si="326"/>
        <v>0</v>
      </c>
      <c r="T1470" s="35">
        <f t="shared" si="322"/>
        <v>65</v>
      </c>
    </row>
    <row r="1471" spans="1:20">
      <c r="A1471" s="61" t="str">
        <f ca="1">IF(ISERROR(MATCH(E1471,Код_КВР,0)),"",INDIRECT(ADDRESS(MATCH(E1471,Код_КВР,0)+1,2,,,"КВР")))</f>
        <v>Субсидии бюджетным учреждениям на иные цели</v>
      </c>
      <c r="B1471" s="104" t="s">
        <v>386</v>
      </c>
      <c r="C1471" s="8" t="s">
        <v>216</v>
      </c>
      <c r="D1471" s="1" t="s">
        <v>188</v>
      </c>
      <c r="E1471" s="104">
        <v>612</v>
      </c>
      <c r="F1471" s="7">
        <f>прил.6!G272</f>
        <v>65</v>
      </c>
      <c r="G1471" s="7">
        <f>прил.6!H272</f>
        <v>0</v>
      </c>
      <c r="H1471" s="35">
        <f t="shared" si="315"/>
        <v>65</v>
      </c>
      <c r="I1471" s="7">
        <f>прил.6!J272</f>
        <v>0</v>
      </c>
      <c r="J1471" s="35">
        <f t="shared" ref="J1471:J1542" si="327">H1471+I1471</f>
        <v>65</v>
      </c>
      <c r="K1471" s="7">
        <f>прил.6!L272</f>
        <v>0</v>
      </c>
      <c r="L1471" s="35">
        <f t="shared" si="320"/>
        <v>65</v>
      </c>
      <c r="M1471" s="7">
        <f>прил.6!N272</f>
        <v>0</v>
      </c>
      <c r="N1471" s="35">
        <f t="shared" si="314"/>
        <v>65</v>
      </c>
      <c r="O1471" s="7">
        <f>прил.6!P272</f>
        <v>0</v>
      </c>
      <c r="P1471" s="35">
        <f t="shared" ref="P1471:P1541" si="328">N1471+O1471</f>
        <v>65</v>
      </c>
      <c r="Q1471" s="7">
        <f>прил.6!R272</f>
        <v>0</v>
      </c>
      <c r="R1471" s="35">
        <f t="shared" si="325"/>
        <v>65</v>
      </c>
      <c r="S1471" s="7">
        <f>прил.6!T272</f>
        <v>0</v>
      </c>
      <c r="T1471" s="35">
        <f t="shared" si="322"/>
        <v>65</v>
      </c>
    </row>
    <row r="1472" spans="1:20">
      <c r="A1472" s="61" t="str">
        <f ca="1">IF(ISERROR(MATCH(B1472,Код_КЦСР,0)),"",INDIRECT(ADDRESS(MATCH(B1472,Код_КЦСР,0)+1,2,,,"КЦСР")))</f>
        <v>Привлечение общественности к охране общественного порядка</v>
      </c>
      <c r="B1472" s="45" t="s">
        <v>154</v>
      </c>
      <c r="C1472" s="8"/>
      <c r="D1472" s="1"/>
      <c r="E1472" s="104"/>
      <c r="F1472" s="7">
        <f>F1473+F1478+F1488</f>
        <v>9534.2000000000007</v>
      </c>
      <c r="G1472" s="7">
        <f>G1473+G1478+G1488</f>
        <v>0</v>
      </c>
      <c r="H1472" s="35">
        <f t="shared" si="315"/>
        <v>9534.2000000000007</v>
      </c>
      <c r="I1472" s="7">
        <f>I1473+I1478+I1488</f>
        <v>0</v>
      </c>
      <c r="J1472" s="35">
        <f t="shared" si="327"/>
        <v>9534.2000000000007</v>
      </c>
      <c r="K1472" s="7">
        <f>K1473+K1478+K1488</f>
        <v>-17.5</v>
      </c>
      <c r="L1472" s="35">
        <f t="shared" si="320"/>
        <v>9516.7000000000007</v>
      </c>
      <c r="M1472" s="7">
        <f>M1473+M1478+M1488</f>
        <v>0</v>
      </c>
      <c r="N1472" s="35">
        <f t="shared" si="314"/>
        <v>9516.7000000000007</v>
      </c>
      <c r="O1472" s="7">
        <f>O1473+O1478+O1488</f>
        <v>0</v>
      </c>
      <c r="P1472" s="35">
        <f t="shared" si="328"/>
        <v>9516.7000000000007</v>
      </c>
      <c r="Q1472" s="7">
        <f>Q1473+Q1478+Q1488</f>
        <v>0</v>
      </c>
      <c r="R1472" s="35">
        <f t="shared" si="325"/>
        <v>9516.7000000000007</v>
      </c>
      <c r="S1472" s="7">
        <f>S1473+S1478+S1488</f>
        <v>0</v>
      </c>
      <c r="T1472" s="35">
        <f t="shared" si="322"/>
        <v>9516.7000000000007</v>
      </c>
    </row>
    <row r="1473" spans="1:20">
      <c r="A1473" s="61" t="str">
        <f ca="1">IF(ISERROR(MATCH(C1473,Код_Раздел,0)),"",INDIRECT(ADDRESS(MATCH(C1473,Код_Раздел,0)+1,2,,,"Раздел")))</f>
        <v>Общегосударственные  вопросы</v>
      </c>
      <c r="B1473" s="45" t="s">
        <v>154</v>
      </c>
      <c r="C1473" s="8" t="s">
        <v>213</v>
      </c>
      <c r="D1473" s="1"/>
      <c r="E1473" s="104"/>
      <c r="F1473" s="7">
        <f t="shared" ref="F1473:S1476" si="329">F1474</f>
        <v>20</v>
      </c>
      <c r="G1473" s="7">
        <f t="shared" si="329"/>
        <v>0</v>
      </c>
      <c r="H1473" s="35">
        <f t="shared" si="315"/>
        <v>20</v>
      </c>
      <c r="I1473" s="7">
        <f t="shared" si="329"/>
        <v>0</v>
      </c>
      <c r="J1473" s="35">
        <f t="shared" si="327"/>
        <v>20</v>
      </c>
      <c r="K1473" s="7">
        <f t="shared" si="329"/>
        <v>0</v>
      </c>
      <c r="L1473" s="35">
        <f t="shared" si="320"/>
        <v>20</v>
      </c>
      <c r="M1473" s="7">
        <f t="shared" si="329"/>
        <v>0</v>
      </c>
      <c r="N1473" s="35">
        <f t="shared" si="314"/>
        <v>20</v>
      </c>
      <c r="O1473" s="7">
        <f t="shared" si="329"/>
        <v>0</v>
      </c>
      <c r="P1473" s="35">
        <f t="shared" si="328"/>
        <v>20</v>
      </c>
      <c r="Q1473" s="7">
        <f t="shared" si="329"/>
        <v>0</v>
      </c>
      <c r="R1473" s="35">
        <f t="shared" si="325"/>
        <v>20</v>
      </c>
      <c r="S1473" s="7">
        <f t="shared" si="329"/>
        <v>0</v>
      </c>
      <c r="T1473" s="35">
        <f t="shared" si="322"/>
        <v>20</v>
      </c>
    </row>
    <row r="1474" spans="1:20">
      <c r="A1474" s="12" t="s">
        <v>237</v>
      </c>
      <c r="B1474" s="45" t="s">
        <v>154</v>
      </c>
      <c r="C1474" s="8" t="s">
        <v>213</v>
      </c>
      <c r="D1474" s="1" t="s">
        <v>190</v>
      </c>
      <c r="E1474" s="104"/>
      <c r="F1474" s="7">
        <f t="shared" si="329"/>
        <v>20</v>
      </c>
      <c r="G1474" s="7">
        <f t="shared" si="329"/>
        <v>0</v>
      </c>
      <c r="H1474" s="35">
        <f t="shared" si="315"/>
        <v>20</v>
      </c>
      <c r="I1474" s="7">
        <f t="shared" si="329"/>
        <v>0</v>
      </c>
      <c r="J1474" s="35">
        <f t="shared" si="327"/>
        <v>20</v>
      </c>
      <c r="K1474" s="7">
        <f t="shared" si="329"/>
        <v>0</v>
      </c>
      <c r="L1474" s="35">
        <f t="shared" si="320"/>
        <v>20</v>
      </c>
      <c r="M1474" s="7">
        <f t="shared" si="329"/>
        <v>0</v>
      </c>
      <c r="N1474" s="35">
        <f t="shared" ref="N1474:N1544" si="330">L1474+M1474</f>
        <v>20</v>
      </c>
      <c r="O1474" s="7">
        <f t="shared" si="329"/>
        <v>0</v>
      </c>
      <c r="P1474" s="35">
        <f t="shared" si="328"/>
        <v>20</v>
      </c>
      <c r="Q1474" s="7">
        <f t="shared" si="329"/>
        <v>0</v>
      </c>
      <c r="R1474" s="35">
        <f t="shared" si="325"/>
        <v>20</v>
      </c>
      <c r="S1474" s="7">
        <f t="shared" si="329"/>
        <v>0</v>
      </c>
      <c r="T1474" s="35">
        <f t="shared" si="322"/>
        <v>20</v>
      </c>
    </row>
    <row r="1475" spans="1:20">
      <c r="A1475" s="61" t="str">
        <f ca="1">IF(ISERROR(MATCH(E1475,Код_КВР,0)),"",INDIRECT(ADDRESS(MATCH(E1475,Код_КВР,0)+1,2,,,"КВР")))</f>
        <v>Закупка товаров, работ и услуг для муниципальных нужд</v>
      </c>
      <c r="B1475" s="45" t="s">
        <v>154</v>
      </c>
      <c r="C1475" s="8" t="s">
        <v>213</v>
      </c>
      <c r="D1475" s="1" t="s">
        <v>190</v>
      </c>
      <c r="E1475" s="104">
        <v>200</v>
      </c>
      <c r="F1475" s="7">
        <f t="shared" si="329"/>
        <v>20</v>
      </c>
      <c r="G1475" s="7">
        <f t="shared" si="329"/>
        <v>0</v>
      </c>
      <c r="H1475" s="35">
        <f t="shared" si="315"/>
        <v>20</v>
      </c>
      <c r="I1475" s="7">
        <f t="shared" si="329"/>
        <v>0</v>
      </c>
      <c r="J1475" s="35">
        <f t="shared" si="327"/>
        <v>20</v>
      </c>
      <c r="K1475" s="7">
        <f t="shared" si="329"/>
        <v>0</v>
      </c>
      <c r="L1475" s="35">
        <f t="shared" si="320"/>
        <v>20</v>
      </c>
      <c r="M1475" s="7">
        <f t="shared" si="329"/>
        <v>0</v>
      </c>
      <c r="N1475" s="35">
        <f t="shared" si="330"/>
        <v>20</v>
      </c>
      <c r="O1475" s="7">
        <f t="shared" si="329"/>
        <v>0</v>
      </c>
      <c r="P1475" s="35">
        <f t="shared" si="328"/>
        <v>20</v>
      </c>
      <c r="Q1475" s="7">
        <f t="shared" si="329"/>
        <v>0</v>
      </c>
      <c r="R1475" s="35">
        <f t="shared" si="325"/>
        <v>20</v>
      </c>
      <c r="S1475" s="7">
        <f t="shared" si="329"/>
        <v>0</v>
      </c>
      <c r="T1475" s="35">
        <f t="shared" si="322"/>
        <v>20</v>
      </c>
    </row>
    <row r="1476" spans="1:20" ht="33">
      <c r="A1476" s="61" t="str">
        <f ca="1">IF(ISERROR(MATCH(E1476,Код_КВР,0)),"",INDIRECT(ADDRESS(MATCH(E1476,Код_КВР,0)+1,2,,,"КВР")))</f>
        <v>Иные закупки товаров, работ и услуг для обеспечения муниципальных нужд</v>
      </c>
      <c r="B1476" s="45" t="s">
        <v>154</v>
      </c>
      <c r="C1476" s="8" t="s">
        <v>213</v>
      </c>
      <c r="D1476" s="1" t="s">
        <v>190</v>
      </c>
      <c r="E1476" s="104">
        <v>240</v>
      </c>
      <c r="F1476" s="7">
        <f t="shared" si="329"/>
        <v>20</v>
      </c>
      <c r="G1476" s="7">
        <f t="shared" si="329"/>
        <v>0</v>
      </c>
      <c r="H1476" s="35">
        <f t="shared" si="315"/>
        <v>20</v>
      </c>
      <c r="I1476" s="7">
        <f t="shared" si="329"/>
        <v>0</v>
      </c>
      <c r="J1476" s="35">
        <f t="shared" si="327"/>
        <v>20</v>
      </c>
      <c r="K1476" s="7">
        <f t="shared" si="329"/>
        <v>0</v>
      </c>
      <c r="L1476" s="35">
        <f t="shared" si="320"/>
        <v>20</v>
      </c>
      <c r="M1476" s="7">
        <f t="shared" si="329"/>
        <v>0</v>
      </c>
      <c r="N1476" s="35">
        <f t="shared" si="330"/>
        <v>20</v>
      </c>
      <c r="O1476" s="7">
        <f t="shared" si="329"/>
        <v>0</v>
      </c>
      <c r="P1476" s="35">
        <f t="shared" si="328"/>
        <v>20</v>
      </c>
      <c r="Q1476" s="7">
        <f t="shared" si="329"/>
        <v>0</v>
      </c>
      <c r="R1476" s="35">
        <f t="shared" si="325"/>
        <v>20</v>
      </c>
      <c r="S1476" s="7">
        <f t="shared" si="329"/>
        <v>0</v>
      </c>
      <c r="T1476" s="35">
        <f t="shared" si="322"/>
        <v>20</v>
      </c>
    </row>
    <row r="1477" spans="1:20" ht="33">
      <c r="A1477" s="61" t="str">
        <f ca="1">IF(ISERROR(MATCH(E1477,Код_КВР,0)),"",INDIRECT(ADDRESS(MATCH(E1477,Код_КВР,0)+1,2,,,"КВР")))</f>
        <v xml:space="preserve">Прочая закупка товаров, работ и услуг для обеспечения муниципальных нужд         </v>
      </c>
      <c r="B1477" s="45" t="s">
        <v>154</v>
      </c>
      <c r="C1477" s="8" t="s">
        <v>213</v>
      </c>
      <c r="D1477" s="1" t="s">
        <v>190</v>
      </c>
      <c r="E1477" s="104">
        <v>244</v>
      </c>
      <c r="F1477" s="7">
        <f>прил.6!G163</f>
        <v>20</v>
      </c>
      <c r="G1477" s="7">
        <f>прил.6!H163</f>
        <v>0</v>
      </c>
      <c r="H1477" s="35">
        <f t="shared" si="315"/>
        <v>20</v>
      </c>
      <c r="I1477" s="7">
        <f>прил.6!J163</f>
        <v>0</v>
      </c>
      <c r="J1477" s="35">
        <f t="shared" si="327"/>
        <v>20</v>
      </c>
      <c r="K1477" s="7">
        <f>прил.6!L163</f>
        <v>0</v>
      </c>
      <c r="L1477" s="35">
        <f t="shared" si="320"/>
        <v>20</v>
      </c>
      <c r="M1477" s="7">
        <f>прил.6!N163</f>
        <v>0</v>
      </c>
      <c r="N1477" s="35">
        <f t="shared" si="330"/>
        <v>20</v>
      </c>
      <c r="O1477" s="7">
        <f>прил.6!P163</f>
        <v>0</v>
      </c>
      <c r="P1477" s="35">
        <f t="shared" si="328"/>
        <v>20</v>
      </c>
      <c r="Q1477" s="7">
        <f>прил.6!R163</f>
        <v>0</v>
      </c>
      <c r="R1477" s="35">
        <f t="shared" si="325"/>
        <v>20</v>
      </c>
      <c r="S1477" s="7">
        <f>прил.6!T163</f>
        <v>0</v>
      </c>
      <c r="T1477" s="35">
        <f t="shared" si="322"/>
        <v>20</v>
      </c>
    </row>
    <row r="1478" spans="1:20">
      <c r="A1478" s="61" t="str">
        <f ca="1">IF(ISERROR(MATCH(C1478,Код_Раздел,0)),"",INDIRECT(ADDRESS(MATCH(C1478,Код_Раздел,0)+1,2,,,"Раздел")))</f>
        <v>Национальная безопасность и правоохранительная  деятельность</v>
      </c>
      <c r="B1478" s="45" t="s">
        <v>154</v>
      </c>
      <c r="C1478" s="8" t="s">
        <v>215</v>
      </c>
      <c r="D1478" s="1"/>
      <c r="E1478" s="104"/>
      <c r="F1478" s="7">
        <f>F1479</f>
        <v>9414.2000000000007</v>
      </c>
      <c r="G1478" s="7">
        <f>G1479</f>
        <v>0</v>
      </c>
      <c r="H1478" s="35">
        <f t="shared" si="315"/>
        <v>9414.2000000000007</v>
      </c>
      <c r="I1478" s="7">
        <f>I1479</f>
        <v>0</v>
      </c>
      <c r="J1478" s="35">
        <f t="shared" si="327"/>
        <v>9414.2000000000007</v>
      </c>
      <c r="K1478" s="7">
        <f>K1479</f>
        <v>-17.5</v>
      </c>
      <c r="L1478" s="35">
        <f t="shared" si="320"/>
        <v>9396.7000000000007</v>
      </c>
      <c r="M1478" s="7">
        <f>M1479</f>
        <v>0</v>
      </c>
      <c r="N1478" s="35">
        <f t="shared" si="330"/>
        <v>9396.7000000000007</v>
      </c>
      <c r="O1478" s="7">
        <f>O1479</f>
        <v>0</v>
      </c>
      <c r="P1478" s="35">
        <f t="shared" si="328"/>
        <v>9396.7000000000007</v>
      </c>
      <c r="Q1478" s="7">
        <f>Q1479</f>
        <v>0</v>
      </c>
      <c r="R1478" s="35">
        <f t="shared" si="325"/>
        <v>9396.7000000000007</v>
      </c>
      <c r="S1478" s="7">
        <f>S1479</f>
        <v>0</v>
      </c>
      <c r="T1478" s="35">
        <f t="shared" si="322"/>
        <v>9396.7000000000007</v>
      </c>
    </row>
    <row r="1479" spans="1:20" ht="33.75" customHeight="1">
      <c r="A1479" s="12" t="s">
        <v>262</v>
      </c>
      <c r="B1479" s="45" t="s">
        <v>154</v>
      </c>
      <c r="C1479" s="8" t="s">
        <v>215</v>
      </c>
      <c r="D1479" s="1" t="s">
        <v>219</v>
      </c>
      <c r="E1479" s="104"/>
      <c r="F1479" s="7">
        <f>F1480+F1482+F1485</f>
        <v>9414.2000000000007</v>
      </c>
      <c r="G1479" s="7">
        <f>G1480+G1482+G1485</f>
        <v>0</v>
      </c>
      <c r="H1479" s="35">
        <f t="shared" ref="H1479:H1550" si="331">F1479+G1479</f>
        <v>9414.2000000000007</v>
      </c>
      <c r="I1479" s="7">
        <f>I1480+I1482+I1485</f>
        <v>0</v>
      </c>
      <c r="J1479" s="35">
        <f t="shared" si="327"/>
        <v>9414.2000000000007</v>
      </c>
      <c r="K1479" s="7">
        <f>K1480+K1482+K1485</f>
        <v>-17.5</v>
      </c>
      <c r="L1479" s="35">
        <f t="shared" si="320"/>
        <v>9396.7000000000007</v>
      </c>
      <c r="M1479" s="7">
        <f>M1480+M1482+M1485</f>
        <v>0</v>
      </c>
      <c r="N1479" s="35">
        <f t="shared" si="330"/>
        <v>9396.7000000000007</v>
      </c>
      <c r="O1479" s="7">
        <f>O1480+O1482+O1485</f>
        <v>0</v>
      </c>
      <c r="P1479" s="35">
        <f t="shared" si="328"/>
        <v>9396.7000000000007</v>
      </c>
      <c r="Q1479" s="7">
        <f>Q1480+Q1482+Q1485</f>
        <v>0</v>
      </c>
      <c r="R1479" s="35">
        <f t="shared" si="325"/>
        <v>9396.7000000000007</v>
      </c>
      <c r="S1479" s="7">
        <f>S1480+S1482+S1485</f>
        <v>0</v>
      </c>
      <c r="T1479" s="35">
        <f t="shared" si="322"/>
        <v>9396.7000000000007</v>
      </c>
    </row>
    <row r="1480" spans="1:20" ht="39" customHeight="1">
      <c r="A1480" s="61" t="str">
        <f t="shared" ref="A1480:A1487" ca="1" si="332">IF(ISERROR(MATCH(E1480,Код_КВР,0)),"",INDIRECT(ADDRESS(MATCH(E1480,Код_КВР,0)+1,2,,,"КВР")))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80" s="45" t="s">
        <v>154</v>
      </c>
      <c r="C1480" s="8" t="s">
        <v>215</v>
      </c>
      <c r="D1480" s="1" t="s">
        <v>219</v>
      </c>
      <c r="E1480" s="104">
        <v>100</v>
      </c>
      <c r="F1480" s="7">
        <f>F1481</f>
        <v>7465.6</v>
      </c>
      <c r="G1480" s="7">
        <f>G1481</f>
        <v>0</v>
      </c>
      <c r="H1480" s="35">
        <f t="shared" si="331"/>
        <v>7465.6</v>
      </c>
      <c r="I1480" s="7">
        <f>I1481</f>
        <v>0</v>
      </c>
      <c r="J1480" s="35">
        <f t="shared" si="327"/>
        <v>7465.6</v>
      </c>
      <c r="K1480" s="7">
        <f>K1481</f>
        <v>0</v>
      </c>
      <c r="L1480" s="35">
        <f t="shared" si="320"/>
        <v>7465.6</v>
      </c>
      <c r="M1480" s="7">
        <f>M1481</f>
        <v>0</v>
      </c>
      <c r="N1480" s="35">
        <f t="shared" si="330"/>
        <v>7465.6</v>
      </c>
      <c r="O1480" s="7">
        <f>O1481</f>
        <v>0</v>
      </c>
      <c r="P1480" s="35">
        <f t="shared" si="328"/>
        <v>7465.6</v>
      </c>
      <c r="Q1480" s="7">
        <f>Q1481</f>
        <v>-68.400000000000006</v>
      </c>
      <c r="R1480" s="35">
        <f t="shared" si="325"/>
        <v>7397.2000000000007</v>
      </c>
      <c r="S1480" s="7">
        <f>S1481</f>
        <v>0</v>
      </c>
      <c r="T1480" s="35">
        <f t="shared" si="322"/>
        <v>7397.2000000000007</v>
      </c>
    </row>
    <row r="1481" spans="1:20">
      <c r="A1481" s="61" t="str">
        <f t="shared" ca="1" si="332"/>
        <v>Расходы на выплаты персоналу казенных учреждений</v>
      </c>
      <c r="B1481" s="45" t="s">
        <v>154</v>
      </c>
      <c r="C1481" s="8" t="s">
        <v>215</v>
      </c>
      <c r="D1481" s="1" t="s">
        <v>219</v>
      </c>
      <c r="E1481" s="104">
        <v>110</v>
      </c>
      <c r="F1481" s="7">
        <f>прил.6!G226</f>
        <v>7465.6</v>
      </c>
      <c r="G1481" s="7">
        <f>прил.6!H226</f>
        <v>0</v>
      </c>
      <c r="H1481" s="35">
        <f t="shared" si="331"/>
        <v>7465.6</v>
      </c>
      <c r="I1481" s="7">
        <f>прил.6!J226</f>
        <v>0</v>
      </c>
      <c r="J1481" s="35">
        <f t="shared" si="327"/>
        <v>7465.6</v>
      </c>
      <c r="K1481" s="7">
        <f>прил.6!L226</f>
        <v>0</v>
      </c>
      <c r="L1481" s="35">
        <f t="shared" si="320"/>
        <v>7465.6</v>
      </c>
      <c r="M1481" s="7">
        <f>прил.6!N226</f>
        <v>0</v>
      </c>
      <c r="N1481" s="35">
        <f t="shared" si="330"/>
        <v>7465.6</v>
      </c>
      <c r="O1481" s="7">
        <f>прил.6!P226</f>
        <v>0</v>
      </c>
      <c r="P1481" s="35">
        <f t="shared" si="328"/>
        <v>7465.6</v>
      </c>
      <c r="Q1481" s="7">
        <f>прил.6!R226</f>
        <v>-68.400000000000006</v>
      </c>
      <c r="R1481" s="35">
        <f t="shared" si="325"/>
        <v>7397.2000000000007</v>
      </c>
      <c r="S1481" s="7">
        <f>прил.6!T226</f>
        <v>0</v>
      </c>
      <c r="T1481" s="35">
        <f t="shared" si="322"/>
        <v>7397.2000000000007</v>
      </c>
    </row>
    <row r="1482" spans="1:20">
      <c r="A1482" s="61" t="str">
        <f t="shared" ca="1" si="332"/>
        <v>Закупка товаров, работ и услуг для муниципальных нужд</v>
      </c>
      <c r="B1482" s="45" t="s">
        <v>154</v>
      </c>
      <c r="C1482" s="8" t="s">
        <v>215</v>
      </c>
      <c r="D1482" s="1" t="s">
        <v>219</v>
      </c>
      <c r="E1482" s="104">
        <v>200</v>
      </c>
      <c r="F1482" s="7">
        <f>F1483</f>
        <v>1688.6</v>
      </c>
      <c r="G1482" s="7">
        <f>G1483</f>
        <v>0</v>
      </c>
      <c r="H1482" s="35">
        <f t="shared" si="331"/>
        <v>1688.6</v>
      </c>
      <c r="I1482" s="7">
        <f>I1483</f>
        <v>0</v>
      </c>
      <c r="J1482" s="35">
        <f t="shared" si="327"/>
        <v>1688.6</v>
      </c>
      <c r="K1482" s="7">
        <f>K1483</f>
        <v>-17.5</v>
      </c>
      <c r="L1482" s="35">
        <f t="shared" si="320"/>
        <v>1671.1</v>
      </c>
      <c r="M1482" s="7">
        <f>M1483</f>
        <v>0</v>
      </c>
      <c r="N1482" s="35">
        <f t="shared" si="330"/>
        <v>1671.1</v>
      </c>
      <c r="O1482" s="7">
        <f>O1483</f>
        <v>0</v>
      </c>
      <c r="P1482" s="35">
        <f t="shared" si="328"/>
        <v>1671.1</v>
      </c>
      <c r="Q1482" s="7">
        <f>Q1483</f>
        <v>68.400000000000006</v>
      </c>
      <c r="R1482" s="35">
        <f t="shared" si="325"/>
        <v>1739.5</v>
      </c>
      <c r="S1482" s="7">
        <f>S1483</f>
        <v>0</v>
      </c>
      <c r="T1482" s="35">
        <f t="shared" si="322"/>
        <v>1739.5</v>
      </c>
    </row>
    <row r="1483" spans="1:20" ht="33">
      <c r="A1483" s="61" t="str">
        <f t="shared" ca="1" si="332"/>
        <v>Иные закупки товаров, работ и услуг для обеспечения муниципальных нужд</v>
      </c>
      <c r="B1483" s="45" t="s">
        <v>154</v>
      </c>
      <c r="C1483" s="8" t="s">
        <v>215</v>
      </c>
      <c r="D1483" s="1" t="s">
        <v>219</v>
      </c>
      <c r="E1483" s="104">
        <v>240</v>
      </c>
      <c r="F1483" s="7">
        <f>F1484</f>
        <v>1688.6</v>
      </c>
      <c r="G1483" s="7">
        <f>G1484</f>
        <v>0</v>
      </c>
      <c r="H1483" s="35">
        <f t="shared" si="331"/>
        <v>1688.6</v>
      </c>
      <c r="I1483" s="7">
        <f>I1484</f>
        <v>0</v>
      </c>
      <c r="J1483" s="35">
        <f t="shared" si="327"/>
        <v>1688.6</v>
      </c>
      <c r="K1483" s="7">
        <f>K1484</f>
        <v>-17.5</v>
      </c>
      <c r="L1483" s="35">
        <f t="shared" si="320"/>
        <v>1671.1</v>
      </c>
      <c r="M1483" s="7">
        <f>M1484</f>
        <v>0</v>
      </c>
      <c r="N1483" s="35">
        <f t="shared" si="330"/>
        <v>1671.1</v>
      </c>
      <c r="O1483" s="7">
        <f>O1484</f>
        <v>0</v>
      </c>
      <c r="P1483" s="35">
        <f t="shared" si="328"/>
        <v>1671.1</v>
      </c>
      <c r="Q1483" s="7">
        <f>Q1484</f>
        <v>68.400000000000006</v>
      </c>
      <c r="R1483" s="35">
        <f t="shared" si="325"/>
        <v>1739.5</v>
      </c>
      <c r="S1483" s="7">
        <f>S1484</f>
        <v>0</v>
      </c>
      <c r="T1483" s="35">
        <f t="shared" si="322"/>
        <v>1739.5</v>
      </c>
    </row>
    <row r="1484" spans="1:20" ht="33">
      <c r="A1484" s="61" t="str">
        <f t="shared" ca="1" si="332"/>
        <v xml:space="preserve">Прочая закупка товаров, работ и услуг для обеспечения муниципальных нужд         </v>
      </c>
      <c r="B1484" s="45" t="s">
        <v>154</v>
      </c>
      <c r="C1484" s="8" t="s">
        <v>215</v>
      </c>
      <c r="D1484" s="1" t="s">
        <v>219</v>
      </c>
      <c r="E1484" s="104">
        <v>244</v>
      </c>
      <c r="F1484" s="7">
        <f>прил.6!G229</f>
        <v>1688.6</v>
      </c>
      <c r="G1484" s="7">
        <f>прил.6!H229</f>
        <v>0</v>
      </c>
      <c r="H1484" s="35">
        <f t="shared" si="331"/>
        <v>1688.6</v>
      </c>
      <c r="I1484" s="7">
        <f>прил.6!J229</f>
        <v>0</v>
      </c>
      <c r="J1484" s="35">
        <f t="shared" si="327"/>
        <v>1688.6</v>
      </c>
      <c r="K1484" s="7">
        <f>прил.6!L229</f>
        <v>-17.5</v>
      </c>
      <c r="L1484" s="35">
        <f t="shared" si="320"/>
        <v>1671.1</v>
      </c>
      <c r="M1484" s="7">
        <f>прил.6!N229</f>
        <v>0</v>
      </c>
      <c r="N1484" s="35">
        <f t="shared" si="330"/>
        <v>1671.1</v>
      </c>
      <c r="O1484" s="7">
        <f>прил.6!P229</f>
        <v>0</v>
      </c>
      <c r="P1484" s="35">
        <f t="shared" si="328"/>
        <v>1671.1</v>
      </c>
      <c r="Q1484" s="7">
        <f>прил.6!R229</f>
        <v>68.400000000000006</v>
      </c>
      <c r="R1484" s="35">
        <f t="shared" si="325"/>
        <v>1739.5</v>
      </c>
      <c r="S1484" s="7">
        <f>прил.6!T229</f>
        <v>0</v>
      </c>
      <c r="T1484" s="35">
        <f t="shared" si="322"/>
        <v>1739.5</v>
      </c>
    </row>
    <row r="1485" spans="1:20">
      <c r="A1485" s="61" t="str">
        <f t="shared" ca="1" si="332"/>
        <v>Иные бюджетные ассигнования</v>
      </c>
      <c r="B1485" s="45" t="s">
        <v>154</v>
      </c>
      <c r="C1485" s="8" t="s">
        <v>215</v>
      </c>
      <c r="D1485" s="1" t="s">
        <v>219</v>
      </c>
      <c r="E1485" s="104">
        <v>800</v>
      </c>
      <c r="F1485" s="7">
        <f>F1486</f>
        <v>260</v>
      </c>
      <c r="G1485" s="7">
        <f>G1486</f>
        <v>0</v>
      </c>
      <c r="H1485" s="35">
        <f t="shared" si="331"/>
        <v>260</v>
      </c>
      <c r="I1485" s="7">
        <f>I1486</f>
        <v>0</v>
      </c>
      <c r="J1485" s="35">
        <f t="shared" si="327"/>
        <v>260</v>
      </c>
      <c r="K1485" s="7">
        <f>K1486</f>
        <v>0</v>
      </c>
      <c r="L1485" s="35">
        <f t="shared" si="320"/>
        <v>260</v>
      </c>
      <c r="M1485" s="7">
        <f>M1486</f>
        <v>0</v>
      </c>
      <c r="N1485" s="35">
        <f t="shared" si="330"/>
        <v>260</v>
      </c>
      <c r="O1485" s="7">
        <f>O1486</f>
        <v>0</v>
      </c>
      <c r="P1485" s="35">
        <f t="shared" si="328"/>
        <v>260</v>
      </c>
      <c r="Q1485" s="7">
        <f>Q1486</f>
        <v>0</v>
      </c>
      <c r="R1485" s="35">
        <f t="shared" si="325"/>
        <v>260</v>
      </c>
      <c r="S1485" s="7">
        <f>S1486</f>
        <v>0</v>
      </c>
      <c r="T1485" s="35">
        <f t="shared" si="322"/>
        <v>260</v>
      </c>
    </row>
    <row r="1486" spans="1:20">
      <c r="A1486" s="61" t="str">
        <f t="shared" ca="1" si="332"/>
        <v>Уплата налогов, сборов и иных платежей</v>
      </c>
      <c r="B1486" s="45" t="s">
        <v>154</v>
      </c>
      <c r="C1486" s="8" t="s">
        <v>215</v>
      </c>
      <c r="D1486" s="1" t="s">
        <v>219</v>
      </c>
      <c r="E1486" s="104">
        <v>850</v>
      </c>
      <c r="F1486" s="7">
        <f>F1487</f>
        <v>260</v>
      </c>
      <c r="G1486" s="7">
        <f>G1487</f>
        <v>0</v>
      </c>
      <c r="H1486" s="35">
        <f t="shared" si="331"/>
        <v>260</v>
      </c>
      <c r="I1486" s="7">
        <f>I1487</f>
        <v>0</v>
      </c>
      <c r="J1486" s="35">
        <f t="shared" si="327"/>
        <v>260</v>
      </c>
      <c r="K1486" s="7">
        <f>K1487</f>
        <v>0</v>
      </c>
      <c r="L1486" s="35">
        <f t="shared" si="320"/>
        <v>260</v>
      </c>
      <c r="M1486" s="7">
        <f>M1487</f>
        <v>0</v>
      </c>
      <c r="N1486" s="35">
        <f t="shared" si="330"/>
        <v>260</v>
      </c>
      <c r="O1486" s="7">
        <f>O1487</f>
        <v>0</v>
      </c>
      <c r="P1486" s="35">
        <f t="shared" si="328"/>
        <v>260</v>
      </c>
      <c r="Q1486" s="7">
        <f>Q1487</f>
        <v>0</v>
      </c>
      <c r="R1486" s="35">
        <f t="shared" si="325"/>
        <v>260</v>
      </c>
      <c r="S1486" s="7">
        <f>S1487</f>
        <v>0</v>
      </c>
      <c r="T1486" s="35">
        <f t="shared" si="322"/>
        <v>260</v>
      </c>
    </row>
    <row r="1487" spans="1:20">
      <c r="A1487" s="61" t="str">
        <f t="shared" ca="1" si="332"/>
        <v>Уплата налога на имущество организаций и земельного налога</v>
      </c>
      <c r="B1487" s="45" t="s">
        <v>154</v>
      </c>
      <c r="C1487" s="8" t="s">
        <v>215</v>
      </c>
      <c r="D1487" s="1" t="s">
        <v>219</v>
      </c>
      <c r="E1487" s="104">
        <v>851</v>
      </c>
      <c r="F1487" s="7">
        <f>прил.6!G232</f>
        <v>260</v>
      </c>
      <c r="G1487" s="7">
        <f>прил.6!H232</f>
        <v>0</v>
      </c>
      <c r="H1487" s="35">
        <f t="shared" si="331"/>
        <v>260</v>
      </c>
      <c r="I1487" s="7">
        <f>прил.6!J232</f>
        <v>0</v>
      </c>
      <c r="J1487" s="35">
        <f t="shared" si="327"/>
        <v>260</v>
      </c>
      <c r="K1487" s="7">
        <f>прил.6!L232</f>
        <v>0</v>
      </c>
      <c r="L1487" s="35">
        <f t="shared" si="320"/>
        <v>260</v>
      </c>
      <c r="M1487" s="7">
        <f>прил.6!N232</f>
        <v>0</v>
      </c>
      <c r="N1487" s="35">
        <f t="shared" si="330"/>
        <v>260</v>
      </c>
      <c r="O1487" s="7">
        <f>прил.6!P232</f>
        <v>0</v>
      </c>
      <c r="P1487" s="35">
        <f t="shared" si="328"/>
        <v>260</v>
      </c>
      <c r="Q1487" s="7">
        <f>прил.6!R232</f>
        <v>0</v>
      </c>
      <c r="R1487" s="35">
        <f t="shared" si="325"/>
        <v>260</v>
      </c>
      <c r="S1487" s="7">
        <f>прил.6!T232</f>
        <v>0</v>
      </c>
      <c r="T1487" s="35">
        <f t="shared" si="322"/>
        <v>260</v>
      </c>
    </row>
    <row r="1488" spans="1:20">
      <c r="A1488" s="61" t="str">
        <f ca="1">IF(ISERROR(MATCH(C1488,Код_Раздел,0)),"",INDIRECT(ADDRESS(MATCH(C1488,Код_Раздел,0)+1,2,,,"Раздел")))</f>
        <v>Социальная политика</v>
      </c>
      <c r="B1488" s="45" t="s">
        <v>154</v>
      </c>
      <c r="C1488" s="8" t="s">
        <v>188</v>
      </c>
      <c r="D1488" s="1"/>
      <c r="E1488" s="104"/>
      <c r="F1488" s="7">
        <f t="shared" ref="F1488:S1490" si="333">F1489</f>
        <v>100</v>
      </c>
      <c r="G1488" s="7">
        <f t="shared" si="333"/>
        <v>0</v>
      </c>
      <c r="H1488" s="35">
        <f t="shared" si="331"/>
        <v>100</v>
      </c>
      <c r="I1488" s="7">
        <f t="shared" si="333"/>
        <v>0</v>
      </c>
      <c r="J1488" s="35">
        <f t="shared" si="327"/>
        <v>100</v>
      </c>
      <c r="K1488" s="7">
        <f t="shared" si="333"/>
        <v>0</v>
      </c>
      <c r="L1488" s="35">
        <f t="shared" si="320"/>
        <v>100</v>
      </c>
      <c r="M1488" s="7">
        <f t="shared" si="333"/>
        <v>0</v>
      </c>
      <c r="N1488" s="35">
        <f t="shared" si="330"/>
        <v>100</v>
      </c>
      <c r="O1488" s="7">
        <f t="shared" si="333"/>
        <v>0</v>
      </c>
      <c r="P1488" s="35">
        <f t="shared" si="328"/>
        <v>100</v>
      </c>
      <c r="Q1488" s="7">
        <f t="shared" si="333"/>
        <v>0</v>
      </c>
      <c r="R1488" s="35">
        <f t="shared" si="325"/>
        <v>100</v>
      </c>
      <c r="S1488" s="7">
        <f t="shared" si="333"/>
        <v>0</v>
      </c>
      <c r="T1488" s="35">
        <f t="shared" si="322"/>
        <v>100</v>
      </c>
    </row>
    <row r="1489" spans="1:20">
      <c r="A1489" s="12" t="s">
        <v>179</v>
      </c>
      <c r="B1489" s="45" t="s">
        <v>154</v>
      </c>
      <c r="C1489" s="8" t="s">
        <v>188</v>
      </c>
      <c r="D1489" s="1" t="s">
        <v>215</v>
      </c>
      <c r="E1489" s="104"/>
      <c r="F1489" s="7">
        <f t="shared" si="333"/>
        <v>100</v>
      </c>
      <c r="G1489" s="7">
        <f t="shared" si="333"/>
        <v>0</v>
      </c>
      <c r="H1489" s="35">
        <f t="shared" si="331"/>
        <v>100</v>
      </c>
      <c r="I1489" s="7">
        <f t="shared" si="333"/>
        <v>0</v>
      </c>
      <c r="J1489" s="35">
        <f t="shared" si="327"/>
        <v>100</v>
      </c>
      <c r="K1489" s="7">
        <f t="shared" si="333"/>
        <v>0</v>
      </c>
      <c r="L1489" s="35">
        <f t="shared" si="320"/>
        <v>100</v>
      </c>
      <c r="M1489" s="7">
        <f t="shared" si="333"/>
        <v>0</v>
      </c>
      <c r="N1489" s="35">
        <f t="shared" si="330"/>
        <v>100</v>
      </c>
      <c r="O1489" s="7">
        <f t="shared" si="333"/>
        <v>0</v>
      </c>
      <c r="P1489" s="35">
        <f t="shared" si="328"/>
        <v>100</v>
      </c>
      <c r="Q1489" s="7">
        <f t="shared" si="333"/>
        <v>0</v>
      </c>
      <c r="R1489" s="35">
        <f t="shared" si="325"/>
        <v>100</v>
      </c>
      <c r="S1489" s="7">
        <f t="shared" si="333"/>
        <v>0</v>
      </c>
      <c r="T1489" s="35">
        <f t="shared" si="322"/>
        <v>100</v>
      </c>
    </row>
    <row r="1490" spans="1:20">
      <c r="A1490" s="61" t="str">
        <f ca="1">IF(ISERROR(MATCH(E1490,Код_КВР,0)),"",INDIRECT(ADDRESS(MATCH(E1490,Код_КВР,0)+1,2,,,"КВР")))</f>
        <v>Социальное обеспечение и иные выплаты населению</v>
      </c>
      <c r="B1490" s="45" t="s">
        <v>154</v>
      </c>
      <c r="C1490" s="8" t="s">
        <v>188</v>
      </c>
      <c r="D1490" s="1" t="s">
        <v>215</v>
      </c>
      <c r="E1490" s="104">
        <v>300</v>
      </c>
      <c r="F1490" s="7">
        <f t="shared" si="333"/>
        <v>100</v>
      </c>
      <c r="G1490" s="7">
        <f t="shared" si="333"/>
        <v>0</v>
      </c>
      <c r="H1490" s="35">
        <f t="shared" si="331"/>
        <v>100</v>
      </c>
      <c r="I1490" s="7">
        <f t="shared" si="333"/>
        <v>0</v>
      </c>
      <c r="J1490" s="35">
        <f t="shared" si="327"/>
        <v>100</v>
      </c>
      <c r="K1490" s="7">
        <f t="shared" si="333"/>
        <v>0</v>
      </c>
      <c r="L1490" s="35">
        <f t="shared" si="320"/>
        <v>100</v>
      </c>
      <c r="M1490" s="7">
        <f t="shared" si="333"/>
        <v>0</v>
      </c>
      <c r="N1490" s="35">
        <f t="shared" si="330"/>
        <v>100</v>
      </c>
      <c r="O1490" s="7">
        <f t="shared" si="333"/>
        <v>0</v>
      </c>
      <c r="P1490" s="35">
        <f t="shared" si="328"/>
        <v>100</v>
      </c>
      <c r="Q1490" s="7">
        <f t="shared" si="333"/>
        <v>0</v>
      </c>
      <c r="R1490" s="35">
        <f t="shared" si="325"/>
        <v>100</v>
      </c>
      <c r="S1490" s="7">
        <f t="shared" si="333"/>
        <v>0</v>
      </c>
      <c r="T1490" s="35">
        <f t="shared" si="322"/>
        <v>100</v>
      </c>
    </row>
    <row r="1491" spans="1:20">
      <c r="A1491" s="61" t="str">
        <f ca="1">IF(ISERROR(MATCH(E1491,Код_КВР,0)),"",INDIRECT(ADDRESS(MATCH(E1491,Код_КВР,0)+1,2,,,"КВР")))</f>
        <v>Иные выплаты населению</v>
      </c>
      <c r="B1491" s="45" t="s">
        <v>154</v>
      </c>
      <c r="C1491" s="8" t="s">
        <v>188</v>
      </c>
      <c r="D1491" s="1" t="s">
        <v>215</v>
      </c>
      <c r="E1491" s="104">
        <v>360</v>
      </c>
      <c r="F1491" s="7">
        <f>прил.6!G368</f>
        <v>100</v>
      </c>
      <c r="G1491" s="7">
        <f>прил.6!H368</f>
        <v>0</v>
      </c>
      <c r="H1491" s="35">
        <f t="shared" si="331"/>
        <v>100</v>
      </c>
      <c r="I1491" s="7">
        <f>прил.6!J368</f>
        <v>0</v>
      </c>
      <c r="J1491" s="35">
        <f t="shared" si="327"/>
        <v>100</v>
      </c>
      <c r="K1491" s="7">
        <f>прил.6!L368</f>
        <v>0</v>
      </c>
      <c r="L1491" s="35">
        <f t="shared" si="320"/>
        <v>100</v>
      </c>
      <c r="M1491" s="7">
        <f>прил.6!N368</f>
        <v>0</v>
      </c>
      <c r="N1491" s="35">
        <f t="shared" si="330"/>
        <v>100</v>
      </c>
      <c r="O1491" s="7">
        <f>прил.6!P368</f>
        <v>0</v>
      </c>
      <c r="P1491" s="35">
        <f t="shared" si="328"/>
        <v>100</v>
      </c>
      <c r="Q1491" s="7">
        <f>прил.6!R368</f>
        <v>0</v>
      </c>
      <c r="R1491" s="35">
        <f t="shared" si="325"/>
        <v>100</v>
      </c>
      <c r="S1491" s="7">
        <f>прил.6!T368</f>
        <v>0</v>
      </c>
      <c r="T1491" s="35">
        <f t="shared" si="322"/>
        <v>100</v>
      </c>
    </row>
    <row r="1492" spans="1:20" ht="49.5">
      <c r="A1492" s="61" t="str">
        <f ca="1">IF(ISERROR(MATCH(B1492,Код_КЦСР,0)),"",INDIRECT(ADDRESS(MATCH(B1492,Код_КЦСР,0)+1,2,,,"КЦСР")))</f>
        <v>Внедрение и (или) эксплуатация аппаратно-программного комплекса «Безопасный город» за счет субсидий из областного бюджета</v>
      </c>
      <c r="B1492" s="104" t="s">
        <v>388</v>
      </c>
      <c r="C1492" s="8"/>
      <c r="D1492" s="1"/>
      <c r="E1492" s="104"/>
      <c r="F1492" s="7">
        <f t="shared" ref="F1492:S1496" si="334">F1493</f>
        <v>1235.2</v>
      </c>
      <c r="G1492" s="7">
        <f t="shared" si="334"/>
        <v>0</v>
      </c>
      <c r="H1492" s="35">
        <f t="shared" si="331"/>
        <v>1235.2</v>
      </c>
      <c r="I1492" s="7">
        <f t="shared" si="334"/>
        <v>0</v>
      </c>
      <c r="J1492" s="35">
        <f t="shared" si="327"/>
        <v>1235.2</v>
      </c>
      <c r="K1492" s="7">
        <f t="shared" si="334"/>
        <v>0</v>
      </c>
      <c r="L1492" s="35">
        <f t="shared" si="320"/>
        <v>1235.2</v>
      </c>
      <c r="M1492" s="7">
        <f t="shared" si="334"/>
        <v>0</v>
      </c>
      <c r="N1492" s="35">
        <f t="shared" si="330"/>
        <v>1235.2</v>
      </c>
      <c r="O1492" s="7">
        <f t="shared" si="334"/>
        <v>0</v>
      </c>
      <c r="P1492" s="35">
        <f t="shared" si="328"/>
        <v>1235.2</v>
      </c>
      <c r="Q1492" s="7">
        <f t="shared" si="334"/>
        <v>0</v>
      </c>
      <c r="R1492" s="35">
        <f t="shared" si="325"/>
        <v>1235.2</v>
      </c>
      <c r="S1492" s="7">
        <f t="shared" si="334"/>
        <v>0</v>
      </c>
      <c r="T1492" s="35">
        <f t="shared" si="322"/>
        <v>1235.2</v>
      </c>
    </row>
    <row r="1493" spans="1:20">
      <c r="A1493" s="61" t="str">
        <f ca="1">IF(ISERROR(MATCH(C1493,Код_Раздел,0)),"",INDIRECT(ADDRESS(MATCH(C1493,Код_Раздел,0)+1,2,,,"Раздел")))</f>
        <v>Национальная экономика</v>
      </c>
      <c r="B1493" s="104" t="s">
        <v>388</v>
      </c>
      <c r="C1493" s="8" t="s">
        <v>216</v>
      </c>
      <c r="D1493" s="1"/>
      <c r="E1493" s="104"/>
      <c r="F1493" s="7">
        <f t="shared" si="334"/>
        <v>1235.2</v>
      </c>
      <c r="G1493" s="7">
        <f t="shared" si="334"/>
        <v>0</v>
      </c>
      <c r="H1493" s="35">
        <f t="shared" si="331"/>
        <v>1235.2</v>
      </c>
      <c r="I1493" s="7">
        <f t="shared" si="334"/>
        <v>0</v>
      </c>
      <c r="J1493" s="35">
        <f t="shared" si="327"/>
        <v>1235.2</v>
      </c>
      <c r="K1493" s="7">
        <f t="shared" si="334"/>
        <v>0</v>
      </c>
      <c r="L1493" s="35">
        <f t="shared" si="320"/>
        <v>1235.2</v>
      </c>
      <c r="M1493" s="7">
        <f t="shared" si="334"/>
        <v>0</v>
      </c>
      <c r="N1493" s="35">
        <f t="shared" si="330"/>
        <v>1235.2</v>
      </c>
      <c r="O1493" s="7">
        <f t="shared" si="334"/>
        <v>0</v>
      </c>
      <c r="P1493" s="35">
        <f t="shared" si="328"/>
        <v>1235.2</v>
      </c>
      <c r="Q1493" s="7">
        <f t="shared" si="334"/>
        <v>0</v>
      </c>
      <c r="R1493" s="35">
        <f t="shared" si="325"/>
        <v>1235.2</v>
      </c>
      <c r="S1493" s="7">
        <f t="shared" si="334"/>
        <v>0</v>
      </c>
      <c r="T1493" s="35">
        <f t="shared" si="322"/>
        <v>1235.2</v>
      </c>
    </row>
    <row r="1494" spans="1:20">
      <c r="A1494" s="12" t="s">
        <v>230</v>
      </c>
      <c r="B1494" s="104" t="s">
        <v>388</v>
      </c>
      <c r="C1494" s="8" t="s">
        <v>216</v>
      </c>
      <c r="D1494" s="1" t="s">
        <v>188</v>
      </c>
      <c r="E1494" s="104"/>
      <c r="F1494" s="7">
        <f t="shared" si="334"/>
        <v>1235.2</v>
      </c>
      <c r="G1494" s="7">
        <f t="shared" si="334"/>
        <v>0</v>
      </c>
      <c r="H1494" s="35">
        <f t="shared" si="331"/>
        <v>1235.2</v>
      </c>
      <c r="I1494" s="7">
        <f t="shared" si="334"/>
        <v>0</v>
      </c>
      <c r="J1494" s="35">
        <f t="shared" si="327"/>
        <v>1235.2</v>
      </c>
      <c r="K1494" s="7">
        <f t="shared" si="334"/>
        <v>0</v>
      </c>
      <c r="L1494" s="35">
        <f t="shared" si="320"/>
        <v>1235.2</v>
      </c>
      <c r="M1494" s="7">
        <f t="shared" si="334"/>
        <v>0</v>
      </c>
      <c r="N1494" s="35">
        <f t="shared" si="330"/>
        <v>1235.2</v>
      </c>
      <c r="O1494" s="7">
        <f t="shared" si="334"/>
        <v>0</v>
      </c>
      <c r="P1494" s="35">
        <f t="shared" si="328"/>
        <v>1235.2</v>
      </c>
      <c r="Q1494" s="7">
        <f t="shared" si="334"/>
        <v>0</v>
      </c>
      <c r="R1494" s="35">
        <f t="shared" si="325"/>
        <v>1235.2</v>
      </c>
      <c r="S1494" s="7">
        <f t="shared" si="334"/>
        <v>0</v>
      </c>
      <c r="T1494" s="35">
        <f t="shared" si="322"/>
        <v>1235.2</v>
      </c>
    </row>
    <row r="1495" spans="1:20" ht="33">
      <c r="A1495" s="61" t="str">
        <f ca="1">IF(ISERROR(MATCH(E1495,Код_КВР,0)),"",INDIRECT(ADDRESS(MATCH(E1495,Код_КВР,0)+1,2,,,"КВР")))</f>
        <v>Предоставление субсидий бюджетным, автономным учреждениям и иным некоммерческим организациям</v>
      </c>
      <c r="B1495" s="104" t="s">
        <v>388</v>
      </c>
      <c r="C1495" s="8" t="s">
        <v>216</v>
      </c>
      <c r="D1495" s="1" t="s">
        <v>188</v>
      </c>
      <c r="E1495" s="104">
        <v>600</v>
      </c>
      <c r="F1495" s="7">
        <f t="shared" si="334"/>
        <v>1235.2</v>
      </c>
      <c r="G1495" s="7">
        <f t="shared" si="334"/>
        <v>0</v>
      </c>
      <c r="H1495" s="35">
        <f t="shared" si="331"/>
        <v>1235.2</v>
      </c>
      <c r="I1495" s="7">
        <f t="shared" si="334"/>
        <v>0</v>
      </c>
      <c r="J1495" s="35">
        <f t="shared" si="327"/>
        <v>1235.2</v>
      </c>
      <c r="K1495" s="7">
        <f t="shared" si="334"/>
        <v>0</v>
      </c>
      <c r="L1495" s="35">
        <f t="shared" si="320"/>
        <v>1235.2</v>
      </c>
      <c r="M1495" s="7">
        <f t="shared" si="334"/>
        <v>0</v>
      </c>
      <c r="N1495" s="35">
        <f t="shared" si="330"/>
        <v>1235.2</v>
      </c>
      <c r="O1495" s="7">
        <f t="shared" si="334"/>
        <v>0</v>
      </c>
      <c r="P1495" s="35">
        <f t="shared" si="328"/>
        <v>1235.2</v>
      </c>
      <c r="Q1495" s="7">
        <f t="shared" si="334"/>
        <v>0</v>
      </c>
      <c r="R1495" s="35">
        <f t="shared" si="325"/>
        <v>1235.2</v>
      </c>
      <c r="S1495" s="7">
        <f t="shared" si="334"/>
        <v>0</v>
      </c>
      <c r="T1495" s="35">
        <f t="shared" si="322"/>
        <v>1235.2</v>
      </c>
    </row>
    <row r="1496" spans="1:20">
      <c r="A1496" s="61" t="str">
        <f ca="1">IF(ISERROR(MATCH(E1496,Код_КВР,0)),"",INDIRECT(ADDRESS(MATCH(E1496,Код_КВР,0)+1,2,,,"КВР")))</f>
        <v>Субсидии бюджетным учреждениям</v>
      </c>
      <c r="B1496" s="104" t="s">
        <v>388</v>
      </c>
      <c r="C1496" s="8" t="s">
        <v>216</v>
      </c>
      <c r="D1496" s="1" t="s">
        <v>188</v>
      </c>
      <c r="E1496" s="104">
        <v>610</v>
      </c>
      <c r="F1496" s="7">
        <f t="shared" si="334"/>
        <v>1235.2</v>
      </c>
      <c r="G1496" s="7">
        <f t="shared" si="334"/>
        <v>0</v>
      </c>
      <c r="H1496" s="35">
        <f t="shared" si="331"/>
        <v>1235.2</v>
      </c>
      <c r="I1496" s="7">
        <f t="shared" si="334"/>
        <v>0</v>
      </c>
      <c r="J1496" s="35">
        <f t="shared" si="327"/>
        <v>1235.2</v>
      </c>
      <c r="K1496" s="7">
        <f t="shared" si="334"/>
        <v>0</v>
      </c>
      <c r="L1496" s="35">
        <f t="shared" si="320"/>
        <v>1235.2</v>
      </c>
      <c r="M1496" s="7">
        <f t="shared" si="334"/>
        <v>0</v>
      </c>
      <c r="N1496" s="35">
        <f t="shared" si="330"/>
        <v>1235.2</v>
      </c>
      <c r="O1496" s="7">
        <f t="shared" si="334"/>
        <v>0</v>
      </c>
      <c r="P1496" s="35">
        <f t="shared" si="328"/>
        <v>1235.2</v>
      </c>
      <c r="Q1496" s="7">
        <f t="shared" si="334"/>
        <v>0</v>
      </c>
      <c r="R1496" s="35">
        <f t="shared" si="325"/>
        <v>1235.2</v>
      </c>
      <c r="S1496" s="7">
        <f t="shared" si="334"/>
        <v>0</v>
      </c>
      <c r="T1496" s="35">
        <f t="shared" si="322"/>
        <v>1235.2</v>
      </c>
    </row>
    <row r="1497" spans="1:20">
      <c r="A1497" s="61" t="str">
        <f ca="1">IF(ISERROR(MATCH(E1497,Код_КВР,0)),"",INDIRECT(ADDRESS(MATCH(E1497,Код_КВР,0)+1,2,,,"КВР")))</f>
        <v>Субсидии бюджетным учреждениям на иные цели</v>
      </c>
      <c r="B1497" s="104" t="s">
        <v>388</v>
      </c>
      <c r="C1497" s="8" t="s">
        <v>216</v>
      </c>
      <c r="D1497" s="1" t="s">
        <v>188</v>
      </c>
      <c r="E1497" s="104">
        <v>612</v>
      </c>
      <c r="F1497" s="7">
        <f>прил.6!G276</f>
        <v>1235.2</v>
      </c>
      <c r="G1497" s="7">
        <f>прил.6!H276</f>
        <v>0</v>
      </c>
      <c r="H1497" s="35">
        <f t="shared" si="331"/>
        <v>1235.2</v>
      </c>
      <c r="I1497" s="7">
        <f>прил.6!J276</f>
        <v>0</v>
      </c>
      <c r="J1497" s="35">
        <f t="shared" si="327"/>
        <v>1235.2</v>
      </c>
      <c r="K1497" s="7">
        <f>прил.6!L276</f>
        <v>0</v>
      </c>
      <c r="L1497" s="35">
        <f t="shared" si="320"/>
        <v>1235.2</v>
      </c>
      <c r="M1497" s="7">
        <f>прил.6!N276</f>
        <v>0</v>
      </c>
      <c r="N1497" s="35">
        <f t="shared" si="330"/>
        <v>1235.2</v>
      </c>
      <c r="O1497" s="7">
        <f>прил.6!P276</f>
        <v>0</v>
      </c>
      <c r="P1497" s="35">
        <f t="shared" si="328"/>
        <v>1235.2</v>
      </c>
      <c r="Q1497" s="7">
        <f>прил.6!R276</f>
        <v>0</v>
      </c>
      <c r="R1497" s="35">
        <f t="shared" si="325"/>
        <v>1235.2</v>
      </c>
      <c r="S1497" s="7">
        <f>прил.6!T276</f>
        <v>0</v>
      </c>
      <c r="T1497" s="35">
        <f t="shared" si="322"/>
        <v>1235.2</v>
      </c>
    </row>
    <row r="1498" spans="1:20" ht="33">
      <c r="A1498" s="61" t="str">
        <f t="shared" ref="A1498:A1515" ca="1" si="335">IF(ISERROR(MATCH(B1498,Код_КЦСР,0)),"",INDIRECT(ADDRESS(MATCH(B1498,Код_КЦСР,0)+1,2,,,"КЦСР")))</f>
        <v>Повышение безопасности дорожного движения в городе Череповце</v>
      </c>
      <c r="B1498" s="43" t="s">
        <v>156</v>
      </c>
      <c r="C1498" s="8"/>
      <c r="D1498" s="1"/>
      <c r="E1498" s="104"/>
      <c r="F1498" s="7">
        <f t="shared" ref="F1498:S1510" si="336">F1499</f>
        <v>30</v>
      </c>
      <c r="G1498" s="7">
        <f t="shared" si="336"/>
        <v>0</v>
      </c>
      <c r="H1498" s="35">
        <f t="shared" si="331"/>
        <v>30</v>
      </c>
      <c r="I1498" s="7">
        <f t="shared" si="336"/>
        <v>0</v>
      </c>
      <c r="J1498" s="35">
        <f t="shared" si="327"/>
        <v>30</v>
      </c>
      <c r="K1498" s="7">
        <f t="shared" si="336"/>
        <v>0</v>
      </c>
      <c r="L1498" s="35">
        <f t="shared" si="320"/>
        <v>30</v>
      </c>
      <c r="M1498" s="7">
        <f t="shared" si="336"/>
        <v>0</v>
      </c>
      <c r="N1498" s="35">
        <f t="shared" si="330"/>
        <v>30</v>
      </c>
      <c r="O1498" s="7">
        <f t="shared" si="336"/>
        <v>0</v>
      </c>
      <c r="P1498" s="35">
        <f t="shared" si="328"/>
        <v>30</v>
      </c>
      <c r="Q1498" s="7">
        <f t="shared" si="336"/>
        <v>0</v>
      </c>
      <c r="R1498" s="35">
        <f t="shared" si="325"/>
        <v>30</v>
      </c>
      <c r="S1498" s="7">
        <f t="shared" si="336"/>
        <v>0</v>
      </c>
      <c r="T1498" s="35">
        <f t="shared" si="322"/>
        <v>30</v>
      </c>
    </row>
    <row r="1499" spans="1:20" ht="49.5">
      <c r="A1499" s="61" t="str">
        <f t="shared" ca="1" si="335"/>
        <v>Совершенствование материально-технической базы образовательных учреждений, реализующих образовательные программы с изучением правил дорожного движения</v>
      </c>
      <c r="B1499" s="43" t="s">
        <v>158</v>
      </c>
      <c r="C1499" s="8"/>
      <c r="D1499" s="1"/>
      <c r="E1499" s="104"/>
      <c r="F1499" s="7">
        <f t="shared" si="336"/>
        <v>30</v>
      </c>
      <c r="G1499" s="7">
        <f t="shared" si="336"/>
        <v>0</v>
      </c>
      <c r="H1499" s="35">
        <f t="shared" si="331"/>
        <v>30</v>
      </c>
      <c r="I1499" s="7">
        <f t="shared" si="336"/>
        <v>0</v>
      </c>
      <c r="J1499" s="35">
        <f t="shared" si="327"/>
        <v>30</v>
      </c>
      <c r="K1499" s="7">
        <f t="shared" si="336"/>
        <v>0</v>
      </c>
      <c r="L1499" s="35">
        <f t="shared" si="320"/>
        <v>30</v>
      </c>
      <c r="M1499" s="7">
        <f t="shared" si="336"/>
        <v>0</v>
      </c>
      <c r="N1499" s="35">
        <f t="shared" si="330"/>
        <v>30</v>
      </c>
      <c r="O1499" s="7">
        <f t="shared" si="336"/>
        <v>0</v>
      </c>
      <c r="P1499" s="35">
        <f t="shared" si="328"/>
        <v>30</v>
      </c>
      <c r="Q1499" s="7">
        <f t="shared" si="336"/>
        <v>0</v>
      </c>
      <c r="R1499" s="35">
        <f t="shared" si="325"/>
        <v>30</v>
      </c>
      <c r="S1499" s="7">
        <f t="shared" si="336"/>
        <v>0</v>
      </c>
      <c r="T1499" s="35">
        <f t="shared" si="322"/>
        <v>30</v>
      </c>
    </row>
    <row r="1500" spans="1:20">
      <c r="A1500" s="61" t="str">
        <f ca="1">IF(ISERROR(MATCH(C1500,Код_Раздел,0)),"",INDIRECT(ADDRESS(MATCH(C1500,Код_Раздел,0)+1,2,,,"Раздел")))</f>
        <v>Образование</v>
      </c>
      <c r="B1500" s="43" t="s">
        <v>158</v>
      </c>
      <c r="C1500" s="8" t="s">
        <v>195</v>
      </c>
      <c r="D1500" s="1"/>
      <c r="E1500" s="104"/>
      <c r="F1500" s="7">
        <f t="shared" si="336"/>
        <v>30</v>
      </c>
      <c r="G1500" s="7">
        <f t="shared" si="336"/>
        <v>0</v>
      </c>
      <c r="H1500" s="35">
        <f t="shared" si="331"/>
        <v>30</v>
      </c>
      <c r="I1500" s="7">
        <f t="shared" si="336"/>
        <v>0</v>
      </c>
      <c r="J1500" s="35">
        <f t="shared" si="327"/>
        <v>30</v>
      </c>
      <c r="K1500" s="7">
        <f t="shared" si="336"/>
        <v>0</v>
      </c>
      <c r="L1500" s="35">
        <f t="shared" ref="L1500:L1571" si="337">J1500+K1500</f>
        <v>30</v>
      </c>
      <c r="M1500" s="7">
        <f t="shared" si="336"/>
        <v>0</v>
      </c>
      <c r="N1500" s="35">
        <f t="shared" si="330"/>
        <v>30</v>
      </c>
      <c r="O1500" s="7">
        <f t="shared" si="336"/>
        <v>0</v>
      </c>
      <c r="P1500" s="35">
        <f t="shared" si="328"/>
        <v>30</v>
      </c>
      <c r="Q1500" s="7">
        <f t="shared" si="336"/>
        <v>0</v>
      </c>
      <c r="R1500" s="35">
        <f t="shared" si="325"/>
        <v>30</v>
      </c>
      <c r="S1500" s="7">
        <f t="shared" si="336"/>
        <v>0</v>
      </c>
      <c r="T1500" s="35">
        <f t="shared" si="322"/>
        <v>30</v>
      </c>
    </row>
    <row r="1501" spans="1:20">
      <c r="A1501" s="12" t="s">
        <v>251</v>
      </c>
      <c r="B1501" s="43" t="s">
        <v>158</v>
      </c>
      <c r="C1501" s="8" t="s">
        <v>195</v>
      </c>
      <c r="D1501" s="1" t="s">
        <v>219</v>
      </c>
      <c r="E1501" s="104"/>
      <c r="F1501" s="7">
        <f t="shared" si="336"/>
        <v>30</v>
      </c>
      <c r="G1501" s="7">
        <f t="shared" si="336"/>
        <v>0</v>
      </c>
      <c r="H1501" s="35">
        <f t="shared" si="331"/>
        <v>30</v>
      </c>
      <c r="I1501" s="7">
        <f t="shared" si="336"/>
        <v>0</v>
      </c>
      <c r="J1501" s="35">
        <f t="shared" si="327"/>
        <v>30</v>
      </c>
      <c r="K1501" s="7">
        <f t="shared" si="336"/>
        <v>0</v>
      </c>
      <c r="L1501" s="35">
        <f t="shared" si="337"/>
        <v>30</v>
      </c>
      <c r="M1501" s="7">
        <f t="shared" si="336"/>
        <v>0</v>
      </c>
      <c r="N1501" s="35">
        <f t="shared" si="330"/>
        <v>30</v>
      </c>
      <c r="O1501" s="7">
        <f t="shared" si="336"/>
        <v>0</v>
      </c>
      <c r="P1501" s="35">
        <f t="shared" si="328"/>
        <v>30</v>
      </c>
      <c r="Q1501" s="7">
        <f t="shared" si="336"/>
        <v>0</v>
      </c>
      <c r="R1501" s="35">
        <f t="shared" si="325"/>
        <v>30</v>
      </c>
      <c r="S1501" s="7">
        <f t="shared" si="336"/>
        <v>0</v>
      </c>
      <c r="T1501" s="35">
        <f t="shared" si="322"/>
        <v>30</v>
      </c>
    </row>
    <row r="1502" spans="1:20" ht="33">
      <c r="A1502" s="61" t="str">
        <f ca="1">IF(ISERROR(MATCH(E1502,Код_КВР,0)),"",INDIRECT(ADDRESS(MATCH(E1502,Код_КВР,0)+1,2,,,"КВР")))</f>
        <v>Предоставление субсидий бюджетным, автономным учреждениям и иным некоммерческим организациям</v>
      </c>
      <c r="B1502" s="43" t="s">
        <v>158</v>
      </c>
      <c r="C1502" s="8" t="s">
        <v>195</v>
      </c>
      <c r="D1502" s="1" t="s">
        <v>219</v>
      </c>
      <c r="E1502" s="104">
        <v>600</v>
      </c>
      <c r="F1502" s="7">
        <f t="shared" si="336"/>
        <v>30</v>
      </c>
      <c r="G1502" s="7">
        <f t="shared" si="336"/>
        <v>0</v>
      </c>
      <c r="H1502" s="35">
        <f t="shared" si="331"/>
        <v>30</v>
      </c>
      <c r="I1502" s="7">
        <f t="shared" si="336"/>
        <v>0</v>
      </c>
      <c r="J1502" s="35">
        <f t="shared" si="327"/>
        <v>30</v>
      </c>
      <c r="K1502" s="7">
        <f t="shared" si="336"/>
        <v>0</v>
      </c>
      <c r="L1502" s="35">
        <f t="shared" si="337"/>
        <v>30</v>
      </c>
      <c r="M1502" s="7">
        <f t="shared" si="336"/>
        <v>0</v>
      </c>
      <c r="N1502" s="35">
        <f t="shared" si="330"/>
        <v>30</v>
      </c>
      <c r="O1502" s="7">
        <f t="shared" si="336"/>
        <v>0</v>
      </c>
      <c r="P1502" s="35">
        <f t="shared" si="328"/>
        <v>30</v>
      </c>
      <c r="Q1502" s="7">
        <f t="shared" si="336"/>
        <v>0</v>
      </c>
      <c r="R1502" s="35">
        <f t="shared" si="325"/>
        <v>30</v>
      </c>
      <c r="S1502" s="7">
        <f t="shared" si="336"/>
        <v>0</v>
      </c>
      <c r="T1502" s="35">
        <f t="shared" si="322"/>
        <v>30</v>
      </c>
    </row>
    <row r="1503" spans="1:20">
      <c r="A1503" s="61" t="str">
        <f ca="1">IF(ISERROR(MATCH(E1503,Код_КВР,0)),"",INDIRECT(ADDRESS(MATCH(E1503,Код_КВР,0)+1,2,,,"КВР")))</f>
        <v>Субсидии бюджетным учреждениям</v>
      </c>
      <c r="B1503" s="43" t="s">
        <v>158</v>
      </c>
      <c r="C1503" s="8" t="s">
        <v>195</v>
      </c>
      <c r="D1503" s="1" t="s">
        <v>219</v>
      </c>
      <c r="E1503" s="104">
        <v>610</v>
      </c>
      <c r="F1503" s="7">
        <f t="shared" si="336"/>
        <v>30</v>
      </c>
      <c r="G1503" s="7">
        <f t="shared" si="336"/>
        <v>0</v>
      </c>
      <c r="H1503" s="35">
        <f t="shared" si="331"/>
        <v>30</v>
      </c>
      <c r="I1503" s="7">
        <f t="shared" si="336"/>
        <v>0</v>
      </c>
      <c r="J1503" s="35">
        <f t="shared" si="327"/>
        <v>30</v>
      </c>
      <c r="K1503" s="7">
        <f t="shared" si="336"/>
        <v>0</v>
      </c>
      <c r="L1503" s="35">
        <f t="shared" si="337"/>
        <v>30</v>
      </c>
      <c r="M1503" s="7">
        <f t="shared" si="336"/>
        <v>0</v>
      </c>
      <c r="N1503" s="35">
        <f t="shared" si="330"/>
        <v>30</v>
      </c>
      <c r="O1503" s="7">
        <f t="shared" si="336"/>
        <v>0</v>
      </c>
      <c r="P1503" s="35">
        <f t="shared" si="328"/>
        <v>30</v>
      </c>
      <c r="Q1503" s="7">
        <f t="shared" si="336"/>
        <v>0</v>
      </c>
      <c r="R1503" s="35">
        <f t="shared" si="325"/>
        <v>30</v>
      </c>
      <c r="S1503" s="7">
        <f t="shared" si="336"/>
        <v>0</v>
      </c>
      <c r="T1503" s="35">
        <f t="shared" si="322"/>
        <v>30</v>
      </c>
    </row>
    <row r="1504" spans="1:20">
      <c r="A1504" s="61" t="str">
        <f ca="1">IF(ISERROR(MATCH(E1504,Код_КВР,0)),"",INDIRECT(ADDRESS(MATCH(E1504,Код_КВР,0)+1,2,,,"КВР")))</f>
        <v>Субсидии бюджетным учреждениям на иные цели</v>
      </c>
      <c r="B1504" s="43" t="s">
        <v>158</v>
      </c>
      <c r="C1504" s="8" t="s">
        <v>195</v>
      </c>
      <c r="D1504" s="1" t="s">
        <v>219</v>
      </c>
      <c r="E1504" s="104">
        <v>612</v>
      </c>
      <c r="F1504" s="7">
        <f>прил.6!G798</f>
        <v>30</v>
      </c>
      <c r="G1504" s="7">
        <f>прил.6!H798</f>
        <v>0</v>
      </c>
      <c r="H1504" s="35">
        <f t="shared" si="331"/>
        <v>30</v>
      </c>
      <c r="I1504" s="7">
        <f>прил.6!J798</f>
        <v>0</v>
      </c>
      <c r="J1504" s="35">
        <f t="shared" si="327"/>
        <v>30</v>
      </c>
      <c r="K1504" s="7">
        <f>прил.6!L798</f>
        <v>0</v>
      </c>
      <c r="L1504" s="35">
        <f t="shared" si="337"/>
        <v>30</v>
      </c>
      <c r="M1504" s="7">
        <f>прил.6!N798</f>
        <v>0</v>
      </c>
      <c r="N1504" s="35">
        <f t="shared" si="330"/>
        <v>30</v>
      </c>
      <c r="O1504" s="7">
        <f>прил.6!P798</f>
        <v>0</v>
      </c>
      <c r="P1504" s="35">
        <f t="shared" si="328"/>
        <v>30</v>
      </c>
      <c r="Q1504" s="7">
        <f>прил.6!R798</f>
        <v>0</v>
      </c>
      <c r="R1504" s="35">
        <f t="shared" si="325"/>
        <v>30</v>
      </c>
      <c r="S1504" s="7">
        <f>прил.6!T798</f>
        <v>0</v>
      </c>
      <c r="T1504" s="35">
        <f t="shared" si="322"/>
        <v>30</v>
      </c>
    </row>
    <row r="1505" spans="1:20" ht="21.75" customHeight="1">
      <c r="A1505" s="61" t="str">
        <f t="shared" ca="1" si="335"/>
        <v>Резервные фонды Правительства области</v>
      </c>
      <c r="B1505" s="43" t="s">
        <v>695</v>
      </c>
      <c r="C1505" s="8"/>
      <c r="D1505" s="1"/>
      <c r="E1505" s="139"/>
      <c r="F1505" s="7"/>
      <c r="G1505" s="7"/>
      <c r="H1505" s="35"/>
      <c r="I1505" s="7"/>
      <c r="J1505" s="35"/>
      <c r="K1505" s="7"/>
      <c r="L1505" s="35"/>
      <c r="M1505" s="7"/>
      <c r="N1505" s="35"/>
      <c r="O1505" s="7"/>
      <c r="P1505" s="35"/>
      <c r="Q1505" s="7"/>
      <c r="R1505" s="35"/>
      <c r="S1505" s="7">
        <f t="shared" si="336"/>
        <v>200</v>
      </c>
      <c r="T1505" s="35">
        <f t="shared" si="322"/>
        <v>200</v>
      </c>
    </row>
    <row r="1506" spans="1:20" ht="69" customHeight="1">
      <c r="A1506" s="61" t="str">
        <f t="shared" ca="1" si="335"/>
        <v>Резервные фонды исполнительных органов государственной власти субъектов Российской Федерации (на частичное финансирование непредвиденных расходов по созданию детских музейных центров)</v>
      </c>
      <c r="B1506" s="43" t="s">
        <v>697</v>
      </c>
      <c r="C1506" s="8"/>
      <c r="D1506" s="1"/>
      <c r="E1506" s="139"/>
      <c r="F1506" s="7"/>
      <c r="G1506" s="7"/>
      <c r="H1506" s="35"/>
      <c r="I1506" s="7"/>
      <c r="J1506" s="35"/>
      <c r="K1506" s="7"/>
      <c r="L1506" s="35"/>
      <c r="M1506" s="7"/>
      <c r="N1506" s="35"/>
      <c r="O1506" s="7"/>
      <c r="P1506" s="35"/>
      <c r="Q1506" s="7"/>
      <c r="R1506" s="35"/>
      <c r="S1506" s="7">
        <f t="shared" si="336"/>
        <v>200</v>
      </c>
      <c r="T1506" s="35">
        <f t="shared" si="322"/>
        <v>200</v>
      </c>
    </row>
    <row r="1507" spans="1:20">
      <c r="A1507" s="61" t="str">
        <f ca="1">IF(ISERROR(MATCH(C1507,Код_Раздел,0)),"",INDIRECT(ADDRESS(MATCH(C1507,Код_Раздел,0)+1,2,,,"Раздел")))</f>
        <v>Культура, кинематография</v>
      </c>
      <c r="B1507" s="43" t="s">
        <v>697</v>
      </c>
      <c r="C1507" s="8" t="s">
        <v>222</v>
      </c>
      <c r="D1507" s="1"/>
      <c r="E1507" s="139"/>
      <c r="F1507" s="7"/>
      <c r="G1507" s="7"/>
      <c r="H1507" s="35"/>
      <c r="I1507" s="7"/>
      <c r="J1507" s="35"/>
      <c r="K1507" s="7"/>
      <c r="L1507" s="35"/>
      <c r="M1507" s="7"/>
      <c r="N1507" s="35"/>
      <c r="O1507" s="7"/>
      <c r="P1507" s="35"/>
      <c r="Q1507" s="7"/>
      <c r="R1507" s="35"/>
      <c r="S1507" s="7">
        <f t="shared" si="336"/>
        <v>200</v>
      </c>
      <c r="T1507" s="35">
        <f t="shared" si="322"/>
        <v>200</v>
      </c>
    </row>
    <row r="1508" spans="1:20">
      <c r="A1508" s="12" t="s">
        <v>163</v>
      </c>
      <c r="B1508" s="43" t="s">
        <v>697</v>
      </c>
      <c r="C1508" s="8" t="s">
        <v>222</v>
      </c>
      <c r="D1508" s="1" t="s">
        <v>216</v>
      </c>
      <c r="E1508" s="139"/>
      <c r="F1508" s="7"/>
      <c r="G1508" s="7"/>
      <c r="H1508" s="35"/>
      <c r="I1508" s="7"/>
      <c r="J1508" s="35"/>
      <c r="K1508" s="7"/>
      <c r="L1508" s="35"/>
      <c r="M1508" s="7"/>
      <c r="N1508" s="35"/>
      <c r="O1508" s="7"/>
      <c r="P1508" s="35"/>
      <c r="Q1508" s="7"/>
      <c r="R1508" s="35"/>
      <c r="S1508" s="7">
        <f t="shared" si="336"/>
        <v>200</v>
      </c>
      <c r="T1508" s="35">
        <f t="shared" si="322"/>
        <v>200</v>
      </c>
    </row>
    <row r="1509" spans="1:20" ht="36.75" customHeight="1">
      <c r="A1509" s="61" t="str">
        <f ca="1">IF(ISERROR(MATCH(E1509,Код_КВР,0)),"",INDIRECT(ADDRESS(MATCH(E1509,Код_КВР,0)+1,2,,,"КВР")))</f>
        <v>Предоставление субсидий бюджетным, автономным учреждениям и иным некоммерческим организациям</v>
      </c>
      <c r="B1509" s="43" t="s">
        <v>697</v>
      </c>
      <c r="C1509" s="8" t="s">
        <v>222</v>
      </c>
      <c r="D1509" s="1" t="s">
        <v>216</v>
      </c>
      <c r="E1509" s="139">
        <v>600</v>
      </c>
      <c r="F1509" s="7"/>
      <c r="G1509" s="7"/>
      <c r="H1509" s="35"/>
      <c r="I1509" s="7"/>
      <c r="J1509" s="35"/>
      <c r="K1509" s="7"/>
      <c r="L1509" s="35"/>
      <c r="M1509" s="7"/>
      <c r="N1509" s="35"/>
      <c r="O1509" s="7"/>
      <c r="P1509" s="35"/>
      <c r="Q1509" s="7"/>
      <c r="R1509" s="35"/>
      <c r="S1509" s="7">
        <f t="shared" si="336"/>
        <v>200</v>
      </c>
      <c r="T1509" s="35">
        <f t="shared" si="322"/>
        <v>200</v>
      </c>
    </row>
    <row r="1510" spans="1:20">
      <c r="A1510" s="61" t="str">
        <f ca="1">IF(ISERROR(MATCH(E1510,Код_КВР,0)),"",INDIRECT(ADDRESS(MATCH(E1510,Код_КВР,0)+1,2,,,"КВР")))</f>
        <v>Субсидии бюджетным учреждениям</v>
      </c>
      <c r="B1510" s="43" t="s">
        <v>697</v>
      </c>
      <c r="C1510" s="8" t="s">
        <v>222</v>
      </c>
      <c r="D1510" s="1" t="s">
        <v>216</v>
      </c>
      <c r="E1510" s="139">
        <v>610</v>
      </c>
      <c r="F1510" s="7"/>
      <c r="G1510" s="7"/>
      <c r="H1510" s="35"/>
      <c r="I1510" s="7"/>
      <c r="J1510" s="35"/>
      <c r="K1510" s="7"/>
      <c r="L1510" s="35"/>
      <c r="M1510" s="7"/>
      <c r="N1510" s="35"/>
      <c r="O1510" s="7"/>
      <c r="P1510" s="35"/>
      <c r="Q1510" s="7"/>
      <c r="R1510" s="35"/>
      <c r="S1510" s="7">
        <f t="shared" si="336"/>
        <v>200</v>
      </c>
      <c r="T1510" s="35">
        <f t="shared" si="322"/>
        <v>200</v>
      </c>
    </row>
    <row r="1511" spans="1:20">
      <c r="A1511" s="61" t="str">
        <f ca="1">IF(ISERROR(MATCH(E1511,Код_КВР,0)),"",INDIRECT(ADDRESS(MATCH(E1511,Код_КВР,0)+1,2,,,"КВР")))</f>
        <v>Субсидии бюджетным учреждениям на иные цели</v>
      </c>
      <c r="B1511" s="43" t="s">
        <v>697</v>
      </c>
      <c r="C1511" s="8" t="s">
        <v>222</v>
      </c>
      <c r="D1511" s="1" t="s">
        <v>216</v>
      </c>
      <c r="E1511" s="139">
        <v>612</v>
      </c>
      <c r="F1511" s="7"/>
      <c r="G1511" s="7"/>
      <c r="H1511" s="35"/>
      <c r="I1511" s="7"/>
      <c r="J1511" s="35"/>
      <c r="K1511" s="7"/>
      <c r="L1511" s="35"/>
      <c r="M1511" s="7"/>
      <c r="N1511" s="35"/>
      <c r="O1511" s="7"/>
      <c r="P1511" s="35"/>
      <c r="Q1511" s="7"/>
      <c r="R1511" s="35"/>
      <c r="S1511" s="7">
        <v>200</v>
      </c>
      <c r="T1511" s="35">
        <f t="shared" si="322"/>
        <v>200</v>
      </c>
    </row>
    <row r="1512" spans="1:20" ht="33">
      <c r="A1512" s="61" t="str">
        <f t="shared" ca="1" si="335"/>
        <v>Непрограммные направления деятельности органов местного самоуправления</v>
      </c>
      <c r="B1512" s="43" t="s">
        <v>299</v>
      </c>
      <c r="C1512" s="8"/>
      <c r="D1512" s="1"/>
      <c r="E1512" s="104"/>
      <c r="F1512" s="7">
        <f>F1513</f>
        <v>648834.49999999988</v>
      </c>
      <c r="G1512" s="7">
        <f>G1513</f>
        <v>-73691.899999999994</v>
      </c>
      <c r="H1512" s="35">
        <f t="shared" si="331"/>
        <v>575142.59999999986</v>
      </c>
      <c r="I1512" s="7">
        <f>I1513</f>
        <v>-1678.800000000002</v>
      </c>
      <c r="J1512" s="35">
        <f t="shared" si="327"/>
        <v>573463.79999999981</v>
      </c>
      <c r="K1512" s="7">
        <f>K1513</f>
        <v>-45776.7</v>
      </c>
      <c r="L1512" s="35">
        <f t="shared" si="337"/>
        <v>527687.09999999986</v>
      </c>
      <c r="M1512" s="7">
        <f>M1513</f>
        <v>-3849.2</v>
      </c>
      <c r="N1512" s="35">
        <f t="shared" si="330"/>
        <v>523837.89999999985</v>
      </c>
      <c r="O1512" s="7">
        <f>O1513</f>
        <v>0</v>
      </c>
      <c r="P1512" s="35">
        <f t="shared" si="328"/>
        <v>523837.89999999985</v>
      </c>
      <c r="Q1512" s="7">
        <f>Q1513</f>
        <v>3860.4</v>
      </c>
      <c r="R1512" s="35">
        <f t="shared" si="325"/>
        <v>527698.29999999981</v>
      </c>
      <c r="S1512" s="7">
        <f>S1513</f>
        <v>944.2</v>
      </c>
      <c r="T1512" s="35">
        <f t="shared" si="322"/>
        <v>528642.49999999977</v>
      </c>
    </row>
    <row r="1513" spans="1:20" ht="33">
      <c r="A1513" s="61" t="str">
        <f t="shared" ca="1" si="335"/>
        <v>Расходы, не включенные в муниципальные программы города Череповца</v>
      </c>
      <c r="B1513" s="43" t="s">
        <v>301</v>
      </c>
      <c r="C1513" s="8"/>
      <c r="D1513" s="1"/>
      <c r="E1513" s="104"/>
      <c r="F1513" s="7">
        <f>F1514+F1622+F1641+F1672+F1653+F1664+F1710+F1718+F1732+F1740+F1748+F1753+F1758+F1773+F1781+F1786+F1791+F1801+F1807</f>
        <v>648834.49999999988</v>
      </c>
      <c r="G1513" s="7">
        <f>G1514+G1622+G1641+G1672+G1653+G1664+G1710+G1718+G1732+G1740+G1748+G1753+G1758+G1773+G1781+G1786+G1791+G1801+G1807</f>
        <v>-73691.899999999994</v>
      </c>
      <c r="H1513" s="35">
        <f t="shared" si="331"/>
        <v>575142.59999999986</v>
      </c>
      <c r="I1513" s="7">
        <f>I1514+I1622+I1641+I1672+I1653+I1664+I1710+I1718+I1732+I1740+I1748+I1753+I1758+I1773+I1781+I1786+I1791+I1801+I1807</f>
        <v>-1678.800000000002</v>
      </c>
      <c r="J1513" s="35">
        <f t="shared" si="327"/>
        <v>573463.79999999981</v>
      </c>
      <c r="K1513" s="7">
        <f>K1514+K1622+K1641+K1672+K1653+K1664+K1710+K1718+K1732+K1740+K1748+K1753+K1758+K1773+K1781+K1786+K1791+K1801+K1807</f>
        <v>-45776.7</v>
      </c>
      <c r="L1513" s="35">
        <f t="shared" si="337"/>
        <v>527687.09999999986</v>
      </c>
      <c r="M1513" s="7">
        <f>M1514+M1622+M1635+M1641+M1672+M1647+M1653+M1664+M1710+M1718+M1732+M1740+M1748+M1753+M1758+M1773+M1781+M1786+M1791+M1801+M1807</f>
        <v>-3849.2</v>
      </c>
      <c r="N1513" s="35">
        <f t="shared" si="330"/>
        <v>523837.89999999985</v>
      </c>
      <c r="O1513" s="7">
        <f>O1514+O1622+O1635+O1641+O1672+O1647+O1653+O1664+O1710+O1718+O1732+O1740+O1748+O1753+O1758+O1773+O1781+O1786+O1791+O1801+O1807</f>
        <v>0</v>
      </c>
      <c r="P1513" s="35">
        <f t="shared" si="328"/>
        <v>523837.89999999985</v>
      </c>
      <c r="Q1513" s="7">
        <f>Q1514+Q1622+Q1635+Q1641+Q1672+Q1647+Q1653+Q1664+Q1710+Q1718+Q1732+Q1740+Q1748+Q1753+Q1758+Q1773+Q1781+Q1786+Q1791+Q1801+Q1807</f>
        <v>3860.4</v>
      </c>
      <c r="R1513" s="35">
        <f t="shared" si="325"/>
        <v>527698.29999999981</v>
      </c>
      <c r="S1513" s="7">
        <f>S1514+S1622+S1635+S1641+S1672+S1647+S1653+S1664+S1710+S1718+S1732+S1740+S1748+S1753+S1758+S1773+S1781+S1786+S1791+S1801+S1807+S1659+S1796</f>
        <v>944.2</v>
      </c>
      <c r="T1513" s="35">
        <f t="shared" si="322"/>
        <v>528642.49999999977</v>
      </c>
    </row>
    <row r="1514" spans="1:20" ht="33">
      <c r="A1514" s="61" t="str">
        <f t="shared" ca="1" si="335"/>
        <v>Руководство и управление в сфере установленных функций органов местного самоуправления</v>
      </c>
      <c r="B1514" s="43" t="s">
        <v>303</v>
      </c>
      <c r="C1514" s="8"/>
      <c r="D1514" s="1"/>
      <c r="E1514" s="104"/>
      <c r="F1514" s="7">
        <f>F1515++F1520+F1612+F1617</f>
        <v>342834.49999999988</v>
      </c>
      <c r="G1514" s="7">
        <f>G1515++G1520+G1612+G1617</f>
        <v>0</v>
      </c>
      <c r="H1514" s="35">
        <f t="shared" si="331"/>
        <v>342834.49999999988</v>
      </c>
      <c r="I1514" s="7">
        <f>I1515++I1520+I1612+I1617</f>
        <v>-1048.7</v>
      </c>
      <c r="J1514" s="35">
        <f t="shared" si="327"/>
        <v>341785.79999999987</v>
      </c>
      <c r="K1514" s="7">
        <f>K1515++K1520+K1612+K1617</f>
        <v>0</v>
      </c>
      <c r="L1514" s="35">
        <f t="shared" si="337"/>
        <v>341785.79999999987</v>
      </c>
      <c r="M1514" s="7">
        <f>M1515++M1520+M1612+M1617</f>
        <v>222.5</v>
      </c>
      <c r="N1514" s="35">
        <f t="shared" si="330"/>
        <v>342008.29999999987</v>
      </c>
      <c r="O1514" s="7">
        <f>O1515++O1520+O1612+O1617</f>
        <v>0</v>
      </c>
      <c r="P1514" s="35">
        <f t="shared" si="328"/>
        <v>342008.29999999987</v>
      </c>
      <c r="Q1514" s="7">
        <f>Q1515++Q1520+Q1612+Q1617</f>
        <v>-502.09999999999991</v>
      </c>
      <c r="R1514" s="35">
        <f t="shared" si="325"/>
        <v>341506.1999999999</v>
      </c>
      <c r="S1514" s="7">
        <f>S1515++S1520+S1612+S1617</f>
        <v>-336.8</v>
      </c>
      <c r="T1514" s="35">
        <f t="shared" si="322"/>
        <v>341169.39999999991</v>
      </c>
    </row>
    <row r="1515" spans="1:20">
      <c r="A1515" s="61" t="str">
        <f t="shared" ca="1" si="335"/>
        <v>Глава муниципального образования</v>
      </c>
      <c r="B1515" s="43" t="s">
        <v>305</v>
      </c>
      <c r="C1515" s="8"/>
      <c r="D1515" s="1"/>
      <c r="E1515" s="104"/>
      <c r="F1515" s="7">
        <f t="shared" ref="F1515:S1518" si="338">F1516</f>
        <v>2998</v>
      </c>
      <c r="G1515" s="7">
        <f t="shared" si="338"/>
        <v>0</v>
      </c>
      <c r="H1515" s="35">
        <f t="shared" si="331"/>
        <v>2998</v>
      </c>
      <c r="I1515" s="7">
        <f t="shared" si="338"/>
        <v>0</v>
      </c>
      <c r="J1515" s="35">
        <f t="shared" si="327"/>
        <v>2998</v>
      </c>
      <c r="K1515" s="7">
        <f t="shared" si="338"/>
        <v>0</v>
      </c>
      <c r="L1515" s="35">
        <f t="shared" si="337"/>
        <v>2998</v>
      </c>
      <c r="M1515" s="7">
        <f t="shared" si="338"/>
        <v>0</v>
      </c>
      <c r="N1515" s="35">
        <f t="shared" si="330"/>
        <v>2998</v>
      </c>
      <c r="O1515" s="7">
        <f t="shared" si="338"/>
        <v>0</v>
      </c>
      <c r="P1515" s="35">
        <f t="shared" si="328"/>
        <v>2998</v>
      </c>
      <c r="Q1515" s="7">
        <f t="shared" si="338"/>
        <v>0</v>
      </c>
      <c r="R1515" s="35">
        <f t="shared" si="325"/>
        <v>2998</v>
      </c>
      <c r="S1515" s="7">
        <f t="shared" si="338"/>
        <v>0</v>
      </c>
      <c r="T1515" s="35">
        <f t="shared" si="322"/>
        <v>2998</v>
      </c>
    </row>
    <row r="1516" spans="1:20">
      <c r="A1516" s="61" t="str">
        <f ca="1">IF(ISERROR(MATCH(C1516,Код_Раздел,0)),"",INDIRECT(ADDRESS(MATCH(C1516,Код_Раздел,0)+1,2,,,"Раздел")))</f>
        <v>Общегосударственные  вопросы</v>
      </c>
      <c r="B1516" s="43" t="s">
        <v>305</v>
      </c>
      <c r="C1516" s="8" t="s">
        <v>213</v>
      </c>
      <c r="D1516" s="1"/>
      <c r="E1516" s="104"/>
      <c r="F1516" s="7">
        <f t="shared" si="338"/>
        <v>2998</v>
      </c>
      <c r="G1516" s="7">
        <f t="shared" si="338"/>
        <v>0</v>
      </c>
      <c r="H1516" s="35">
        <f t="shared" si="331"/>
        <v>2998</v>
      </c>
      <c r="I1516" s="7">
        <f t="shared" si="338"/>
        <v>0</v>
      </c>
      <c r="J1516" s="35">
        <f t="shared" si="327"/>
        <v>2998</v>
      </c>
      <c r="K1516" s="7">
        <f t="shared" si="338"/>
        <v>0</v>
      </c>
      <c r="L1516" s="35">
        <f t="shared" si="337"/>
        <v>2998</v>
      </c>
      <c r="M1516" s="7">
        <f t="shared" si="338"/>
        <v>0</v>
      </c>
      <c r="N1516" s="35">
        <f t="shared" si="330"/>
        <v>2998</v>
      </c>
      <c r="O1516" s="7">
        <f t="shared" si="338"/>
        <v>0</v>
      </c>
      <c r="P1516" s="35">
        <f t="shared" si="328"/>
        <v>2998</v>
      </c>
      <c r="Q1516" s="7">
        <f t="shared" si="338"/>
        <v>0</v>
      </c>
      <c r="R1516" s="35">
        <f t="shared" si="325"/>
        <v>2998</v>
      </c>
      <c r="S1516" s="7">
        <f t="shared" si="338"/>
        <v>0</v>
      </c>
      <c r="T1516" s="35">
        <f t="shared" ref="T1516:T1579" si="339">R1516+S1516</f>
        <v>2998</v>
      </c>
    </row>
    <row r="1517" spans="1:20" ht="33">
      <c r="A1517" s="75" t="s">
        <v>233</v>
      </c>
      <c r="B1517" s="43" t="s">
        <v>305</v>
      </c>
      <c r="C1517" s="8" t="s">
        <v>213</v>
      </c>
      <c r="D1517" s="1" t="s">
        <v>214</v>
      </c>
      <c r="E1517" s="104"/>
      <c r="F1517" s="7">
        <f t="shared" si="338"/>
        <v>2998</v>
      </c>
      <c r="G1517" s="7">
        <f t="shared" si="338"/>
        <v>0</v>
      </c>
      <c r="H1517" s="35">
        <f t="shared" si="331"/>
        <v>2998</v>
      </c>
      <c r="I1517" s="7">
        <f t="shared" si="338"/>
        <v>0</v>
      </c>
      <c r="J1517" s="35">
        <f t="shared" si="327"/>
        <v>2998</v>
      </c>
      <c r="K1517" s="7">
        <f t="shared" si="338"/>
        <v>0</v>
      </c>
      <c r="L1517" s="35">
        <f t="shared" si="337"/>
        <v>2998</v>
      </c>
      <c r="M1517" s="7">
        <f t="shared" si="338"/>
        <v>0</v>
      </c>
      <c r="N1517" s="35">
        <f t="shared" si="330"/>
        <v>2998</v>
      </c>
      <c r="O1517" s="7">
        <f t="shared" si="338"/>
        <v>0</v>
      </c>
      <c r="P1517" s="35">
        <f t="shared" si="328"/>
        <v>2998</v>
      </c>
      <c r="Q1517" s="7">
        <f t="shared" si="338"/>
        <v>0</v>
      </c>
      <c r="R1517" s="35">
        <f t="shared" si="325"/>
        <v>2998</v>
      </c>
      <c r="S1517" s="7">
        <f t="shared" si="338"/>
        <v>0</v>
      </c>
      <c r="T1517" s="35">
        <f t="shared" si="339"/>
        <v>2998</v>
      </c>
    </row>
    <row r="1518" spans="1:20" ht="33">
      <c r="A1518" s="61" t="str">
        <f ca="1">IF(ISERROR(MATCH(E1518,Код_КВР,0)),"",INDIRECT(ADDRESS(MATCH(E1518,Код_КВР,0)+1,2,,,"КВР")))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18" s="43" t="s">
        <v>305</v>
      </c>
      <c r="C1518" s="8" t="s">
        <v>213</v>
      </c>
      <c r="D1518" s="8" t="s">
        <v>214</v>
      </c>
      <c r="E1518" s="104">
        <v>100</v>
      </c>
      <c r="F1518" s="7">
        <f t="shared" si="338"/>
        <v>2998</v>
      </c>
      <c r="G1518" s="7">
        <f t="shared" si="338"/>
        <v>0</v>
      </c>
      <c r="H1518" s="35">
        <f t="shared" si="331"/>
        <v>2998</v>
      </c>
      <c r="I1518" s="7">
        <f t="shared" si="338"/>
        <v>0</v>
      </c>
      <c r="J1518" s="35">
        <f t="shared" si="327"/>
        <v>2998</v>
      </c>
      <c r="K1518" s="7">
        <f t="shared" si="338"/>
        <v>0</v>
      </c>
      <c r="L1518" s="35">
        <f t="shared" si="337"/>
        <v>2998</v>
      </c>
      <c r="M1518" s="7">
        <f t="shared" si="338"/>
        <v>0</v>
      </c>
      <c r="N1518" s="35">
        <f t="shared" si="330"/>
        <v>2998</v>
      </c>
      <c r="O1518" s="7">
        <f t="shared" si="338"/>
        <v>0</v>
      </c>
      <c r="P1518" s="35">
        <f t="shared" si="328"/>
        <v>2998</v>
      </c>
      <c r="Q1518" s="7">
        <f t="shared" si="338"/>
        <v>0</v>
      </c>
      <c r="R1518" s="35">
        <f t="shared" si="325"/>
        <v>2998</v>
      </c>
      <c r="S1518" s="7">
        <f t="shared" si="338"/>
        <v>0</v>
      </c>
      <c r="T1518" s="35">
        <f t="shared" si="339"/>
        <v>2998</v>
      </c>
    </row>
    <row r="1519" spans="1:20">
      <c r="A1519" s="61" t="str">
        <f ca="1">IF(ISERROR(MATCH(E1519,Код_КВР,0)),"",INDIRECT(ADDRESS(MATCH(E1519,Код_КВР,0)+1,2,,,"КВР")))</f>
        <v>Расходы на выплаты персоналу муниципальных органов</v>
      </c>
      <c r="B1519" s="43" t="s">
        <v>305</v>
      </c>
      <c r="C1519" s="8" t="s">
        <v>213</v>
      </c>
      <c r="D1519" s="8" t="s">
        <v>214</v>
      </c>
      <c r="E1519" s="104">
        <v>120</v>
      </c>
      <c r="F1519" s="7">
        <f>прил.6!G29</f>
        <v>2998</v>
      </c>
      <c r="G1519" s="7">
        <f>прил.6!H29</f>
        <v>0</v>
      </c>
      <c r="H1519" s="35">
        <f t="shared" si="331"/>
        <v>2998</v>
      </c>
      <c r="I1519" s="7">
        <f>прил.6!J29</f>
        <v>0</v>
      </c>
      <c r="J1519" s="35">
        <f t="shared" si="327"/>
        <v>2998</v>
      </c>
      <c r="K1519" s="7">
        <f>прил.6!L29</f>
        <v>0</v>
      </c>
      <c r="L1519" s="35">
        <f t="shared" si="337"/>
        <v>2998</v>
      </c>
      <c r="M1519" s="7">
        <f>прил.6!N29</f>
        <v>0</v>
      </c>
      <c r="N1519" s="35">
        <f t="shared" si="330"/>
        <v>2998</v>
      </c>
      <c r="O1519" s="7">
        <f>прил.6!P29</f>
        <v>0</v>
      </c>
      <c r="P1519" s="35">
        <f t="shared" si="328"/>
        <v>2998</v>
      </c>
      <c r="Q1519" s="7">
        <f>прил.6!R29</f>
        <v>0</v>
      </c>
      <c r="R1519" s="35">
        <f t="shared" si="325"/>
        <v>2998</v>
      </c>
      <c r="S1519" s="7">
        <f>прил.6!T29</f>
        <v>0</v>
      </c>
      <c r="T1519" s="35">
        <f t="shared" si="339"/>
        <v>2998</v>
      </c>
    </row>
    <row r="1520" spans="1:20">
      <c r="A1520" s="61" t="str">
        <f ca="1">IF(ISERROR(MATCH(B1520,Код_КЦСР,0)),"",INDIRECT(ADDRESS(MATCH(B1520,Код_КЦСР,0)+1,2,,,"КЦСР")))</f>
        <v>Центральный аппарат</v>
      </c>
      <c r="B1520" s="43" t="s">
        <v>306</v>
      </c>
      <c r="C1520" s="8"/>
      <c r="D1520" s="1"/>
      <c r="E1520" s="104"/>
      <c r="F1520" s="7">
        <f>F1521+F1550+F1561+F1571+F1581+F1588+F1598+F1605</f>
        <v>333928.59999999992</v>
      </c>
      <c r="G1520" s="7">
        <f>G1521+G1550+G1561+G1571+G1581+G1588+G1598+G1605</f>
        <v>0</v>
      </c>
      <c r="H1520" s="35">
        <f t="shared" si="331"/>
        <v>333928.59999999992</v>
      </c>
      <c r="I1520" s="7">
        <f>I1521+I1550+I1561+I1571+I1581+I1588+I1598+I1605</f>
        <v>-1048.7</v>
      </c>
      <c r="J1520" s="35">
        <f t="shared" si="327"/>
        <v>332879.89999999991</v>
      </c>
      <c r="K1520" s="7">
        <f>K1521+K1550+K1561+K1571+K1581+K1588+K1598+K1605</f>
        <v>0</v>
      </c>
      <c r="L1520" s="35">
        <f t="shared" si="337"/>
        <v>332879.89999999991</v>
      </c>
      <c r="M1520" s="7">
        <f>M1521+M1550+M1561+M1571+M1581+M1588+M1598+M1605</f>
        <v>222.5</v>
      </c>
      <c r="N1520" s="35">
        <f t="shared" si="330"/>
        <v>333102.39999999991</v>
      </c>
      <c r="O1520" s="7">
        <f>O1521+O1550+O1561+O1571+O1581+O1588+O1598+O1605</f>
        <v>0</v>
      </c>
      <c r="P1520" s="35">
        <f t="shared" si="328"/>
        <v>333102.39999999991</v>
      </c>
      <c r="Q1520" s="7">
        <f>Q1521+Q1550+Q1561+Q1571+Q1581+Q1588+Q1598+Q1605</f>
        <v>-502.09999999999991</v>
      </c>
      <c r="R1520" s="35">
        <f t="shared" si="325"/>
        <v>332600.29999999993</v>
      </c>
      <c r="S1520" s="7">
        <f>S1521+S1550+S1561+S1571+S1581+S1588+S1598+S1605</f>
        <v>-336.8</v>
      </c>
      <c r="T1520" s="35">
        <f t="shared" si="339"/>
        <v>332263.49999999994</v>
      </c>
    </row>
    <row r="1521" spans="1:20">
      <c r="A1521" s="61" t="str">
        <f ca="1">IF(ISERROR(MATCH(C1521,Код_Раздел,0)),"",INDIRECT(ADDRESS(MATCH(C1521,Код_Раздел,0)+1,2,,,"Раздел")))</f>
        <v>Общегосударственные  вопросы</v>
      </c>
      <c r="B1521" s="43" t="s">
        <v>306</v>
      </c>
      <c r="C1521" s="8" t="s">
        <v>213</v>
      </c>
      <c r="D1521" s="1"/>
      <c r="E1521" s="104"/>
      <c r="F1521" s="7">
        <f>F1522+F1532+F1541</f>
        <v>181262.3</v>
      </c>
      <c r="G1521" s="7">
        <f>G1522+G1532+G1541</f>
        <v>0</v>
      </c>
      <c r="H1521" s="35">
        <f t="shared" si="331"/>
        <v>181262.3</v>
      </c>
      <c r="I1521" s="7">
        <f>I1522+I1532+I1541</f>
        <v>-330.5</v>
      </c>
      <c r="J1521" s="35">
        <f t="shared" si="327"/>
        <v>180931.8</v>
      </c>
      <c r="K1521" s="7">
        <f>K1522+K1532+K1541</f>
        <v>0</v>
      </c>
      <c r="L1521" s="35">
        <f t="shared" si="337"/>
        <v>180931.8</v>
      </c>
      <c r="M1521" s="7">
        <f>M1522+M1532+M1541</f>
        <v>222.5</v>
      </c>
      <c r="N1521" s="35">
        <f t="shared" si="330"/>
        <v>181154.3</v>
      </c>
      <c r="O1521" s="7">
        <f>O1522+O1532+O1541</f>
        <v>0</v>
      </c>
      <c r="P1521" s="35">
        <f t="shared" si="328"/>
        <v>181154.3</v>
      </c>
      <c r="Q1521" s="7">
        <f>Q1522+Q1532+Q1541</f>
        <v>711.7</v>
      </c>
      <c r="R1521" s="35">
        <f t="shared" si="325"/>
        <v>181866</v>
      </c>
      <c r="S1521" s="7">
        <f>S1522+S1532+S1541</f>
        <v>0</v>
      </c>
      <c r="T1521" s="35">
        <f t="shared" si="339"/>
        <v>181866</v>
      </c>
    </row>
    <row r="1522" spans="1:20" ht="49.5">
      <c r="A1522" s="12" t="s">
        <v>168</v>
      </c>
      <c r="B1522" s="43" t="s">
        <v>306</v>
      </c>
      <c r="C1522" s="8" t="s">
        <v>213</v>
      </c>
      <c r="D1522" s="8" t="s">
        <v>215</v>
      </c>
      <c r="E1522" s="104"/>
      <c r="F1522" s="7">
        <f>F1523+F1525+F1528</f>
        <v>22979.500000000004</v>
      </c>
      <c r="G1522" s="7">
        <f>G1523+G1525+G1528</f>
        <v>0</v>
      </c>
      <c r="H1522" s="35">
        <f t="shared" si="331"/>
        <v>22979.500000000004</v>
      </c>
      <c r="I1522" s="7">
        <f>I1523+I1525+I1528</f>
        <v>-8530.4</v>
      </c>
      <c r="J1522" s="35">
        <f t="shared" si="327"/>
        <v>14449.100000000004</v>
      </c>
      <c r="K1522" s="7">
        <f>K1523+K1525+K1528</f>
        <v>0</v>
      </c>
      <c r="L1522" s="35">
        <f t="shared" si="337"/>
        <v>14449.100000000004</v>
      </c>
      <c r="M1522" s="7">
        <f>M1523+M1525+M1528</f>
        <v>0</v>
      </c>
      <c r="N1522" s="35">
        <f t="shared" si="330"/>
        <v>14449.100000000004</v>
      </c>
      <c r="O1522" s="7">
        <f>O1523+O1525+O1528</f>
        <v>0</v>
      </c>
      <c r="P1522" s="35">
        <f t="shared" si="328"/>
        <v>14449.100000000004</v>
      </c>
      <c r="Q1522" s="7">
        <f>Q1523+Q1525+Q1528</f>
        <v>-209.8</v>
      </c>
      <c r="R1522" s="35">
        <f t="shared" si="325"/>
        <v>14239.300000000005</v>
      </c>
      <c r="S1522" s="7">
        <f>S1523+S1525+S1528</f>
        <v>0</v>
      </c>
      <c r="T1522" s="35">
        <f t="shared" si="339"/>
        <v>14239.300000000005</v>
      </c>
    </row>
    <row r="1523" spans="1:20" ht="33">
      <c r="A1523" s="61" t="str">
        <f t="shared" ref="A1523:A1531" ca="1" si="340">IF(ISERROR(MATCH(E1523,Код_КВР,0)),"",INDIRECT(ADDRESS(MATCH(E1523,Код_КВР,0)+1,2,,,"КВР")))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23" s="43" t="s">
        <v>306</v>
      </c>
      <c r="C1523" s="8" t="s">
        <v>213</v>
      </c>
      <c r="D1523" s="8" t="s">
        <v>215</v>
      </c>
      <c r="E1523" s="104">
        <v>100</v>
      </c>
      <c r="F1523" s="7">
        <f>F1524</f>
        <v>21566.300000000003</v>
      </c>
      <c r="G1523" s="7">
        <f>G1524</f>
        <v>0</v>
      </c>
      <c r="H1523" s="35">
        <f t="shared" si="331"/>
        <v>21566.300000000003</v>
      </c>
      <c r="I1523" s="7">
        <f>I1524</f>
        <v>-8140.3</v>
      </c>
      <c r="J1523" s="35">
        <f t="shared" si="327"/>
        <v>13426.000000000004</v>
      </c>
      <c r="K1523" s="7">
        <f>K1524</f>
        <v>0</v>
      </c>
      <c r="L1523" s="35">
        <f t="shared" si="337"/>
        <v>13426.000000000004</v>
      </c>
      <c r="M1523" s="7">
        <f>M1524</f>
        <v>0</v>
      </c>
      <c r="N1523" s="35">
        <f t="shared" si="330"/>
        <v>13426.000000000004</v>
      </c>
      <c r="O1523" s="7">
        <f>O1524</f>
        <v>0</v>
      </c>
      <c r="P1523" s="35">
        <f t="shared" si="328"/>
        <v>13426.000000000004</v>
      </c>
      <c r="Q1523" s="7">
        <f>Q1524</f>
        <v>-209.8</v>
      </c>
      <c r="R1523" s="35">
        <f t="shared" si="325"/>
        <v>13216.200000000004</v>
      </c>
      <c r="S1523" s="7">
        <f>S1524</f>
        <v>0</v>
      </c>
      <c r="T1523" s="35">
        <f t="shared" si="339"/>
        <v>13216.200000000004</v>
      </c>
    </row>
    <row r="1524" spans="1:20">
      <c r="A1524" s="61" t="str">
        <f t="shared" ca="1" si="340"/>
        <v>Расходы на выплаты персоналу муниципальных органов</v>
      </c>
      <c r="B1524" s="43" t="s">
        <v>306</v>
      </c>
      <c r="C1524" s="8" t="s">
        <v>213</v>
      </c>
      <c r="D1524" s="8" t="s">
        <v>215</v>
      </c>
      <c r="E1524" s="104">
        <v>120</v>
      </c>
      <c r="F1524" s="7">
        <f>прил.6!G400</f>
        <v>21566.300000000003</v>
      </c>
      <c r="G1524" s="7">
        <f>прил.6!H400</f>
        <v>0</v>
      </c>
      <c r="H1524" s="35">
        <f t="shared" si="331"/>
        <v>21566.300000000003</v>
      </c>
      <c r="I1524" s="7">
        <f>прил.6!J400</f>
        <v>-8140.3</v>
      </c>
      <c r="J1524" s="35">
        <f t="shared" si="327"/>
        <v>13426.000000000004</v>
      </c>
      <c r="K1524" s="7">
        <f>прил.6!L400</f>
        <v>0</v>
      </c>
      <c r="L1524" s="35">
        <f t="shared" si="337"/>
        <v>13426.000000000004</v>
      </c>
      <c r="M1524" s="7">
        <f>прил.6!N400</f>
        <v>0</v>
      </c>
      <c r="N1524" s="35">
        <f t="shared" si="330"/>
        <v>13426.000000000004</v>
      </c>
      <c r="O1524" s="7">
        <f>прил.6!P400</f>
        <v>0</v>
      </c>
      <c r="P1524" s="35">
        <f t="shared" si="328"/>
        <v>13426.000000000004</v>
      </c>
      <c r="Q1524" s="7">
        <f>прил.6!R400</f>
        <v>-209.8</v>
      </c>
      <c r="R1524" s="35">
        <f t="shared" si="325"/>
        <v>13216.200000000004</v>
      </c>
      <c r="S1524" s="7">
        <f>прил.6!T400</f>
        <v>0</v>
      </c>
      <c r="T1524" s="35">
        <f t="shared" si="339"/>
        <v>13216.200000000004</v>
      </c>
    </row>
    <row r="1525" spans="1:20">
      <c r="A1525" s="61" t="str">
        <f t="shared" ca="1" si="340"/>
        <v>Закупка товаров, работ и услуг для муниципальных нужд</v>
      </c>
      <c r="B1525" s="43" t="s">
        <v>306</v>
      </c>
      <c r="C1525" s="8" t="s">
        <v>213</v>
      </c>
      <c r="D1525" s="8" t="s">
        <v>215</v>
      </c>
      <c r="E1525" s="104">
        <v>200</v>
      </c>
      <c r="F1525" s="7">
        <f>F1526</f>
        <v>1410.8</v>
      </c>
      <c r="G1525" s="7">
        <f>G1526</f>
        <v>0</v>
      </c>
      <c r="H1525" s="35">
        <f t="shared" si="331"/>
        <v>1410.8</v>
      </c>
      <c r="I1525" s="7">
        <f>I1526</f>
        <v>-390.1</v>
      </c>
      <c r="J1525" s="35">
        <f t="shared" si="327"/>
        <v>1020.6999999999999</v>
      </c>
      <c r="K1525" s="7">
        <f>K1526</f>
        <v>0</v>
      </c>
      <c r="L1525" s="35">
        <f t="shared" si="337"/>
        <v>1020.6999999999999</v>
      </c>
      <c r="M1525" s="7">
        <f>M1526</f>
        <v>0</v>
      </c>
      <c r="N1525" s="35">
        <f t="shared" si="330"/>
        <v>1020.6999999999999</v>
      </c>
      <c r="O1525" s="7">
        <f>O1526</f>
        <v>0</v>
      </c>
      <c r="P1525" s="35">
        <f t="shared" si="328"/>
        <v>1020.6999999999999</v>
      </c>
      <c r="Q1525" s="7">
        <f>Q1526</f>
        <v>0</v>
      </c>
      <c r="R1525" s="35">
        <f t="shared" si="325"/>
        <v>1020.6999999999999</v>
      </c>
      <c r="S1525" s="7">
        <f>S1526</f>
        <v>0</v>
      </c>
      <c r="T1525" s="35">
        <f t="shared" si="339"/>
        <v>1020.6999999999999</v>
      </c>
    </row>
    <row r="1526" spans="1:20" ht="33">
      <c r="A1526" s="61" t="str">
        <f t="shared" ca="1" si="340"/>
        <v>Иные закупки товаров, работ и услуг для обеспечения муниципальных нужд</v>
      </c>
      <c r="B1526" s="43" t="s">
        <v>306</v>
      </c>
      <c r="C1526" s="8" t="s">
        <v>213</v>
      </c>
      <c r="D1526" s="8" t="s">
        <v>215</v>
      </c>
      <c r="E1526" s="104">
        <v>240</v>
      </c>
      <c r="F1526" s="7">
        <f>F1527</f>
        <v>1410.8</v>
      </c>
      <c r="G1526" s="7">
        <f>G1527</f>
        <v>0</v>
      </c>
      <c r="H1526" s="35">
        <f t="shared" si="331"/>
        <v>1410.8</v>
      </c>
      <c r="I1526" s="7">
        <f>I1527</f>
        <v>-390.1</v>
      </c>
      <c r="J1526" s="35">
        <f t="shared" si="327"/>
        <v>1020.6999999999999</v>
      </c>
      <c r="K1526" s="7">
        <f>K1527</f>
        <v>0</v>
      </c>
      <c r="L1526" s="35">
        <f t="shared" si="337"/>
        <v>1020.6999999999999</v>
      </c>
      <c r="M1526" s="7">
        <f>M1527</f>
        <v>0</v>
      </c>
      <c r="N1526" s="35">
        <f t="shared" si="330"/>
        <v>1020.6999999999999</v>
      </c>
      <c r="O1526" s="7">
        <f>O1527</f>
        <v>0</v>
      </c>
      <c r="P1526" s="35">
        <f t="shared" si="328"/>
        <v>1020.6999999999999</v>
      </c>
      <c r="Q1526" s="7">
        <f>Q1527</f>
        <v>0</v>
      </c>
      <c r="R1526" s="35">
        <f t="shared" si="325"/>
        <v>1020.6999999999999</v>
      </c>
      <c r="S1526" s="7">
        <f>S1527</f>
        <v>0</v>
      </c>
      <c r="T1526" s="35">
        <f t="shared" si="339"/>
        <v>1020.6999999999999</v>
      </c>
    </row>
    <row r="1527" spans="1:20" ht="33">
      <c r="A1527" s="61" t="str">
        <f t="shared" ca="1" si="340"/>
        <v xml:space="preserve">Прочая закупка товаров, работ и услуг для обеспечения муниципальных нужд         </v>
      </c>
      <c r="B1527" s="43" t="s">
        <v>306</v>
      </c>
      <c r="C1527" s="8" t="s">
        <v>213</v>
      </c>
      <c r="D1527" s="8" t="s">
        <v>215</v>
      </c>
      <c r="E1527" s="104">
        <v>244</v>
      </c>
      <c r="F1527" s="7">
        <f>прил.6!G403</f>
        <v>1410.8</v>
      </c>
      <c r="G1527" s="7">
        <f>прил.6!H403</f>
        <v>0</v>
      </c>
      <c r="H1527" s="35">
        <f t="shared" si="331"/>
        <v>1410.8</v>
      </c>
      <c r="I1527" s="7">
        <f>прил.6!J403</f>
        <v>-390.1</v>
      </c>
      <c r="J1527" s="35">
        <f t="shared" si="327"/>
        <v>1020.6999999999999</v>
      </c>
      <c r="K1527" s="7">
        <f>прил.6!L403</f>
        <v>0</v>
      </c>
      <c r="L1527" s="35">
        <f t="shared" si="337"/>
        <v>1020.6999999999999</v>
      </c>
      <c r="M1527" s="7">
        <f>прил.6!N403</f>
        <v>0</v>
      </c>
      <c r="N1527" s="35">
        <f t="shared" si="330"/>
        <v>1020.6999999999999</v>
      </c>
      <c r="O1527" s="7">
        <f>прил.6!P403</f>
        <v>0</v>
      </c>
      <c r="P1527" s="35">
        <f t="shared" si="328"/>
        <v>1020.6999999999999</v>
      </c>
      <c r="Q1527" s="7">
        <f>прил.6!R403</f>
        <v>0</v>
      </c>
      <c r="R1527" s="35">
        <f t="shared" si="325"/>
        <v>1020.6999999999999</v>
      </c>
      <c r="S1527" s="7">
        <f>прил.6!T403</f>
        <v>0</v>
      </c>
      <c r="T1527" s="35">
        <f t="shared" si="339"/>
        <v>1020.6999999999999</v>
      </c>
    </row>
    <row r="1528" spans="1:20">
      <c r="A1528" s="61" t="str">
        <f t="shared" ca="1" si="340"/>
        <v>Иные бюджетные ассигнования</v>
      </c>
      <c r="B1528" s="43" t="s">
        <v>306</v>
      </c>
      <c r="C1528" s="8" t="s">
        <v>213</v>
      </c>
      <c r="D1528" s="8" t="s">
        <v>215</v>
      </c>
      <c r="E1528" s="104">
        <v>800</v>
      </c>
      <c r="F1528" s="7">
        <f>F1529</f>
        <v>2.4</v>
      </c>
      <c r="G1528" s="7">
        <f>G1529</f>
        <v>0</v>
      </c>
      <c r="H1528" s="35">
        <f t="shared" si="331"/>
        <v>2.4</v>
      </c>
      <c r="I1528" s="7">
        <f>I1529</f>
        <v>0</v>
      </c>
      <c r="J1528" s="35">
        <f t="shared" si="327"/>
        <v>2.4</v>
      </c>
      <c r="K1528" s="7">
        <f>K1529</f>
        <v>0</v>
      </c>
      <c r="L1528" s="35">
        <f t="shared" si="337"/>
        <v>2.4</v>
      </c>
      <c r="M1528" s="7">
        <f>M1529</f>
        <v>0</v>
      </c>
      <c r="N1528" s="35">
        <f t="shared" si="330"/>
        <v>2.4</v>
      </c>
      <c r="O1528" s="7">
        <f>O1529</f>
        <v>0</v>
      </c>
      <c r="P1528" s="35">
        <f t="shared" si="328"/>
        <v>2.4</v>
      </c>
      <c r="Q1528" s="7">
        <f>Q1529</f>
        <v>0</v>
      </c>
      <c r="R1528" s="35">
        <f t="shared" si="325"/>
        <v>2.4</v>
      </c>
      <c r="S1528" s="7">
        <f>S1529</f>
        <v>0</v>
      </c>
      <c r="T1528" s="35">
        <f t="shared" si="339"/>
        <v>2.4</v>
      </c>
    </row>
    <row r="1529" spans="1:20">
      <c r="A1529" s="61" t="str">
        <f t="shared" ca="1" si="340"/>
        <v>Уплата налогов, сборов и иных платежей</v>
      </c>
      <c r="B1529" s="43" t="s">
        <v>306</v>
      </c>
      <c r="C1529" s="8" t="s">
        <v>213</v>
      </c>
      <c r="D1529" s="8" t="s">
        <v>215</v>
      </c>
      <c r="E1529" s="104">
        <v>850</v>
      </c>
      <c r="F1529" s="7">
        <f>F1531</f>
        <v>2.4</v>
      </c>
      <c r="G1529" s="7">
        <f>G1531</f>
        <v>0</v>
      </c>
      <c r="H1529" s="35">
        <f t="shared" si="331"/>
        <v>2.4</v>
      </c>
      <c r="I1529" s="7">
        <f>I1530+I1531</f>
        <v>0</v>
      </c>
      <c r="J1529" s="35">
        <f t="shared" si="327"/>
        <v>2.4</v>
      </c>
      <c r="K1529" s="7">
        <f>K1530+K1531</f>
        <v>0</v>
      </c>
      <c r="L1529" s="35">
        <f t="shared" si="337"/>
        <v>2.4</v>
      </c>
      <c r="M1529" s="7">
        <f>M1530+M1531</f>
        <v>0</v>
      </c>
      <c r="N1529" s="35">
        <f t="shared" si="330"/>
        <v>2.4</v>
      </c>
      <c r="O1529" s="7">
        <f>O1530+O1531</f>
        <v>0</v>
      </c>
      <c r="P1529" s="35">
        <f t="shared" si="328"/>
        <v>2.4</v>
      </c>
      <c r="Q1529" s="7">
        <f>Q1530+Q1531</f>
        <v>0</v>
      </c>
      <c r="R1529" s="35">
        <f t="shared" si="325"/>
        <v>2.4</v>
      </c>
      <c r="S1529" s="7">
        <f>S1530+S1531</f>
        <v>0</v>
      </c>
      <c r="T1529" s="35">
        <f t="shared" si="339"/>
        <v>2.4</v>
      </c>
    </row>
    <row r="1530" spans="1:20">
      <c r="A1530" s="61" t="str">
        <f t="shared" ref="A1530" ca="1" si="341">IF(ISERROR(MATCH(E1530,Код_КВР,0)),"",INDIRECT(ADDRESS(MATCH(E1530,Код_КВР,0)+1,2,,,"КВР")))</f>
        <v>Уплата налога на имущество организаций и земельного налога</v>
      </c>
      <c r="B1530" s="43" t="s">
        <v>306</v>
      </c>
      <c r="C1530" s="8" t="s">
        <v>213</v>
      </c>
      <c r="D1530" s="8" t="s">
        <v>215</v>
      </c>
      <c r="E1530" s="104">
        <v>851</v>
      </c>
      <c r="F1530" s="7"/>
      <c r="G1530" s="7"/>
      <c r="H1530" s="35"/>
      <c r="I1530" s="7">
        <f>прил.6!J406</f>
        <v>2.4</v>
      </c>
      <c r="J1530" s="35">
        <f t="shared" si="327"/>
        <v>2.4</v>
      </c>
      <c r="K1530" s="7">
        <f>прил.6!L406</f>
        <v>0</v>
      </c>
      <c r="L1530" s="35">
        <f t="shared" si="337"/>
        <v>2.4</v>
      </c>
      <c r="M1530" s="7">
        <f>прил.6!N406</f>
        <v>0</v>
      </c>
      <c r="N1530" s="35">
        <f t="shared" si="330"/>
        <v>2.4</v>
      </c>
      <c r="O1530" s="7">
        <f>прил.6!P406</f>
        <v>0</v>
      </c>
      <c r="P1530" s="35">
        <f t="shared" si="328"/>
        <v>2.4</v>
      </c>
      <c r="Q1530" s="7">
        <f>прил.6!R406</f>
        <v>0</v>
      </c>
      <c r="R1530" s="35">
        <f t="shared" si="325"/>
        <v>2.4</v>
      </c>
      <c r="S1530" s="7">
        <f>прил.6!T406</f>
        <v>0</v>
      </c>
      <c r="T1530" s="35">
        <f t="shared" si="339"/>
        <v>2.4</v>
      </c>
    </row>
    <row r="1531" spans="1:20" hidden="1">
      <c r="A1531" s="61" t="str">
        <f t="shared" ca="1" si="340"/>
        <v>Уплата прочих налогов, сборов и иных платежей</v>
      </c>
      <c r="B1531" s="43" t="s">
        <v>306</v>
      </c>
      <c r="C1531" s="8" t="s">
        <v>213</v>
      </c>
      <c r="D1531" s="8" t="s">
        <v>215</v>
      </c>
      <c r="E1531" s="104">
        <v>852</v>
      </c>
      <c r="F1531" s="7">
        <f>прил.6!G407</f>
        <v>2.4</v>
      </c>
      <c r="G1531" s="7">
        <f>прил.6!H407</f>
        <v>0</v>
      </c>
      <c r="H1531" s="35">
        <f t="shared" si="331"/>
        <v>2.4</v>
      </c>
      <c r="I1531" s="7">
        <f>прил.6!J407</f>
        <v>-2.4</v>
      </c>
      <c r="J1531" s="35">
        <f t="shared" si="327"/>
        <v>0</v>
      </c>
      <c r="K1531" s="7">
        <f>прил.6!L407</f>
        <v>0</v>
      </c>
      <c r="L1531" s="35">
        <f t="shared" si="337"/>
        <v>0</v>
      </c>
      <c r="M1531" s="7">
        <f>прил.6!N407</f>
        <v>0</v>
      </c>
      <c r="N1531" s="35">
        <f t="shared" si="330"/>
        <v>0</v>
      </c>
      <c r="O1531" s="7">
        <f>прил.6!P407</f>
        <v>0</v>
      </c>
      <c r="P1531" s="35">
        <f t="shared" si="328"/>
        <v>0</v>
      </c>
      <c r="Q1531" s="7">
        <f>прил.6!R407</f>
        <v>0</v>
      </c>
      <c r="R1531" s="35">
        <f t="shared" si="325"/>
        <v>0</v>
      </c>
      <c r="S1531" s="7">
        <f>прил.6!T407</f>
        <v>0</v>
      </c>
      <c r="T1531" s="35">
        <f t="shared" si="339"/>
        <v>0</v>
      </c>
    </row>
    <row r="1532" spans="1:20" ht="49.5">
      <c r="A1532" s="98" t="s">
        <v>235</v>
      </c>
      <c r="B1532" s="92" t="s">
        <v>306</v>
      </c>
      <c r="C1532" s="93" t="s">
        <v>213</v>
      </c>
      <c r="D1532" s="93" t="s">
        <v>216</v>
      </c>
      <c r="E1532" s="90"/>
      <c r="F1532" s="95">
        <f>F1533+F1535+F1538</f>
        <v>124245.5</v>
      </c>
      <c r="G1532" s="95">
        <f>G1533+G1535+G1538</f>
        <v>0</v>
      </c>
      <c r="H1532" s="96">
        <f t="shared" si="331"/>
        <v>124245.5</v>
      </c>
      <c r="I1532" s="95">
        <f>I1533+I1535+I1538</f>
        <v>0</v>
      </c>
      <c r="J1532" s="96">
        <f t="shared" si="327"/>
        <v>124245.5</v>
      </c>
      <c r="K1532" s="95">
        <f>K1533+K1535+K1538</f>
        <v>0</v>
      </c>
      <c r="L1532" s="96">
        <f t="shared" si="337"/>
        <v>124245.5</v>
      </c>
      <c r="M1532" s="95">
        <f>M1533+M1535+M1538</f>
        <v>222.5</v>
      </c>
      <c r="N1532" s="96">
        <f t="shared" si="330"/>
        <v>124468</v>
      </c>
      <c r="O1532" s="95">
        <f>O1533+O1535+O1538</f>
        <v>0</v>
      </c>
      <c r="P1532" s="35">
        <f t="shared" si="328"/>
        <v>124468</v>
      </c>
      <c r="Q1532" s="95">
        <f>Q1533+Q1535+Q1538</f>
        <v>865.8</v>
      </c>
      <c r="R1532" s="35">
        <f t="shared" si="325"/>
        <v>125333.8</v>
      </c>
      <c r="S1532" s="95">
        <f>S1533+S1535+S1538</f>
        <v>0</v>
      </c>
      <c r="T1532" s="35">
        <f t="shared" si="339"/>
        <v>125333.8</v>
      </c>
    </row>
    <row r="1533" spans="1:20" ht="33">
      <c r="A1533" s="91" t="str">
        <f t="shared" ref="A1533:A1540" ca="1" si="342">IF(ISERROR(MATCH(E1533,Код_КВР,0)),"",INDIRECT(ADDRESS(MATCH(E1533,Код_КВР,0)+1,2,,,"КВР")))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33" s="92" t="s">
        <v>306</v>
      </c>
      <c r="C1533" s="93" t="s">
        <v>213</v>
      </c>
      <c r="D1533" s="93" t="s">
        <v>216</v>
      </c>
      <c r="E1533" s="90">
        <v>100</v>
      </c>
      <c r="F1533" s="95">
        <f>F1534</f>
        <v>120035.7</v>
      </c>
      <c r="G1533" s="95">
        <f>G1534</f>
        <v>0</v>
      </c>
      <c r="H1533" s="96">
        <f t="shared" si="331"/>
        <v>120035.7</v>
      </c>
      <c r="I1533" s="95">
        <f>I1534</f>
        <v>0</v>
      </c>
      <c r="J1533" s="96">
        <f t="shared" si="327"/>
        <v>120035.7</v>
      </c>
      <c r="K1533" s="95">
        <f>K1534</f>
        <v>0</v>
      </c>
      <c r="L1533" s="96">
        <f t="shared" si="337"/>
        <v>120035.7</v>
      </c>
      <c r="M1533" s="95">
        <f>M1534</f>
        <v>-0.5</v>
      </c>
      <c r="N1533" s="96">
        <f t="shared" si="330"/>
        <v>120035.2</v>
      </c>
      <c r="O1533" s="95">
        <f>O1534</f>
        <v>0</v>
      </c>
      <c r="P1533" s="35">
        <f t="shared" si="328"/>
        <v>120035.2</v>
      </c>
      <c r="Q1533" s="95">
        <f>Q1534</f>
        <v>880</v>
      </c>
      <c r="R1533" s="35">
        <f t="shared" si="325"/>
        <v>120915.2</v>
      </c>
      <c r="S1533" s="95">
        <f>S1534</f>
        <v>0</v>
      </c>
      <c r="T1533" s="35">
        <f t="shared" si="339"/>
        <v>120915.2</v>
      </c>
    </row>
    <row r="1534" spans="1:20">
      <c r="A1534" s="91" t="str">
        <f t="shared" ca="1" si="342"/>
        <v>Расходы на выплаты персоналу муниципальных органов</v>
      </c>
      <c r="B1534" s="92" t="s">
        <v>306</v>
      </c>
      <c r="C1534" s="93" t="s">
        <v>213</v>
      </c>
      <c r="D1534" s="93" t="s">
        <v>216</v>
      </c>
      <c r="E1534" s="90">
        <v>120</v>
      </c>
      <c r="F1534" s="95">
        <f>прил.6!G36</f>
        <v>120035.7</v>
      </c>
      <c r="G1534" s="95">
        <f>прил.6!H36</f>
        <v>0</v>
      </c>
      <c r="H1534" s="96">
        <f t="shared" si="331"/>
        <v>120035.7</v>
      </c>
      <c r="I1534" s="95">
        <f>прил.6!J36</f>
        <v>0</v>
      </c>
      <c r="J1534" s="96">
        <f t="shared" si="327"/>
        <v>120035.7</v>
      </c>
      <c r="K1534" s="95">
        <f>прил.6!L36</f>
        <v>0</v>
      </c>
      <c r="L1534" s="96">
        <f t="shared" si="337"/>
        <v>120035.7</v>
      </c>
      <c r="M1534" s="95">
        <f>прил.6!N36</f>
        <v>-0.5</v>
      </c>
      <c r="N1534" s="96">
        <f t="shared" si="330"/>
        <v>120035.2</v>
      </c>
      <c r="O1534" s="95">
        <f>прил.6!P36</f>
        <v>0</v>
      </c>
      <c r="P1534" s="35">
        <f t="shared" si="328"/>
        <v>120035.2</v>
      </c>
      <c r="Q1534" s="95">
        <f>прил.6!R36</f>
        <v>880</v>
      </c>
      <c r="R1534" s="35">
        <f t="shared" ref="R1534:R1597" si="343">P1534+Q1534</f>
        <v>120915.2</v>
      </c>
      <c r="S1534" s="95">
        <f>прил.6!T36</f>
        <v>0</v>
      </c>
      <c r="T1534" s="35">
        <f t="shared" si="339"/>
        <v>120915.2</v>
      </c>
    </row>
    <row r="1535" spans="1:20">
      <c r="A1535" s="61" t="str">
        <f t="shared" ca="1" si="342"/>
        <v>Закупка товаров, работ и услуг для муниципальных нужд</v>
      </c>
      <c r="B1535" s="43" t="s">
        <v>306</v>
      </c>
      <c r="C1535" s="8" t="s">
        <v>213</v>
      </c>
      <c r="D1535" s="8" t="s">
        <v>216</v>
      </c>
      <c r="E1535" s="104">
        <v>200</v>
      </c>
      <c r="F1535" s="7">
        <f>F1536</f>
        <v>4207.8</v>
      </c>
      <c r="G1535" s="7">
        <f>G1536</f>
        <v>0</v>
      </c>
      <c r="H1535" s="35">
        <f t="shared" si="331"/>
        <v>4207.8</v>
      </c>
      <c r="I1535" s="7">
        <f>I1536</f>
        <v>0</v>
      </c>
      <c r="J1535" s="35">
        <f t="shared" si="327"/>
        <v>4207.8</v>
      </c>
      <c r="K1535" s="7">
        <f>K1536</f>
        <v>0</v>
      </c>
      <c r="L1535" s="35">
        <f t="shared" si="337"/>
        <v>4207.8</v>
      </c>
      <c r="M1535" s="7">
        <f>M1536</f>
        <v>223</v>
      </c>
      <c r="N1535" s="35">
        <f t="shared" si="330"/>
        <v>4430.8</v>
      </c>
      <c r="O1535" s="7">
        <f>O1536</f>
        <v>0</v>
      </c>
      <c r="P1535" s="35">
        <f t="shared" si="328"/>
        <v>4430.8</v>
      </c>
      <c r="Q1535" s="7">
        <f>Q1536</f>
        <v>-14.2</v>
      </c>
      <c r="R1535" s="35">
        <f t="shared" si="343"/>
        <v>4416.6000000000004</v>
      </c>
      <c r="S1535" s="7">
        <f>S1536</f>
        <v>0</v>
      </c>
      <c r="T1535" s="35">
        <f t="shared" si="339"/>
        <v>4416.6000000000004</v>
      </c>
    </row>
    <row r="1536" spans="1:20" ht="33">
      <c r="A1536" s="61" t="str">
        <f t="shared" ca="1" si="342"/>
        <v>Иные закупки товаров, работ и услуг для обеспечения муниципальных нужд</v>
      </c>
      <c r="B1536" s="43" t="s">
        <v>306</v>
      </c>
      <c r="C1536" s="8" t="s">
        <v>213</v>
      </c>
      <c r="D1536" s="8" t="s">
        <v>216</v>
      </c>
      <c r="E1536" s="104">
        <v>240</v>
      </c>
      <c r="F1536" s="7">
        <f>F1537</f>
        <v>4207.8</v>
      </c>
      <c r="G1536" s="7">
        <f>G1537</f>
        <v>0</v>
      </c>
      <c r="H1536" s="35">
        <f t="shared" si="331"/>
        <v>4207.8</v>
      </c>
      <c r="I1536" s="7">
        <f>I1537</f>
        <v>0</v>
      </c>
      <c r="J1536" s="35">
        <f t="shared" si="327"/>
        <v>4207.8</v>
      </c>
      <c r="K1536" s="7">
        <f>K1537</f>
        <v>0</v>
      </c>
      <c r="L1536" s="35">
        <f t="shared" si="337"/>
        <v>4207.8</v>
      </c>
      <c r="M1536" s="7">
        <f>M1537</f>
        <v>223</v>
      </c>
      <c r="N1536" s="35">
        <f t="shared" si="330"/>
        <v>4430.8</v>
      </c>
      <c r="O1536" s="7">
        <f>O1537</f>
        <v>0</v>
      </c>
      <c r="P1536" s="35">
        <f t="shared" si="328"/>
        <v>4430.8</v>
      </c>
      <c r="Q1536" s="7">
        <f>Q1537</f>
        <v>-14.2</v>
      </c>
      <c r="R1536" s="35">
        <f t="shared" si="343"/>
        <v>4416.6000000000004</v>
      </c>
      <c r="S1536" s="7">
        <f>S1537</f>
        <v>0</v>
      </c>
      <c r="T1536" s="35">
        <f t="shared" si="339"/>
        <v>4416.6000000000004</v>
      </c>
    </row>
    <row r="1537" spans="1:20" ht="33">
      <c r="A1537" s="61" t="str">
        <f t="shared" ca="1" si="342"/>
        <v xml:space="preserve">Прочая закупка товаров, работ и услуг для обеспечения муниципальных нужд         </v>
      </c>
      <c r="B1537" s="43" t="s">
        <v>306</v>
      </c>
      <c r="C1537" s="8" t="s">
        <v>213</v>
      </c>
      <c r="D1537" s="8" t="s">
        <v>216</v>
      </c>
      <c r="E1537" s="104">
        <v>244</v>
      </c>
      <c r="F1537" s="7">
        <f>прил.6!G39</f>
        <v>4207.8</v>
      </c>
      <c r="G1537" s="7">
        <f>прил.6!H39</f>
        <v>0</v>
      </c>
      <c r="H1537" s="35">
        <f t="shared" si="331"/>
        <v>4207.8</v>
      </c>
      <c r="I1537" s="7">
        <f>прил.6!J39</f>
        <v>0</v>
      </c>
      <c r="J1537" s="35">
        <f t="shared" si="327"/>
        <v>4207.8</v>
      </c>
      <c r="K1537" s="7">
        <f>прил.6!L39</f>
        <v>0</v>
      </c>
      <c r="L1537" s="35">
        <f t="shared" si="337"/>
        <v>4207.8</v>
      </c>
      <c r="M1537" s="7">
        <f>прил.6!N39</f>
        <v>223</v>
      </c>
      <c r="N1537" s="35">
        <f t="shared" si="330"/>
        <v>4430.8</v>
      </c>
      <c r="O1537" s="7">
        <f>прил.6!P39</f>
        <v>0</v>
      </c>
      <c r="P1537" s="35">
        <f t="shared" si="328"/>
        <v>4430.8</v>
      </c>
      <c r="Q1537" s="7">
        <f>прил.6!R39</f>
        <v>-14.2</v>
      </c>
      <c r="R1537" s="35">
        <f t="shared" si="343"/>
        <v>4416.6000000000004</v>
      </c>
      <c r="S1537" s="7">
        <f>прил.6!T39</f>
        <v>0</v>
      </c>
      <c r="T1537" s="35">
        <f t="shared" si="339"/>
        <v>4416.6000000000004</v>
      </c>
    </row>
    <row r="1538" spans="1:20">
      <c r="A1538" s="91" t="str">
        <f t="shared" ca="1" si="342"/>
        <v>Иные бюджетные ассигнования</v>
      </c>
      <c r="B1538" s="92" t="s">
        <v>306</v>
      </c>
      <c r="C1538" s="93" t="s">
        <v>213</v>
      </c>
      <c r="D1538" s="93" t="s">
        <v>216</v>
      </c>
      <c r="E1538" s="90">
        <v>800</v>
      </c>
      <c r="F1538" s="95">
        <f>F1539</f>
        <v>2</v>
      </c>
      <c r="G1538" s="95">
        <f>G1539</f>
        <v>0</v>
      </c>
      <c r="H1538" s="96">
        <f t="shared" si="331"/>
        <v>2</v>
      </c>
      <c r="I1538" s="95">
        <f>I1539</f>
        <v>0</v>
      </c>
      <c r="J1538" s="96">
        <f t="shared" si="327"/>
        <v>2</v>
      </c>
      <c r="K1538" s="95">
        <f>K1539</f>
        <v>0</v>
      </c>
      <c r="L1538" s="96">
        <f t="shared" si="337"/>
        <v>2</v>
      </c>
      <c r="M1538" s="95">
        <f>M1539</f>
        <v>0</v>
      </c>
      <c r="N1538" s="96">
        <f t="shared" si="330"/>
        <v>2</v>
      </c>
      <c r="O1538" s="95">
        <f>O1539</f>
        <v>0</v>
      </c>
      <c r="P1538" s="35">
        <f t="shared" si="328"/>
        <v>2</v>
      </c>
      <c r="Q1538" s="95">
        <f>Q1539</f>
        <v>0</v>
      </c>
      <c r="R1538" s="35">
        <f t="shared" si="343"/>
        <v>2</v>
      </c>
      <c r="S1538" s="95">
        <f>S1539</f>
        <v>0</v>
      </c>
      <c r="T1538" s="35">
        <f t="shared" si="339"/>
        <v>2</v>
      </c>
    </row>
    <row r="1539" spans="1:20">
      <c r="A1539" s="91" t="str">
        <f t="shared" ca="1" si="342"/>
        <v>Уплата налогов, сборов и иных платежей</v>
      </c>
      <c r="B1539" s="92" t="s">
        <v>306</v>
      </c>
      <c r="C1539" s="93" t="s">
        <v>213</v>
      </c>
      <c r="D1539" s="93" t="s">
        <v>216</v>
      </c>
      <c r="E1539" s="90">
        <v>850</v>
      </c>
      <c r="F1539" s="95">
        <f>F1540</f>
        <v>2</v>
      </c>
      <c r="G1539" s="95">
        <f>G1540</f>
        <v>0</v>
      </c>
      <c r="H1539" s="96">
        <f t="shared" si="331"/>
        <v>2</v>
      </c>
      <c r="I1539" s="95">
        <f>I1540</f>
        <v>0</v>
      </c>
      <c r="J1539" s="96">
        <f t="shared" si="327"/>
        <v>2</v>
      </c>
      <c r="K1539" s="95">
        <f>K1540</f>
        <v>0</v>
      </c>
      <c r="L1539" s="96">
        <f t="shared" si="337"/>
        <v>2</v>
      </c>
      <c r="M1539" s="95">
        <f>M1540</f>
        <v>0</v>
      </c>
      <c r="N1539" s="96">
        <f t="shared" si="330"/>
        <v>2</v>
      </c>
      <c r="O1539" s="95">
        <f>O1540</f>
        <v>0</v>
      </c>
      <c r="P1539" s="35">
        <f t="shared" si="328"/>
        <v>2</v>
      </c>
      <c r="Q1539" s="95">
        <f>Q1540</f>
        <v>0</v>
      </c>
      <c r="R1539" s="35">
        <f t="shared" si="343"/>
        <v>2</v>
      </c>
      <c r="S1539" s="95">
        <f>S1540</f>
        <v>0</v>
      </c>
      <c r="T1539" s="35">
        <f t="shared" si="339"/>
        <v>2</v>
      </c>
    </row>
    <row r="1540" spans="1:20">
      <c r="A1540" s="61" t="str">
        <f t="shared" ca="1" si="342"/>
        <v>Уплата прочих налогов, сборов и иных платежей</v>
      </c>
      <c r="B1540" s="43" t="s">
        <v>306</v>
      </c>
      <c r="C1540" s="8" t="s">
        <v>213</v>
      </c>
      <c r="D1540" s="8" t="s">
        <v>216</v>
      </c>
      <c r="E1540" s="104">
        <v>852</v>
      </c>
      <c r="F1540" s="7">
        <f>прил.6!G42</f>
        <v>2</v>
      </c>
      <c r="G1540" s="7">
        <f>прил.6!H42</f>
        <v>0</v>
      </c>
      <c r="H1540" s="35">
        <f t="shared" si="331"/>
        <v>2</v>
      </c>
      <c r="I1540" s="7">
        <f>прил.6!J42</f>
        <v>0</v>
      </c>
      <c r="J1540" s="35">
        <f t="shared" si="327"/>
        <v>2</v>
      </c>
      <c r="K1540" s="7">
        <f>прил.6!L42</f>
        <v>0</v>
      </c>
      <c r="L1540" s="35">
        <f t="shared" si="337"/>
        <v>2</v>
      </c>
      <c r="M1540" s="7">
        <f>прил.6!N42</f>
        <v>0</v>
      </c>
      <c r="N1540" s="35">
        <f t="shared" si="330"/>
        <v>2</v>
      </c>
      <c r="O1540" s="7">
        <f>прил.6!P42</f>
        <v>0</v>
      </c>
      <c r="P1540" s="35">
        <f t="shared" si="328"/>
        <v>2</v>
      </c>
      <c r="Q1540" s="7">
        <f>прил.6!R42</f>
        <v>0</v>
      </c>
      <c r="R1540" s="35">
        <f t="shared" si="343"/>
        <v>2</v>
      </c>
      <c r="S1540" s="7">
        <f>прил.6!T42</f>
        <v>0</v>
      </c>
      <c r="T1540" s="35">
        <f t="shared" si="339"/>
        <v>2</v>
      </c>
    </row>
    <row r="1541" spans="1:20" ht="37.5" customHeight="1">
      <c r="A1541" s="12" t="s">
        <v>165</v>
      </c>
      <c r="B1541" s="43" t="s">
        <v>306</v>
      </c>
      <c r="C1541" s="8" t="s">
        <v>213</v>
      </c>
      <c r="D1541" s="8" t="s">
        <v>217</v>
      </c>
      <c r="E1541" s="104"/>
      <c r="F1541" s="7">
        <f>F1542+F1544+F1547</f>
        <v>34037.299999999996</v>
      </c>
      <c r="G1541" s="7">
        <f>G1542+G1544+G1547</f>
        <v>0</v>
      </c>
      <c r="H1541" s="35">
        <f t="shared" si="331"/>
        <v>34037.299999999996</v>
      </c>
      <c r="I1541" s="7">
        <f>I1542+I1544+I1547</f>
        <v>8199.9</v>
      </c>
      <c r="J1541" s="35">
        <f t="shared" si="327"/>
        <v>42237.2</v>
      </c>
      <c r="K1541" s="7">
        <f>K1542+K1544+K1547</f>
        <v>0</v>
      </c>
      <c r="L1541" s="35">
        <f t="shared" si="337"/>
        <v>42237.2</v>
      </c>
      <c r="M1541" s="7">
        <f>M1542+M1544+M1547</f>
        <v>0</v>
      </c>
      <c r="N1541" s="35">
        <f t="shared" si="330"/>
        <v>42237.2</v>
      </c>
      <c r="O1541" s="7">
        <f>O1542+O1544+O1547</f>
        <v>0</v>
      </c>
      <c r="P1541" s="35">
        <f t="shared" si="328"/>
        <v>42237.2</v>
      </c>
      <c r="Q1541" s="7">
        <f>Q1542+Q1544+Q1547</f>
        <v>55.7</v>
      </c>
      <c r="R1541" s="35">
        <f t="shared" si="343"/>
        <v>42292.899999999994</v>
      </c>
      <c r="S1541" s="7">
        <f>S1542+S1544+S1547</f>
        <v>0</v>
      </c>
      <c r="T1541" s="35">
        <f t="shared" si="339"/>
        <v>42292.899999999994</v>
      </c>
    </row>
    <row r="1542" spans="1:20" ht="33">
      <c r="A1542" s="61" t="str">
        <f t="shared" ref="A1542:A1549" ca="1" si="344">IF(ISERROR(MATCH(E1542,Код_КВР,0)),"",INDIRECT(ADDRESS(MATCH(E1542,Код_КВР,0)+1,2,,,"КВР")))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42" s="43" t="s">
        <v>306</v>
      </c>
      <c r="C1542" s="8" t="s">
        <v>213</v>
      </c>
      <c r="D1542" s="8" t="s">
        <v>217</v>
      </c>
      <c r="E1542" s="104">
        <v>100</v>
      </c>
      <c r="F1542" s="7">
        <f>F1543</f>
        <v>33963.1</v>
      </c>
      <c r="G1542" s="7">
        <f>G1543</f>
        <v>0</v>
      </c>
      <c r="H1542" s="35">
        <f t="shared" si="331"/>
        <v>33963.1</v>
      </c>
      <c r="I1542" s="7">
        <f>I1543</f>
        <v>8130.3</v>
      </c>
      <c r="J1542" s="35">
        <f t="shared" si="327"/>
        <v>42093.4</v>
      </c>
      <c r="K1542" s="7">
        <f>K1543</f>
        <v>0</v>
      </c>
      <c r="L1542" s="35">
        <f t="shared" si="337"/>
        <v>42093.4</v>
      </c>
      <c r="M1542" s="7">
        <f>M1543</f>
        <v>0</v>
      </c>
      <c r="N1542" s="35">
        <f t="shared" si="330"/>
        <v>42093.4</v>
      </c>
      <c r="O1542" s="7">
        <f>O1543</f>
        <v>0</v>
      </c>
      <c r="P1542" s="35">
        <f t="shared" ref="P1542:P1606" si="345">N1542+O1542</f>
        <v>42093.4</v>
      </c>
      <c r="Q1542" s="7">
        <f>Q1543</f>
        <v>55.7</v>
      </c>
      <c r="R1542" s="35">
        <f t="shared" si="343"/>
        <v>42149.1</v>
      </c>
      <c r="S1542" s="7">
        <f>S1543</f>
        <v>0</v>
      </c>
      <c r="T1542" s="35">
        <f t="shared" si="339"/>
        <v>42149.1</v>
      </c>
    </row>
    <row r="1543" spans="1:20">
      <c r="A1543" s="61" t="str">
        <f t="shared" ca="1" si="344"/>
        <v>Расходы на выплаты персоналу муниципальных органов</v>
      </c>
      <c r="B1543" s="43" t="s">
        <v>306</v>
      </c>
      <c r="C1543" s="8" t="s">
        <v>213</v>
      </c>
      <c r="D1543" s="8" t="s">
        <v>217</v>
      </c>
      <c r="E1543" s="104">
        <v>120</v>
      </c>
      <c r="F1543" s="7">
        <f>прил.6!G867</f>
        <v>33963.1</v>
      </c>
      <c r="G1543" s="7">
        <f>прил.6!H867</f>
        <v>0</v>
      </c>
      <c r="H1543" s="35">
        <f t="shared" si="331"/>
        <v>33963.1</v>
      </c>
      <c r="I1543" s="7">
        <f>прил.6!J867+прил.6!J1706</f>
        <v>8130.3</v>
      </c>
      <c r="J1543" s="35">
        <f t="shared" ref="J1543:J1607" si="346">H1543+I1543</f>
        <v>42093.4</v>
      </c>
      <c r="K1543" s="7">
        <f>прил.6!L867+прил.6!L1706</f>
        <v>0</v>
      </c>
      <c r="L1543" s="35">
        <f t="shared" si="337"/>
        <v>42093.4</v>
      </c>
      <c r="M1543" s="7">
        <f>прил.6!N867+прил.6!N1706</f>
        <v>0</v>
      </c>
      <c r="N1543" s="35">
        <f t="shared" si="330"/>
        <v>42093.4</v>
      </c>
      <c r="O1543" s="7">
        <f>прил.6!P867+прил.6!P1706</f>
        <v>0</v>
      </c>
      <c r="P1543" s="35">
        <f t="shared" si="345"/>
        <v>42093.4</v>
      </c>
      <c r="Q1543" s="7">
        <f>прил.6!R867+прил.6!R1706</f>
        <v>55.7</v>
      </c>
      <c r="R1543" s="35">
        <f t="shared" si="343"/>
        <v>42149.1</v>
      </c>
      <c r="S1543" s="7">
        <f>прил.6!T867+прил.6!T1706</f>
        <v>0</v>
      </c>
      <c r="T1543" s="35">
        <f t="shared" si="339"/>
        <v>42149.1</v>
      </c>
    </row>
    <row r="1544" spans="1:20">
      <c r="A1544" s="61" t="str">
        <f t="shared" ca="1" si="344"/>
        <v>Закупка товаров, работ и услуг для муниципальных нужд</v>
      </c>
      <c r="B1544" s="43" t="s">
        <v>306</v>
      </c>
      <c r="C1544" s="8" t="s">
        <v>213</v>
      </c>
      <c r="D1544" s="8" t="s">
        <v>217</v>
      </c>
      <c r="E1544" s="104">
        <v>200</v>
      </c>
      <c r="F1544" s="7">
        <f>F1545</f>
        <v>72.7</v>
      </c>
      <c r="G1544" s="7">
        <f>G1545</f>
        <v>0</v>
      </c>
      <c r="H1544" s="35">
        <f t="shared" si="331"/>
        <v>72.7</v>
      </c>
      <c r="I1544" s="7">
        <f>I1545</f>
        <v>66.599999999999994</v>
      </c>
      <c r="J1544" s="35">
        <f t="shared" si="346"/>
        <v>139.30000000000001</v>
      </c>
      <c r="K1544" s="7">
        <f>K1545</f>
        <v>0</v>
      </c>
      <c r="L1544" s="35">
        <f t="shared" si="337"/>
        <v>139.30000000000001</v>
      </c>
      <c r="M1544" s="7">
        <f>M1545</f>
        <v>0</v>
      </c>
      <c r="N1544" s="35">
        <f t="shared" si="330"/>
        <v>139.30000000000001</v>
      </c>
      <c r="O1544" s="7">
        <f>O1545</f>
        <v>0</v>
      </c>
      <c r="P1544" s="35">
        <f t="shared" si="345"/>
        <v>139.30000000000001</v>
      </c>
      <c r="Q1544" s="7">
        <f>Q1545</f>
        <v>0</v>
      </c>
      <c r="R1544" s="35">
        <f t="shared" si="343"/>
        <v>139.30000000000001</v>
      </c>
      <c r="S1544" s="7">
        <f>S1545</f>
        <v>0</v>
      </c>
      <c r="T1544" s="35">
        <f t="shared" si="339"/>
        <v>139.30000000000001</v>
      </c>
    </row>
    <row r="1545" spans="1:20" ht="33">
      <c r="A1545" s="61" t="str">
        <f t="shared" ca="1" si="344"/>
        <v>Иные закупки товаров, работ и услуг для обеспечения муниципальных нужд</v>
      </c>
      <c r="B1545" s="43" t="s">
        <v>306</v>
      </c>
      <c r="C1545" s="8" t="s">
        <v>213</v>
      </c>
      <c r="D1545" s="8" t="s">
        <v>217</v>
      </c>
      <c r="E1545" s="104">
        <v>240</v>
      </c>
      <c r="F1545" s="7">
        <f>F1546</f>
        <v>72.7</v>
      </c>
      <c r="G1545" s="7">
        <f>G1546</f>
        <v>0</v>
      </c>
      <c r="H1545" s="35">
        <f t="shared" si="331"/>
        <v>72.7</v>
      </c>
      <c r="I1545" s="7">
        <f>I1546</f>
        <v>66.599999999999994</v>
      </c>
      <c r="J1545" s="35">
        <f t="shared" si="346"/>
        <v>139.30000000000001</v>
      </c>
      <c r="K1545" s="7">
        <f>K1546</f>
        <v>0</v>
      </c>
      <c r="L1545" s="35">
        <f t="shared" si="337"/>
        <v>139.30000000000001</v>
      </c>
      <c r="M1545" s="7">
        <f>M1546</f>
        <v>0</v>
      </c>
      <c r="N1545" s="35">
        <f t="shared" ref="N1545:N1609" si="347">L1545+M1545</f>
        <v>139.30000000000001</v>
      </c>
      <c r="O1545" s="7">
        <f>O1546</f>
        <v>0</v>
      </c>
      <c r="P1545" s="35">
        <f t="shared" si="345"/>
        <v>139.30000000000001</v>
      </c>
      <c r="Q1545" s="7">
        <f>Q1546</f>
        <v>0</v>
      </c>
      <c r="R1545" s="35">
        <f t="shared" si="343"/>
        <v>139.30000000000001</v>
      </c>
      <c r="S1545" s="7">
        <f>S1546</f>
        <v>0</v>
      </c>
      <c r="T1545" s="35">
        <f t="shared" si="339"/>
        <v>139.30000000000001</v>
      </c>
    </row>
    <row r="1546" spans="1:20" ht="33">
      <c r="A1546" s="61" t="str">
        <f t="shared" ca="1" si="344"/>
        <v xml:space="preserve">Прочая закупка товаров, работ и услуг для обеспечения муниципальных нужд         </v>
      </c>
      <c r="B1546" s="43" t="s">
        <v>306</v>
      </c>
      <c r="C1546" s="8" t="s">
        <v>213</v>
      </c>
      <c r="D1546" s="8" t="s">
        <v>217</v>
      </c>
      <c r="E1546" s="104">
        <v>244</v>
      </c>
      <c r="F1546" s="7">
        <f>прил.6!G870</f>
        <v>72.7</v>
      </c>
      <c r="G1546" s="7">
        <f>прил.6!H870</f>
        <v>0</v>
      </c>
      <c r="H1546" s="35">
        <f t="shared" si="331"/>
        <v>72.7</v>
      </c>
      <c r="I1546" s="7">
        <f>прил.6!J1709</f>
        <v>66.599999999999994</v>
      </c>
      <c r="J1546" s="35">
        <f t="shared" si="346"/>
        <v>139.30000000000001</v>
      </c>
      <c r="K1546" s="7">
        <f>прил.6!L1709</f>
        <v>0</v>
      </c>
      <c r="L1546" s="35">
        <f t="shared" si="337"/>
        <v>139.30000000000001</v>
      </c>
      <c r="M1546" s="7">
        <f>прил.6!N1709</f>
        <v>0</v>
      </c>
      <c r="N1546" s="35">
        <f t="shared" si="347"/>
        <v>139.30000000000001</v>
      </c>
      <c r="O1546" s="7">
        <f>прил.6!P1709</f>
        <v>0</v>
      </c>
      <c r="P1546" s="35">
        <f t="shared" si="345"/>
        <v>139.30000000000001</v>
      </c>
      <c r="Q1546" s="7">
        <f>прил.6!R1709</f>
        <v>0</v>
      </c>
      <c r="R1546" s="35">
        <f t="shared" si="343"/>
        <v>139.30000000000001</v>
      </c>
      <c r="S1546" s="7">
        <f>прил.6!T1709</f>
        <v>0</v>
      </c>
      <c r="T1546" s="35">
        <f t="shared" si="339"/>
        <v>139.30000000000001</v>
      </c>
    </row>
    <row r="1547" spans="1:20">
      <c r="A1547" s="61" t="str">
        <f t="shared" ca="1" si="344"/>
        <v>Иные бюджетные ассигнования</v>
      </c>
      <c r="B1547" s="43" t="s">
        <v>306</v>
      </c>
      <c r="C1547" s="8" t="s">
        <v>213</v>
      </c>
      <c r="D1547" s="8" t="s">
        <v>217</v>
      </c>
      <c r="E1547" s="104">
        <v>800</v>
      </c>
      <c r="F1547" s="7">
        <f>F1548</f>
        <v>1.5</v>
      </c>
      <c r="G1547" s="7">
        <f>G1548</f>
        <v>0</v>
      </c>
      <c r="H1547" s="35">
        <f t="shared" si="331"/>
        <v>1.5</v>
      </c>
      <c r="I1547" s="7">
        <f>I1548</f>
        <v>3</v>
      </c>
      <c r="J1547" s="35">
        <f t="shared" si="346"/>
        <v>4.5</v>
      </c>
      <c r="K1547" s="7">
        <f>K1548</f>
        <v>0</v>
      </c>
      <c r="L1547" s="35">
        <f t="shared" si="337"/>
        <v>4.5</v>
      </c>
      <c r="M1547" s="7">
        <f>M1548</f>
        <v>0</v>
      </c>
      <c r="N1547" s="35">
        <f t="shared" si="347"/>
        <v>4.5</v>
      </c>
      <c r="O1547" s="7">
        <f>O1548</f>
        <v>0</v>
      </c>
      <c r="P1547" s="35">
        <f t="shared" si="345"/>
        <v>4.5</v>
      </c>
      <c r="Q1547" s="7">
        <f>Q1548</f>
        <v>0</v>
      </c>
      <c r="R1547" s="35">
        <f t="shared" si="343"/>
        <v>4.5</v>
      </c>
      <c r="S1547" s="7">
        <f>S1548</f>
        <v>0</v>
      </c>
      <c r="T1547" s="35">
        <f t="shared" si="339"/>
        <v>4.5</v>
      </c>
    </row>
    <row r="1548" spans="1:20">
      <c r="A1548" s="61" t="str">
        <f t="shared" ca="1" si="344"/>
        <v>Уплата налогов, сборов и иных платежей</v>
      </c>
      <c r="B1548" s="43" t="s">
        <v>306</v>
      </c>
      <c r="C1548" s="8" t="s">
        <v>213</v>
      </c>
      <c r="D1548" s="8" t="s">
        <v>217</v>
      </c>
      <c r="E1548" s="104">
        <v>850</v>
      </c>
      <c r="F1548" s="7">
        <f>F1549</f>
        <v>1.5</v>
      </c>
      <c r="G1548" s="7">
        <f>G1549</f>
        <v>0</v>
      </c>
      <c r="H1548" s="35">
        <f t="shared" si="331"/>
        <v>1.5</v>
      </c>
      <c r="I1548" s="7">
        <f>I1549</f>
        <v>3</v>
      </c>
      <c r="J1548" s="35">
        <f t="shared" si="346"/>
        <v>4.5</v>
      </c>
      <c r="K1548" s="7">
        <f>K1549</f>
        <v>0</v>
      </c>
      <c r="L1548" s="35">
        <f t="shared" si="337"/>
        <v>4.5</v>
      </c>
      <c r="M1548" s="7">
        <f>M1549</f>
        <v>0</v>
      </c>
      <c r="N1548" s="35">
        <f t="shared" si="347"/>
        <v>4.5</v>
      </c>
      <c r="O1548" s="7">
        <f>O1549</f>
        <v>0</v>
      </c>
      <c r="P1548" s="35">
        <f t="shared" si="345"/>
        <v>4.5</v>
      </c>
      <c r="Q1548" s="7">
        <f>Q1549</f>
        <v>0</v>
      </c>
      <c r="R1548" s="35">
        <f t="shared" si="343"/>
        <v>4.5</v>
      </c>
      <c r="S1548" s="7">
        <f>S1549</f>
        <v>0</v>
      </c>
      <c r="T1548" s="35">
        <f t="shared" si="339"/>
        <v>4.5</v>
      </c>
    </row>
    <row r="1549" spans="1:20">
      <c r="A1549" s="61" t="str">
        <f t="shared" ca="1" si="344"/>
        <v>Уплата прочих налогов, сборов и иных платежей</v>
      </c>
      <c r="B1549" s="43" t="s">
        <v>306</v>
      </c>
      <c r="C1549" s="8" t="s">
        <v>213</v>
      </c>
      <c r="D1549" s="8" t="s">
        <v>217</v>
      </c>
      <c r="E1549" s="104">
        <v>852</v>
      </c>
      <c r="F1549" s="7">
        <f>прил.6!G873</f>
        <v>1.5</v>
      </c>
      <c r="G1549" s="7">
        <f>прил.6!H873</f>
        <v>0</v>
      </c>
      <c r="H1549" s="35">
        <f t="shared" si="331"/>
        <v>1.5</v>
      </c>
      <c r="I1549" s="7">
        <f>прил.6!J1712</f>
        <v>3</v>
      </c>
      <c r="J1549" s="35">
        <f t="shared" si="346"/>
        <v>4.5</v>
      </c>
      <c r="K1549" s="7">
        <f>прил.6!L1712</f>
        <v>0</v>
      </c>
      <c r="L1549" s="35">
        <f t="shared" si="337"/>
        <v>4.5</v>
      </c>
      <c r="M1549" s="7">
        <f>прил.6!N1712</f>
        <v>0</v>
      </c>
      <c r="N1549" s="35">
        <f t="shared" si="347"/>
        <v>4.5</v>
      </c>
      <c r="O1549" s="7">
        <f>прил.6!P1712</f>
        <v>0</v>
      </c>
      <c r="P1549" s="35">
        <f t="shared" si="345"/>
        <v>4.5</v>
      </c>
      <c r="Q1549" s="7">
        <f>прил.6!R1712</f>
        <v>0</v>
      </c>
      <c r="R1549" s="35">
        <f t="shared" si="343"/>
        <v>4.5</v>
      </c>
      <c r="S1549" s="7">
        <f>прил.6!T1712</f>
        <v>0</v>
      </c>
      <c r="T1549" s="35">
        <f t="shared" si="339"/>
        <v>4.5</v>
      </c>
    </row>
    <row r="1550" spans="1:20">
      <c r="A1550" s="61" t="str">
        <f ca="1">IF(ISERROR(MATCH(C1550,Код_Раздел,0)),"",INDIRECT(ADDRESS(MATCH(C1550,Код_Раздел,0)+1,2,,,"Раздел")))</f>
        <v>Национальная экономика</v>
      </c>
      <c r="B1550" s="43" t="s">
        <v>306</v>
      </c>
      <c r="C1550" s="8" t="s">
        <v>216</v>
      </c>
      <c r="D1550" s="8"/>
      <c r="E1550" s="104"/>
      <c r="F1550" s="7">
        <f>F1551</f>
        <v>68230.3</v>
      </c>
      <c r="G1550" s="7">
        <f>G1551</f>
        <v>0</v>
      </c>
      <c r="H1550" s="35">
        <f t="shared" si="331"/>
        <v>68230.3</v>
      </c>
      <c r="I1550" s="7">
        <f>I1551</f>
        <v>0</v>
      </c>
      <c r="J1550" s="35">
        <f t="shared" si="346"/>
        <v>68230.3</v>
      </c>
      <c r="K1550" s="7">
        <f>K1551</f>
        <v>0</v>
      </c>
      <c r="L1550" s="35">
        <f t="shared" si="337"/>
        <v>68230.3</v>
      </c>
      <c r="M1550" s="7">
        <f>M1551</f>
        <v>0</v>
      </c>
      <c r="N1550" s="35">
        <f t="shared" si="347"/>
        <v>68230.3</v>
      </c>
      <c r="O1550" s="7">
        <f>O1551</f>
        <v>0</v>
      </c>
      <c r="P1550" s="35">
        <f t="shared" si="345"/>
        <v>68230.3</v>
      </c>
      <c r="Q1550" s="7">
        <f>Q1551</f>
        <v>0</v>
      </c>
      <c r="R1550" s="35">
        <f t="shared" si="343"/>
        <v>68230.3</v>
      </c>
      <c r="S1550" s="7">
        <f>S1551</f>
        <v>-261.8</v>
      </c>
      <c r="T1550" s="35">
        <f t="shared" si="339"/>
        <v>67968.5</v>
      </c>
    </row>
    <row r="1551" spans="1:20">
      <c r="A1551" s="12" t="s">
        <v>223</v>
      </c>
      <c r="B1551" s="43" t="s">
        <v>306</v>
      </c>
      <c r="C1551" s="8" t="s">
        <v>216</v>
      </c>
      <c r="D1551" s="8" t="s">
        <v>196</v>
      </c>
      <c r="E1551" s="153"/>
      <c r="F1551" s="7">
        <f>F1552+F1554+F1557</f>
        <v>68230.3</v>
      </c>
      <c r="G1551" s="7">
        <f>G1552+G1554+G1557</f>
        <v>0</v>
      </c>
      <c r="H1551" s="35">
        <f t="shared" ref="H1551:H1615" si="348">F1551+G1551</f>
        <v>68230.3</v>
      </c>
      <c r="I1551" s="7">
        <f>I1552+I1554+I1557</f>
        <v>0</v>
      </c>
      <c r="J1551" s="35">
        <f t="shared" si="346"/>
        <v>68230.3</v>
      </c>
      <c r="K1551" s="7">
        <f>K1552+K1554+K1557</f>
        <v>0</v>
      </c>
      <c r="L1551" s="35">
        <f t="shared" si="337"/>
        <v>68230.3</v>
      </c>
      <c r="M1551" s="7">
        <f>M1552+M1554+M1557</f>
        <v>0</v>
      </c>
      <c r="N1551" s="35">
        <f t="shared" si="347"/>
        <v>68230.3</v>
      </c>
      <c r="O1551" s="7">
        <f>O1552+O1554+O1557</f>
        <v>0</v>
      </c>
      <c r="P1551" s="35">
        <f t="shared" si="345"/>
        <v>68230.3</v>
      </c>
      <c r="Q1551" s="7">
        <f>Q1552+Q1554+Q1557</f>
        <v>0</v>
      </c>
      <c r="R1551" s="35">
        <f t="shared" si="343"/>
        <v>68230.3</v>
      </c>
      <c r="S1551" s="7">
        <f>S1552+S1554+S1557</f>
        <v>-261.8</v>
      </c>
      <c r="T1551" s="35">
        <f t="shared" si="339"/>
        <v>67968.5</v>
      </c>
    </row>
    <row r="1552" spans="1:20" ht="33">
      <c r="A1552" s="61" t="str">
        <f t="shared" ref="A1552:A1560" ca="1" si="349">IF(ISERROR(MATCH(E1552,Код_КВР,0)),"",INDIRECT(ADDRESS(MATCH(E1552,Код_КВР,0)+1,2,,,"КВР")))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52" s="43" t="s">
        <v>306</v>
      </c>
      <c r="C1552" s="8" t="s">
        <v>216</v>
      </c>
      <c r="D1552" s="8" t="s">
        <v>196</v>
      </c>
      <c r="E1552" s="104">
        <v>100</v>
      </c>
      <c r="F1552" s="7">
        <f>F1553</f>
        <v>68183.7</v>
      </c>
      <c r="G1552" s="7">
        <f>G1553</f>
        <v>0</v>
      </c>
      <c r="H1552" s="35">
        <f t="shared" si="348"/>
        <v>68183.7</v>
      </c>
      <c r="I1552" s="7">
        <f>I1553</f>
        <v>0</v>
      </c>
      <c r="J1552" s="35">
        <f t="shared" si="346"/>
        <v>68183.7</v>
      </c>
      <c r="K1552" s="7">
        <f>K1553</f>
        <v>0</v>
      </c>
      <c r="L1552" s="35">
        <f t="shared" si="337"/>
        <v>68183.7</v>
      </c>
      <c r="M1552" s="7">
        <f>M1553</f>
        <v>0</v>
      </c>
      <c r="N1552" s="35">
        <f t="shared" si="347"/>
        <v>68183.7</v>
      </c>
      <c r="O1552" s="7">
        <f>O1553</f>
        <v>-0.1</v>
      </c>
      <c r="P1552" s="35">
        <f t="shared" si="345"/>
        <v>68183.599999999991</v>
      </c>
      <c r="Q1552" s="7">
        <f>Q1553</f>
        <v>-1.4</v>
      </c>
      <c r="R1552" s="35">
        <f t="shared" si="343"/>
        <v>68182.2</v>
      </c>
      <c r="S1552" s="7">
        <f>S1553</f>
        <v>-261.8</v>
      </c>
      <c r="T1552" s="35">
        <f t="shared" si="339"/>
        <v>67920.399999999994</v>
      </c>
    </row>
    <row r="1553" spans="1:20">
      <c r="A1553" s="61" t="str">
        <f t="shared" ca="1" si="349"/>
        <v>Расходы на выплаты персоналу муниципальных органов</v>
      </c>
      <c r="B1553" s="43" t="s">
        <v>306</v>
      </c>
      <c r="C1553" s="8" t="s">
        <v>216</v>
      </c>
      <c r="D1553" s="8" t="s">
        <v>196</v>
      </c>
      <c r="E1553" s="104">
        <v>120</v>
      </c>
      <c r="F1553" s="7">
        <f>прил.6!G564+прил.6!G1585</f>
        <v>68183.7</v>
      </c>
      <c r="G1553" s="7">
        <f>прил.6!H564+прил.6!H1585</f>
        <v>0</v>
      </c>
      <c r="H1553" s="35">
        <f t="shared" si="348"/>
        <v>68183.7</v>
      </c>
      <c r="I1553" s="7">
        <f>прил.6!J564+прил.6!J1585</f>
        <v>0</v>
      </c>
      <c r="J1553" s="35">
        <f t="shared" si="346"/>
        <v>68183.7</v>
      </c>
      <c r="K1553" s="7">
        <f>прил.6!L564+прил.6!L1585</f>
        <v>0</v>
      </c>
      <c r="L1553" s="35">
        <f t="shared" si="337"/>
        <v>68183.7</v>
      </c>
      <c r="M1553" s="7">
        <f>прил.6!N564+прил.6!N1585</f>
        <v>0</v>
      </c>
      <c r="N1553" s="35">
        <f t="shared" si="347"/>
        <v>68183.7</v>
      </c>
      <c r="O1553" s="7">
        <f>прил.6!P564+прил.6!P1585</f>
        <v>-0.1</v>
      </c>
      <c r="P1553" s="35">
        <f t="shared" si="345"/>
        <v>68183.599999999991</v>
      </c>
      <c r="Q1553" s="7">
        <f>прил.6!R564+прил.6!R1585</f>
        <v>-1.4</v>
      </c>
      <c r="R1553" s="35">
        <f t="shared" si="343"/>
        <v>68182.2</v>
      </c>
      <c r="S1553" s="7">
        <f>прил.6!T564+прил.6!T1585</f>
        <v>-261.8</v>
      </c>
      <c r="T1553" s="35">
        <f t="shared" si="339"/>
        <v>67920.399999999994</v>
      </c>
    </row>
    <row r="1554" spans="1:20">
      <c r="A1554" s="61" t="str">
        <f t="shared" ca="1" si="349"/>
        <v>Закупка товаров, работ и услуг для муниципальных нужд</v>
      </c>
      <c r="B1554" s="43" t="s">
        <v>306</v>
      </c>
      <c r="C1554" s="8" t="s">
        <v>216</v>
      </c>
      <c r="D1554" s="8" t="s">
        <v>196</v>
      </c>
      <c r="E1554" s="104">
        <v>200</v>
      </c>
      <c r="F1554" s="7">
        <f>F1555</f>
        <v>41.6</v>
      </c>
      <c r="G1554" s="7">
        <f>G1555</f>
        <v>0</v>
      </c>
      <c r="H1554" s="35">
        <f t="shared" si="348"/>
        <v>41.6</v>
      </c>
      <c r="I1554" s="7">
        <f>I1555</f>
        <v>0</v>
      </c>
      <c r="J1554" s="35">
        <f t="shared" si="346"/>
        <v>41.6</v>
      </c>
      <c r="K1554" s="7">
        <f>K1555</f>
        <v>0</v>
      </c>
      <c r="L1554" s="35">
        <f t="shared" si="337"/>
        <v>41.6</v>
      </c>
      <c r="M1554" s="7">
        <f>M1555</f>
        <v>0</v>
      </c>
      <c r="N1554" s="35">
        <f t="shared" si="347"/>
        <v>41.6</v>
      </c>
      <c r="O1554" s="7">
        <f>O1555</f>
        <v>0</v>
      </c>
      <c r="P1554" s="35">
        <f t="shared" si="345"/>
        <v>41.6</v>
      </c>
      <c r="Q1554" s="7">
        <f>Q1555</f>
        <v>1.4</v>
      </c>
      <c r="R1554" s="35">
        <f t="shared" si="343"/>
        <v>43</v>
      </c>
      <c r="S1554" s="7">
        <f>S1555</f>
        <v>0</v>
      </c>
      <c r="T1554" s="35">
        <f t="shared" si="339"/>
        <v>43</v>
      </c>
    </row>
    <row r="1555" spans="1:20" ht="33">
      <c r="A1555" s="61" t="str">
        <f t="shared" ca="1" si="349"/>
        <v>Иные закупки товаров, работ и услуг для обеспечения муниципальных нужд</v>
      </c>
      <c r="B1555" s="43" t="s">
        <v>306</v>
      </c>
      <c r="C1555" s="8" t="s">
        <v>216</v>
      </c>
      <c r="D1555" s="8" t="s">
        <v>196</v>
      </c>
      <c r="E1555" s="104">
        <v>240</v>
      </c>
      <c r="F1555" s="7">
        <f>F1556</f>
        <v>41.6</v>
      </c>
      <c r="G1555" s="7">
        <f>G1556</f>
        <v>0</v>
      </c>
      <c r="H1555" s="35">
        <f t="shared" si="348"/>
        <v>41.6</v>
      </c>
      <c r="I1555" s="7">
        <f>I1556</f>
        <v>0</v>
      </c>
      <c r="J1555" s="35">
        <f t="shared" si="346"/>
        <v>41.6</v>
      </c>
      <c r="K1555" s="7">
        <f>K1556</f>
        <v>0</v>
      </c>
      <c r="L1555" s="35">
        <f t="shared" si="337"/>
        <v>41.6</v>
      </c>
      <c r="M1555" s="7">
        <f>M1556</f>
        <v>0</v>
      </c>
      <c r="N1555" s="35">
        <f t="shared" si="347"/>
        <v>41.6</v>
      </c>
      <c r="O1555" s="7">
        <f>O1556</f>
        <v>0</v>
      </c>
      <c r="P1555" s="35">
        <f t="shared" si="345"/>
        <v>41.6</v>
      </c>
      <c r="Q1555" s="7">
        <f>Q1556</f>
        <v>1.4</v>
      </c>
      <c r="R1555" s="35">
        <f t="shared" si="343"/>
        <v>43</v>
      </c>
      <c r="S1555" s="7">
        <f>S1556</f>
        <v>0</v>
      </c>
      <c r="T1555" s="35">
        <f t="shared" si="339"/>
        <v>43</v>
      </c>
    </row>
    <row r="1556" spans="1:20" ht="33">
      <c r="A1556" s="61" t="str">
        <f t="shared" ca="1" si="349"/>
        <v xml:space="preserve">Прочая закупка товаров, работ и услуг для обеспечения муниципальных нужд         </v>
      </c>
      <c r="B1556" s="43" t="s">
        <v>306</v>
      </c>
      <c r="C1556" s="8" t="s">
        <v>216</v>
      </c>
      <c r="D1556" s="8" t="s">
        <v>196</v>
      </c>
      <c r="E1556" s="104">
        <v>244</v>
      </c>
      <c r="F1556" s="7">
        <f>прил.6!G567+прил.6!G1588</f>
        <v>41.6</v>
      </c>
      <c r="G1556" s="7">
        <f>прил.6!H567+прил.6!H1588</f>
        <v>0</v>
      </c>
      <c r="H1556" s="35">
        <f t="shared" si="348"/>
        <v>41.6</v>
      </c>
      <c r="I1556" s="7">
        <f>прил.6!J567+прил.6!J1588</f>
        <v>0</v>
      </c>
      <c r="J1556" s="35">
        <f t="shared" si="346"/>
        <v>41.6</v>
      </c>
      <c r="K1556" s="7">
        <f>прил.6!L567+прил.6!L1588</f>
        <v>0</v>
      </c>
      <c r="L1556" s="35">
        <f t="shared" si="337"/>
        <v>41.6</v>
      </c>
      <c r="M1556" s="7">
        <f>прил.6!N567+прил.6!N1588</f>
        <v>0</v>
      </c>
      <c r="N1556" s="35">
        <f t="shared" si="347"/>
        <v>41.6</v>
      </c>
      <c r="O1556" s="7">
        <f>прил.6!P567+прил.6!P1588</f>
        <v>0</v>
      </c>
      <c r="P1556" s="35">
        <f t="shared" si="345"/>
        <v>41.6</v>
      </c>
      <c r="Q1556" s="7">
        <f>прил.6!R567+прил.6!R1588</f>
        <v>1.4</v>
      </c>
      <c r="R1556" s="35">
        <f t="shared" si="343"/>
        <v>43</v>
      </c>
      <c r="S1556" s="7">
        <f>прил.6!T567+прил.6!T1588</f>
        <v>0</v>
      </c>
      <c r="T1556" s="35">
        <f t="shared" si="339"/>
        <v>43</v>
      </c>
    </row>
    <row r="1557" spans="1:20">
      <c r="A1557" s="61" t="str">
        <f t="shared" ca="1" si="349"/>
        <v>Иные бюджетные ассигнования</v>
      </c>
      <c r="B1557" s="43" t="s">
        <v>306</v>
      </c>
      <c r="C1557" s="8" t="s">
        <v>216</v>
      </c>
      <c r="D1557" s="8" t="s">
        <v>196</v>
      </c>
      <c r="E1557" s="104">
        <v>800</v>
      </c>
      <c r="F1557" s="7">
        <f>F1558</f>
        <v>5</v>
      </c>
      <c r="G1557" s="7">
        <f>G1558</f>
        <v>0</v>
      </c>
      <c r="H1557" s="35">
        <f t="shared" si="348"/>
        <v>5</v>
      </c>
      <c r="I1557" s="7">
        <f>I1558</f>
        <v>0</v>
      </c>
      <c r="J1557" s="35">
        <f t="shared" si="346"/>
        <v>5</v>
      </c>
      <c r="K1557" s="7">
        <f>K1558</f>
        <v>0</v>
      </c>
      <c r="L1557" s="35">
        <f t="shared" si="337"/>
        <v>5</v>
      </c>
      <c r="M1557" s="7">
        <f>M1558</f>
        <v>0</v>
      </c>
      <c r="N1557" s="35">
        <f t="shared" si="347"/>
        <v>5</v>
      </c>
      <c r="O1557" s="7">
        <f>O1558</f>
        <v>0.1</v>
      </c>
      <c r="P1557" s="35">
        <f t="shared" si="345"/>
        <v>5.0999999999999996</v>
      </c>
      <c r="Q1557" s="7">
        <f>Q1558</f>
        <v>0</v>
      </c>
      <c r="R1557" s="35">
        <f t="shared" si="343"/>
        <v>5.0999999999999996</v>
      </c>
      <c r="S1557" s="7">
        <f>S1558</f>
        <v>0</v>
      </c>
      <c r="T1557" s="35">
        <f t="shared" si="339"/>
        <v>5.0999999999999996</v>
      </c>
    </row>
    <row r="1558" spans="1:20">
      <c r="A1558" s="61" t="str">
        <f t="shared" ca="1" si="349"/>
        <v>Уплата налогов, сборов и иных платежей</v>
      </c>
      <c r="B1558" s="43" t="s">
        <v>306</v>
      </c>
      <c r="C1558" s="8" t="s">
        <v>216</v>
      </c>
      <c r="D1558" s="8" t="s">
        <v>196</v>
      </c>
      <c r="E1558" s="104">
        <v>850</v>
      </c>
      <c r="F1558" s="7">
        <f>F1560</f>
        <v>5</v>
      </c>
      <c r="G1558" s="7">
        <f>G1560</f>
        <v>0</v>
      </c>
      <c r="H1558" s="35">
        <f t="shared" si="348"/>
        <v>5</v>
      </c>
      <c r="I1558" s="7">
        <f>I1560</f>
        <v>0</v>
      </c>
      <c r="J1558" s="35">
        <f t="shared" si="346"/>
        <v>5</v>
      </c>
      <c r="K1558" s="7">
        <f>K1560</f>
        <v>0</v>
      </c>
      <c r="L1558" s="35">
        <f t="shared" si="337"/>
        <v>5</v>
      </c>
      <c r="M1558" s="7">
        <f>M1560</f>
        <v>0</v>
      </c>
      <c r="N1558" s="35">
        <f t="shared" si="347"/>
        <v>5</v>
      </c>
      <c r="O1558" s="7">
        <f>O1560+O1559</f>
        <v>0.1</v>
      </c>
      <c r="P1558" s="35">
        <f t="shared" si="345"/>
        <v>5.0999999999999996</v>
      </c>
      <c r="Q1558" s="7">
        <f>Q1560+Q1559</f>
        <v>0</v>
      </c>
      <c r="R1558" s="35">
        <f t="shared" si="343"/>
        <v>5.0999999999999996</v>
      </c>
      <c r="S1558" s="7">
        <f>S1560+S1559</f>
        <v>0</v>
      </c>
      <c r="T1558" s="35">
        <f t="shared" si="339"/>
        <v>5.0999999999999996</v>
      </c>
    </row>
    <row r="1559" spans="1:20">
      <c r="A1559" s="61" t="str">
        <f t="shared" ref="A1559" ca="1" si="350">IF(ISERROR(MATCH(E1559,Код_КВР,0)),"",INDIRECT(ADDRESS(MATCH(E1559,Код_КВР,0)+1,2,,,"КВР")))</f>
        <v>Уплата налога на имущество организаций и земельного налога</v>
      </c>
      <c r="B1559" s="43" t="s">
        <v>306</v>
      </c>
      <c r="C1559" s="8" t="s">
        <v>216</v>
      </c>
      <c r="D1559" s="8" t="s">
        <v>196</v>
      </c>
      <c r="E1559" s="104">
        <v>851</v>
      </c>
      <c r="F1559" s="7"/>
      <c r="G1559" s="7"/>
      <c r="H1559" s="35"/>
      <c r="I1559" s="7"/>
      <c r="J1559" s="35"/>
      <c r="K1559" s="7"/>
      <c r="L1559" s="35"/>
      <c r="M1559" s="7"/>
      <c r="N1559" s="35"/>
      <c r="O1559" s="7">
        <f>прил.6!P570</f>
        <v>0.1</v>
      </c>
      <c r="P1559" s="35">
        <f t="shared" si="345"/>
        <v>0.1</v>
      </c>
      <c r="Q1559" s="7">
        <f>прил.6!R570</f>
        <v>0</v>
      </c>
      <c r="R1559" s="35">
        <f t="shared" si="343"/>
        <v>0.1</v>
      </c>
      <c r="S1559" s="7">
        <f>прил.6!T570</f>
        <v>0</v>
      </c>
      <c r="T1559" s="35">
        <f t="shared" si="339"/>
        <v>0.1</v>
      </c>
    </row>
    <row r="1560" spans="1:20">
      <c r="A1560" s="61" t="str">
        <f t="shared" ca="1" si="349"/>
        <v>Уплата прочих налогов, сборов и иных платежей</v>
      </c>
      <c r="B1560" s="43" t="s">
        <v>306</v>
      </c>
      <c r="C1560" s="8" t="s">
        <v>216</v>
      </c>
      <c r="D1560" s="8" t="s">
        <v>196</v>
      </c>
      <c r="E1560" s="104">
        <v>852</v>
      </c>
      <c r="F1560" s="7">
        <f>прил.6!G571+прил.6!G1591</f>
        <v>5</v>
      </c>
      <c r="G1560" s="7">
        <f>прил.6!H571+прил.6!H1591</f>
        <v>0</v>
      </c>
      <c r="H1560" s="35">
        <f t="shared" si="348"/>
        <v>5</v>
      </c>
      <c r="I1560" s="7">
        <f>прил.6!J571+прил.6!J1591</f>
        <v>0</v>
      </c>
      <c r="J1560" s="35">
        <f t="shared" si="346"/>
        <v>5</v>
      </c>
      <c r="K1560" s="7">
        <f>прил.6!L571+прил.6!L1591</f>
        <v>0</v>
      </c>
      <c r="L1560" s="35">
        <f t="shared" si="337"/>
        <v>5</v>
      </c>
      <c r="M1560" s="7">
        <f>прил.6!N571+прил.6!N1591</f>
        <v>0</v>
      </c>
      <c r="N1560" s="35">
        <f t="shared" si="347"/>
        <v>5</v>
      </c>
      <c r="O1560" s="7">
        <f>прил.6!P571+прил.6!P1591</f>
        <v>0</v>
      </c>
      <c r="P1560" s="35">
        <f t="shared" si="345"/>
        <v>5</v>
      </c>
      <c r="Q1560" s="7">
        <f>прил.6!R571+прил.6!R1591</f>
        <v>0</v>
      </c>
      <c r="R1560" s="35">
        <f t="shared" si="343"/>
        <v>5</v>
      </c>
      <c r="S1560" s="7">
        <f>прил.6!T571+прил.6!T1591</f>
        <v>0</v>
      </c>
      <c r="T1560" s="35">
        <f t="shared" si="339"/>
        <v>5</v>
      </c>
    </row>
    <row r="1561" spans="1:20">
      <c r="A1561" s="61" t="str">
        <f ca="1">IF(ISERROR(MATCH(C1561,Код_Раздел,0)),"",INDIRECT(ADDRESS(MATCH(C1561,Код_Раздел,0)+1,2,,,"Раздел")))</f>
        <v>Жилищно-коммунальное хозяйство</v>
      </c>
      <c r="B1561" s="43" t="s">
        <v>306</v>
      </c>
      <c r="C1561" s="8" t="s">
        <v>221</v>
      </c>
      <c r="D1561" s="8"/>
      <c r="E1561" s="104"/>
      <c r="F1561" s="7">
        <f>F1562</f>
        <v>21929.300000000003</v>
      </c>
      <c r="G1561" s="7">
        <f>G1562</f>
        <v>0</v>
      </c>
      <c r="H1561" s="35">
        <f t="shared" si="348"/>
        <v>21929.300000000003</v>
      </c>
      <c r="I1561" s="7">
        <f>I1562</f>
        <v>0</v>
      </c>
      <c r="J1561" s="35">
        <f t="shared" si="346"/>
        <v>21929.300000000003</v>
      </c>
      <c r="K1561" s="7">
        <f>K1562</f>
        <v>0</v>
      </c>
      <c r="L1561" s="35">
        <f t="shared" si="337"/>
        <v>21929.300000000003</v>
      </c>
      <c r="M1561" s="7">
        <f>M1562</f>
        <v>0</v>
      </c>
      <c r="N1561" s="35">
        <f t="shared" si="347"/>
        <v>21929.300000000003</v>
      </c>
      <c r="O1561" s="7">
        <f>O1562</f>
        <v>0</v>
      </c>
      <c r="P1561" s="35">
        <f t="shared" si="345"/>
        <v>21929.300000000003</v>
      </c>
      <c r="Q1561" s="7">
        <f>Q1562</f>
        <v>0</v>
      </c>
      <c r="R1561" s="35">
        <f t="shared" si="343"/>
        <v>21929.300000000003</v>
      </c>
      <c r="S1561" s="7">
        <f>S1562</f>
        <v>0</v>
      </c>
      <c r="T1561" s="35">
        <f t="shared" si="339"/>
        <v>21929.300000000003</v>
      </c>
    </row>
    <row r="1562" spans="1:20">
      <c r="A1562" s="12" t="s">
        <v>164</v>
      </c>
      <c r="B1562" s="43" t="s">
        <v>306</v>
      </c>
      <c r="C1562" s="8" t="s">
        <v>221</v>
      </c>
      <c r="D1562" s="8" t="s">
        <v>221</v>
      </c>
      <c r="E1562" s="104"/>
      <c r="F1562" s="7">
        <f>F1563+F1565+F1568</f>
        <v>21929.300000000003</v>
      </c>
      <c r="G1562" s="7">
        <f>G1563+G1565+G1568</f>
        <v>0</v>
      </c>
      <c r="H1562" s="35">
        <f t="shared" si="348"/>
        <v>21929.300000000003</v>
      </c>
      <c r="I1562" s="7">
        <f>I1563+I1565+I1568</f>
        <v>0</v>
      </c>
      <c r="J1562" s="35">
        <f t="shared" si="346"/>
        <v>21929.300000000003</v>
      </c>
      <c r="K1562" s="7">
        <f>K1563+K1565+K1568</f>
        <v>0</v>
      </c>
      <c r="L1562" s="35">
        <f t="shared" si="337"/>
        <v>21929.300000000003</v>
      </c>
      <c r="M1562" s="7">
        <f>M1563+M1565+M1568</f>
        <v>0</v>
      </c>
      <c r="N1562" s="35">
        <f t="shared" si="347"/>
        <v>21929.300000000003</v>
      </c>
      <c r="O1562" s="7">
        <f>O1563+O1565+O1568</f>
        <v>0</v>
      </c>
      <c r="P1562" s="35">
        <f t="shared" si="345"/>
        <v>21929.300000000003</v>
      </c>
      <c r="Q1562" s="7">
        <f>Q1563+Q1565+Q1568</f>
        <v>0</v>
      </c>
      <c r="R1562" s="35">
        <f t="shared" si="343"/>
        <v>21929.300000000003</v>
      </c>
      <c r="S1562" s="7">
        <f>S1563+S1565+S1568</f>
        <v>0</v>
      </c>
      <c r="T1562" s="35">
        <f t="shared" si="339"/>
        <v>21929.300000000003</v>
      </c>
    </row>
    <row r="1563" spans="1:20" ht="33">
      <c r="A1563" s="61" t="str">
        <f t="shared" ref="A1563:A1570" ca="1" si="351">IF(ISERROR(MATCH(E1563,Код_КВР,0)),"",INDIRECT(ADDRESS(MATCH(E1563,Код_КВР,0)+1,2,,,"КВР")))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63" s="43" t="s">
        <v>306</v>
      </c>
      <c r="C1563" s="8" t="s">
        <v>221</v>
      </c>
      <c r="D1563" s="8" t="s">
        <v>221</v>
      </c>
      <c r="E1563" s="104">
        <v>100</v>
      </c>
      <c r="F1563" s="7">
        <f>F1564</f>
        <v>21894.9</v>
      </c>
      <c r="G1563" s="7">
        <f>G1564</f>
        <v>0</v>
      </c>
      <c r="H1563" s="35">
        <f t="shared" si="348"/>
        <v>21894.9</v>
      </c>
      <c r="I1563" s="7">
        <f>I1564</f>
        <v>0</v>
      </c>
      <c r="J1563" s="35">
        <f t="shared" si="346"/>
        <v>21894.9</v>
      </c>
      <c r="K1563" s="7">
        <f>K1564</f>
        <v>0</v>
      </c>
      <c r="L1563" s="35">
        <f t="shared" si="337"/>
        <v>21894.9</v>
      </c>
      <c r="M1563" s="7">
        <f>M1564</f>
        <v>0</v>
      </c>
      <c r="N1563" s="35">
        <f t="shared" si="347"/>
        <v>21894.9</v>
      </c>
      <c r="O1563" s="7">
        <f>O1564</f>
        <v>0</v>
      </c>
      <c r="P1563" s="35">
        <f t="shared" si="345"/>
        <v>21894.9</v>
      </c>
      <c r="Q1563" s="7">
        <f>Q1564</f>
        <v>0</v>
      </c>
      <c r="R1563" s="35">
        <f t="shared" si="343"/>
        <v>21894.9</v>
      </c>
      <c r="S1563" s="7">
        <f>S1564</f>
        <v>-40</v>
      </c>
      <c r="T1563" s="35">
        <f t="shared" si="339"/>
        <v>21854.9</v>
      </c>
    </row>
    <row r="1564" spans="1:20">
      <c r="A1564" s="61" t="str">
        <f t="shared" ca="1" si="351"/>
        <v>Расходы на выплаты персоналу муниципальных органов</v>
      </c>
      <c r="B1564" s="43" t="s">
        <v>306</v>
      </c>
      <c r="C1564" s="8" t="s">
        <v>221</v>
      </c>
      <c r="D1564" s="8" t="s">
        <v>221</v>
      </c>
      <c r="E1564" s="104">
        <v>120</v>
      </c>
      <c r="F1564" s="7">
        <f>прил.6!G519</f>
        <v>21894.9</v>
      </c>
      <c r="G1564" s="7">
        <f>прил.6!H519</f>
        <v>0</v>
      </c>
      <c r="H1564" s="35">
        <f t="shared" si="348"/>
        <v>21894.9</v>
      </c>
      <c r="I1564" s="7">
        <f>прил.6!J519</f>
        <v>0</v>
      </c>
      <c r="J1564" s="35">
        <f t="shared" si="346"/>
        <v>21894.9</v>
      </c>
      <c r="K1564" s="7">
        <f>прил.6!L519</f>
        <v>0</v>
      </c>
      <c r="L1564" s="35">
        <f t="shared" si="337"/>
        <v>21894.9</v>
      </c>
      <c r="M1564" s="7">
        <f>прил.6!N519</f>
        <v>0</v>
      </c>
      <c r="N1564" s="35">
        <f t="shared" si="347"/>
        <v>21894.9</v>
      </c>
      <c r="O1564" s="7">
        <f>прил.6!P519</f>
        <v>0</v>
      </c>
      <c r="P1564" s="35">
        <f t="shared" si="345"/>
        <v>21894.9</v>
      </c>
      <c r="Q1564" s="7">
        <f>прил.6!R519</f>
        <v>0</v>
      </c>
      <c r="R1564" s="35">
        <f t="shared" si="343"/>
        <v>21894.9</v>
      </c>
      <c r="S1564" s="7">
        <f>прил.6!T519</f>
        <v>-40</v>
      </c>
      <c r="T1564" s="35">
        <f t="shared" si="339"/>
        <v>21854.9</v>
      </c>
    </row>
    <row r="1565" spans="1:20">
      <c r="A1565" s="61" t="str">
        <f t="shared" ca="1" si="351"/>
        <v>Закупка товаров, работ и услуг для муниципальных нужд</v>
      </c>
      <c r="B1565" s="43" t="s">
        <v>306</v>
      </c>
      <c r="C1565" s="8" t="s">
        <v>221</v>
      </c>
      <c r="D1565" s="8" t="s">
        <v>221</v>
      </c>
      <c r="E1565" s="104">
        <v>200</v>
      </c>
      <c r="F1565" s="7">
        <f>F1566</f>
        <v>31.4</v>
      </c>
      <c r="G1565" s="7">
        <f>G1566</f>
        <v>0</v>
      </c>
      <c r="H1565" s="35">
        <f t="shared" si="348"/>
        <v>31.4</v>
      </c>
      <c r="I1565" s="7">
        <f>I1566</f>
        <v>0</v>
      </c>
      <c r="J1565" s="35">
        <f t="shared" si="346"/>
        <v>31.4</v>
      </c>
      <c r="K1565" s="7">
        <f>K1566</f>
        <v>0</v>
      </c>
      <c r="L1565" s="35">
        <f t="shared" si="337"/>
        <v>31.4</v>
      </c>
      <c r="M1565" s="7">
        <f>M1566</f>
        <v>0</v>
      </c>
      <c r="N1565" s="35">
        <f t="shared" si="347"/>
        <v>31.4</v>
      </c>
      <c r="O1565" s="7">
        <f>O1566</f>
        <v>0</v>
      </c>
      <c r="P1565" s="35">
        <f t="shared" si="345"/>
        <v>31.4</v>
      </c>
      <c r="Q1565" s="7">
        <f>Q1566</f>
        <v>0</v>
      </c>
      <c r="R1565" s="35">
        <f t="shared" si="343"/>
        <v>31.4</v>
      </c>
      <c r="S1565" s="7">
        <f>S1566</f>
        <v>40</v>
      </c>
      <c r="T1565" s="35">
        <f t="shared" si="339"/>
        <v>71.400000000000006</v>
      </c>
    </row>
    <row r="1566" spans="1:20" ht="33">
      <c r="A1566" s="61" t="str">
        <f t="shared" ca="1" si="351"/>
        <v>Иные закупки товаров, работ и услуг для обеспечения муниципальных нужд</v>
      </c>
      <c r="B1566" s="43" t="s">
        <v>306</v>
      </c>
      <c r="C1566" s="8" t="s">
        <v>221</v>
      </c>
      <c r="D1566" s="8" t="s">
        <v>221</v>
      </c>
      <c r="E1566" s="104">
        <v>240</v>
      </c>
      <c r="F1566" s="7">
        <f>F1567</f>
        <v>31.4</v>
      </c>
      <c r="G1566" s="7">
        <f>G1567</f>
        <v>0</v>
      </c>
      <c r="H1566" s="35">
        <f t="shared" si="348"/>
        <v>31.4</v>
      </c>
      <c r="I1566" s="7">
        <f>I1567</f>
        <v>0</v>
      </c>
      <c r="J1566" s="35">
        <f t="shared" si="346"/>
        <v>31.4</v>
      </c>
      <c r="K1566" s="7">
        <f>K1567</f>
        <v>0</v>
      </c>
      <c r="L1566" s="35">
        <f t="shared" si="337"/>
        <v>31.4</v>
      </c>
      <c r="M1566" s="7">
        <f>M1567</f>
        <v>0</v>
      </c>
      <c r="N1566" s="35">
        <f t="shared" si="347"/>
        <v>31.4</v>
      </c>
      <c r="O1566" s="7">
        <f>O1567</f>
        <v>0</v>
      </c>
      <c r="P1566" s="35">
        <f t="shared" si="345"/>
        <v>31.4</v>
      </c>
      <c r="Q1566" s="7">
        <f>Q1567</f>
        <v>0</v>
      </c>
      <c r="R1566" s="35">
        <f t="shared" si="343"/>
        <v>31.4</v>
      </c>
      <c r="S1566" s="7">
        <f>S1567</f>
        <v>40</v>
      </c>
      <c r="T1566" s="35">
        <f t="shared" si="339"/>
        <v>71.400000000000006</v>
      </c>
    </row>
    <row r="1567" spans="1:20" ht="33">
      <c r="A1567" s="61" t="str">
        <f t="shared" ca="1" si="351"/>
        <v xml:space="preserve">Прочая закупка товаров, работ и услуг для обеспечения муниципальных нужд         </v>
      </c>
      <c r="B1567" s="43" t="s">
        <v>306</v>
      </c>
      <c r="C1567" s="8" t="s">
        <v>221</v>
      </c>
      <c r="D1567" s="8" t="s">
        <v>221</v>
      </c>
      <c r="E1567" s="104">
        <v>244</v>
      </c>
      <c r="F1567" s="7">
        <f>прил.6!G522</f>
        <v>31.4</v>
      </c>
      <c r="G1567" s="7">
        <f>прил.6!H522</f>
        <v>0</v>
      </c>
      <c r="H1567" s="35">
        <f t="shared" si="348"/>
        <v>31.4</v>
      </c>
      <c r="I1567" s="7">
        <f>прил.6!J522</f>
        <v>0</v>
      </c>
      <c r="J1567" s="35">
        <f t="shared" si="346"/>
        <v>31.4</v>
      </c>
      <c r="K1567" s="7">
        <f>прил.6!L522</f>
        <v>0</v>
      </c>
      <c r="L1567" s="35">
        <f t="shared" si="337"/>
        <v>31.4</v>
      </c>
      <c r="M1567" s="7">
        <f>прил.6!N522</f>
        <v>0</v>
      </c>
      <c r="N1567" s="35">
        <f t="shared" si="347"/>
        <v>31.4</v>
      </c>
      <c r="O1567" s="7">
        <f>прил.6!P522</f>
        <v>0</v>
      </c>
      <c r="P1567" s="35">
        <f t="shared" si="345"/>
        <v>31.4</v>
      </c>
      <c r="Q1567" s="7">
        <f>прил.6!R522</f>
        <v>0</v>
      </c>
      <c r="R1567" s="35">
        <f t="shared" si="343"/>
        <v>31.4</v>
      </c>
      <c r="S1567" s="7">
        <f>прил.6!T522</f>
        <v>40</v>
      </c>
      <c r="T1567" s="35">
        <f t="shared" si="339"/>
        <v>71.400000000000006</v>
      </c>
    </row>
    <row r="1568" spans="1:20">
      <c r="A1568" s="61" t="str">
        <f t="shared" ca="1" si="351"/>
        <v>Иные бюджетные ассигнования</v>
      </c>
      <c r="B1568" s="43" t="s">
        <v>306</v>
      </c>
      <c r="C1568" s="8" t="s">
        <v>221</v>
      </c>
      <c r="D1568" s="8" t="s">
        <v>221</v>
      </c>
      <c r="E1568" s="104">
        <v>800</v>
      </c>
      <c r="F1568" s="7">
        <f>F1569</f>
        <v>3</v>
      </c>
      <c r="G1568" s="7">
        <f>G1569</f>
        <v>0</v>
      </c>
      <c r="H1568" s="35">
        <f t="shared" si="348"/>
        <v>3</v>
      </c>
      <c r="I1568" s="7">
        <f>I1569</f>
        <v>0</v>
      </c>
      <c r="J1568" s="35">
        <f t="shared" si="346"/>
        <v>3</v>
      </c>
      <c r="K1568" s="7">
        <f>K1569</f>
        <v>0</v>
      </c>
      <c r="L1568" s="35">
        <f t="shared" si="337"/>
        <v>3</v>
      </c>
      <c r="M1568" s="7">
        <f>M1569</f>
        <v>0</v>
      </c>
      <c r="N1568" s="35">
        <f t="shared" si="347"/>
        <v>3</v>
      </c>
      <c r="O1568" s="7">
        <f>O1569</f>
        <v>0</v>
      </c>
      <c r="P1568" s="35">
        <f t="shared" si="345"/>
        <v>3</v>
      </c>
      <c r="Q1568" s="7">
        <f>Q1569</f>
        <v>0</v>
      </c>
      <c r="R1568" s="35">
        <f t="shared" si="343"/>
        <v>3</v>
      </c>
      <c r="S1568" s="7">
        <f>S1569</f>
        <v>0</v>
      </c>
      <c r="T1568" s="35">
        <f t="shared" si="339"/>
        <v>3</v>
      </c>
    </row>
    <row r="1569" spans="1:20">
      <c r="A1569" s="61" t="str">
        <f t="shared" ca="1" si="351"/>
        <v>Уплата налогов, сборов и иных платежей</v>
      </c>
      <c r="B1569" s="43" t="s">
        <v>306</v>
      </c>
      <c r="C1569" s="8" t="s">
        <v>221</v>
      </c>
      <c r="D1569" s="8" t="s">
        <v>221</v>
      </c>
      <c r="E1569" s="104">
        <v>850</v>
      </c>
      <c r="F1569" s="7">
        <f>F1570</f>
        <v>3</v>
      </c>
      <c r="G1569" s="7">
        <f>G1570</f>
        <v>0</v>
      </c>
      <c r="H1569" s="35">
        <f t="shared" si="348"/>
        <v>3</v>
      </c>
      <c r="I1569" s="7">
        <f>I1570</f>
        <v>0</v>
      </c>
      <c r="J1569" s="35">
        <f t="shared" si="346"/>
        <v>3</v>
      </c>
      <c r="K1569" s="7">
        <f>K1570</f>
        <v>0</v>
      </c>
      <c r="L1569" s="35">
        <f t="shared" si="337"/>
        <v>3</v>
      </c>
      <c r="M1569" s="7">
        <f>M1570</f>
        <v>0</v>
      </c>
      <c r="N1569" s="35">
        <f t="shared" si="347"/>
        <v>3</v>
      </c>
      <c r="O1569" s="7">
        <f>O1570</f>
        <v>0</v>
      </c>
      <c r="P1569" s="35">
        <f t="shared" si="345"/>
        <v>3</v>
      </c>
      <c r="Q1569" s="7">
        <f>Q1570</f>
        <v>0</v>
      </c>
      <c r="R1569" s="35">
        <f t="shared" si="343"/>
        <v>3</v>
      </c>
      <c r="S1569" s="7">
        <f>S1570</f>
        <v>0</v>
      </c>
      <c r="T1569" s="35">
        <f t="shared" si="339"/>
        <v>3</v>
      </c>
    </row>
    <row r="1570" spans="1:20">
      <c r="A1570" s="61" t="str">
        <f t="shared" ca="1" si="351"/>
        <v>Уплата прочих налогов, сборов и иных платежей</v>
      </c>
      <c r="B1570" s="43" t="s">
        <v>306</v>
      </c>
      <c r="C1570" s="8" t="s">
        <v>221</v>
      </c>
      <c r="D1570" s="8" t="s">
        <v>221</v>
      </c>
      <c r="E1570" s="104">
        <v>852</v>
      </c>
      <c r="F1570" s="7">
        <f>прил.6!G525</f>
        <v>3</v>
      </c>
      <c r="G1570" s="7">
        <f>прил.6!H525</f>
        <v>0</v>
      </c>
      <c r="H1570" s="35">
        <f t="shared" si="348"/>
        <v>3</v>
      </c>
      <c r="I1570" s="7">
        <f>прил.6!J525</f>
        <v>0</v>
      </c>
      <c r="J1570" s="35">
        <f t="shared" si="346"/>
        <v>3</v>
      </c>
      <c r="K1570" s="7">
        <f>прил.6!L525</f>
        <v>0</v>
      </c>
      <c r="L1570" s="35">
        <f t="shared" si="337"/>
        <v>3</v>
      </c>
      <c r="M1570" s="7">
        <f>прил.6!N525</f>
        <v>0</v>
      </c>
      <c r="N1570" s="35">
        <f t="shared" si="347"/>
        <v>3</v>
      </c>
      <c r="O1570" s="7">
        <f>прил.6!P525</f>
        <v>0</v>
      </c>
      <c r="P1570" s="35">
        <f t="shared" si="345"/>
        <v>3</v>
      </c>
      <c r="Q1570" s="7">
        <f>прил.6!R525</f>
        <v>0</v>
      </c>
      <c r="R1570" s="35">
        <f t="shared" si="343"/>
        <v>3</v>
      </c>
      <c r="S1570" s="7">
        <f>прил.6!T525</f>
        <v>0</v>
      </c>
      <c r="T1570" s="35">
        <f t="shared" si="339"/>
        <v>3</v>
      </c>
    </row>
    <row r="1571" spans="1:20">
      <c r="A1571" s="61" t="str">
        <f ca="1">IF(ISERROR(MATCH(C1571,Код_Раздел,0)),"",INDIRECT(ADDRESS(MATCH(C1571,Код_Раздел,0)+1,2,,,"Раздел")))</f>
        <v>Охрана окружающей среды</v>
      </c>
      <c r="B1571" s="43" t="s">
        <v>306</v>
      </c>
      <c r="C1571" s="8" t="s">
        <v>217</v>
      </c>
      <c r="D1571" s="8"/>
      <c r="E1571" s="104"/>
      <c r="F1571" s="7">
        <f>F1572</f>
        <v>11173.1</v>
      </c>
      <c r="G1571" s="7">
        <f>G1572</f>
        <v>0</v>
      </c>
      <c r="H1571" s="35">
        <f t="shared" si="348"/>
        <v>11173.1</v>
      </c>
      <c r="I1571" s="7">
        <f>I1572</f>
        <v>0</v>
      </c>
      <c r="J1571" s="35">
        <f t="shared" si="346"/>
        <v>11173.1</v>
      </c>
      <c r="K1571" s="7">
        <f>K1572</f>
        <v>0</v>
      </c>
      <c r="L1571" s="35">
        <f t="shared" si="337"/>
        <v>11173.1</v>
      </c>
      <c r="M1571" s="7">
        <f>M1572</f>
        <v>0</v>
      </c>
      <c r="N1571" s="35">
        <f t="shared" si="347"/>
        <v>11173.1</v>
      </c>
      <c r="O1571" s="7">
        <f>O1572</f>
        <v>0</v>
      </c>
      <c r="P1571" s="35">
        <f t="shared" si="345"/>
        <v>11173.1</v>
      </c>
      <c r="Q1571" s="7">
        <f>Q1572</f>
        <v>0</v>
      </c>
      <c r="R1571" s="35">
        <f t="shared" si="343"/>
        <v>11173.1</v>
      </c>
      <c r="S1571" s="7">
        <f>S1572</f>
        <v>0</v>
      </c>
      <c r="T1571" s="35">
        <f t="shared" si="339"/>
        <v>11173.1</v>
      </c>
    </row>
    <row r="1572" spans="1:20">
      <c r="A1572" s="12" t="s">
        <v>255</v>
      </c>
      <c r="B1572" s="43" t="s">
        <v>306</v>
      </c>
      <c r="C1572" s="8" t="s">
        <v>217</v>
      </c>
      <c r="D1572" s="8" t="s">
        <v>221</v>
      </c>
      <c r="E1572" s="104"/>
      <c r="F1572" s="7">
        <f>F1573+F1575+F1578</f>
        <v>11173.1</v>
      </c>
      <c r="G1572" s="7">
        <f>G1573+G1575+G1578</f>
        <v>0</v>
      </c>
      <c r="H1572" s="35">
        <f t="shared" si="348"/>
        <v>11173.1</v>
      </c>
      <c r="I1572" s="7">
        <f>I1573+I1575+I1578</f>
        <v>0</v>
      </c>
      <c r="J1572" s="35">
        <f t="shared" si="346"/>
        <v>11173.1</v>
      </c>
      <c r="K1572" s="7">
        <f>K1573+K1575+K1578</f>
        <v>0</v>
      </c>
      <c r="L1572" s="35">
        <f t="shared" ref="L1572:L1664" si="352">J1572+K1572</f>
        <v>11173.1</v>
      </c>
      <c r="M1572" s="7">
        <f>M1573+M1575+M1578</f>
        <v>0</v>
      </c>
      <c r="N1572" s="35">
        <f t="shared" si="347"/>
        <v>11173.1</v>
      </c>
      <c r="O1572" s="7">
        <f>O1573+O1575+O1578</f>
        <v>0</v>
      </c>
      <c r="P1572" s="35">
        <f t="shared" si="345"/>
        <v>11173.1</v>
      </c>
      <c r="Q1572" s="7">
        <f>Q1573+Q1575+Q1578</f>
        <v>0</v>
      </c>
      <c r="R1572" s="35">
        <f t="shared" si="343"/>
        <v>11173.1</v>
      </c>
      <c r="S1572" s="7">
        <f>S1573+S1575+S1578</f>
        <v>0</v>
      </c>
      <c r="T1572" s="35">
        <f t="shared" si="339"/>
        <v>11173.1</v>
      </c>
    </row>
    <row r="1573" spans="1:20" ht="33">
      <c r="A1573" s="61" t="str">
        <f t="shared" ref="A1573:A1580" ca="1" si="353">IF(ISERROR(MATCH(E1573,Код_КВР,0)),"",INDIRECT(ADDRESS(MATCH(E1573,Код_КВР,0)+1,2,,,"КВР")))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73" s="43" t="s">
        <v>306</v>
      </c>
      <c r="C1573" s="8" t="s">
        <v>217</v>
      </c>
      <c r="D1573" s="8" t="s">
        <v>221</v>
      </c>
      <c r="E1573" s="104">
        <v>100</v>
      </c>
      <c r="F1573" s="7">
        <f>F1574</f>
        <v>11155.7</v>
      </c>
      <c r="G1573" s="7">
        <f>G1574</f>
        <v>0</v>
      </c>
      <c r="H1573" s="35">
        <f t="shared" si="348"/>
        <v>11155.7</v>
      </c>
      <c r="I1573" s="7">
        <f>I1574</f>
        <v>0</v>
      </c>
      <c r="J1573" s="35">
        <f t="shared" si="346"/>
        <v>11155.7</v>
      </c>
      <c r="K1573" s="7">
        <f>K1574</f>
        <v>0</v>
      </c>
      <c r="L1573" s="35">
        <f t="shared" si="352"/>
        <v>11155.7</v>
      </c>
      <c r="M1573" s="7">
        <f>M1574</f>
        <v>0</v>
      </c>
      <c r="N1573" s="35">
        <f t="shared" si="347"/>
        <v>11155.7</v>
      </c>
      <c r="O1573" s="7">
        <f>O1574</f>
        <v>0</v>
      </c>
      <c r="P1573" s="35">
        <f t="shared" si="345"/>
        <v>11155.7</v>
      </c>
      <c r="Q1573" s="7">
        <f>Q1574</f>
        <v>0</v>
      </c>
      <c r="R1573" s="35">
        <f t="shared" si="343"/>
        <v>11155.7</v>
      </c>
      <c r="S1573" s="7">
        <f>S1574</f>
        <v>0</v>
      </c>
      <c r="T1573" s="35">
        <f t="shared" si="339"/>
        <v>11155.7</v>
      </c>
    </row>
    <row r="1574" spans="1:20">
      <c r="A1574" s="61" t="str">
        <f t="shared" ca="1" si="353"/>
        <v>Расходы на выплаты персоналу муниципальных органов</v>
      </c>
      <c r="B1574" s="43" t="s">
        <v>306</v>
      </c>
      <c r="C1574" s="8" t="s">
        <v>217</v>
      </c>
      <c r="D1574" s="8" t="s">
        <v>221</v>
      </c>
      <c r="E1574" s="104">
        <v>120</v>
      </c>
      <c r="F1574" s="7">
        <f>прил.6!G1735</f>
        <v>11155.7</v>
      </c>
      <c r="G1574" s="7">
        <f>прил.6!H1735</f>
        <v>0</v>
      </c>
      <c r="H1574" s="35">
        <f t="shared" si="348"/>
        <v>11155.7</v>
      </c>
      <c r="I1574" s="7">
        <f>прил.6!J1735</f>
        <v>0</v>
      </c>
      <c r="J1574" s="35">
        <f t="shared" si="346"/>
        <v>11155.7</v>
      </c>
      <c r="K1574" s="7">
        <f>прил.6!L1735</f>
        <v>0</v>
      </c>
      <c r="L1574" s="35">
        <f t="shared" si="352"/>
        <v>11155.7</v>
      </c>
      <c r="M1574" s="7">
        <f>прил.6!N1735</f>
        <v>0</v>
      </c>
      <c r="N1574" s="35">
        <f t="shared" si="347"/>
        <v>11155.7</v>
      </c>
      <c r="O1574" s="7">
        <f>прил.6!P1735</f>
        <v>0</v>
      </c>
      <c r="P1574" s="35">
        <f t="shared" si="345"/>
        <v>11155.7</v>
      </c>
      <c r="Q1574" s="7">
        <f>прил.6!R1735</f>
        <v>0</v>
      </c>
      <c r="R1574" s="35">
        <f t="shared" si="343"/>
        <v>11155.7</v>
      </c>
      <c r="S1574" s="7">
        <f>прил.6!T1735</f>
        <v>0</v>
      </c>
      <c r="T1574" s="35">
        <f t="shared" si="339"/>
        <v>11155.7</v>
      </c>
    </row>
    <row r="1575" spans="1:20">
      <c r="A1575" s="61" t="str">
        <f t="shared" ca="1" si="353"/>
        <v>Закупка товаров, работ и услуг для муниципальных нужд</v>
      </c>
      <c r="B1575" s="43" t="s">
        <v>306</v>
      </c>
      <c r="C1575" s="8" t="s">
        <v>217</v>
      </c>
      <c r="D1575" s="8" t="s">
        <v>221</v>
      </c>
      <c r="E1575" s="104">
        <v>200</v>
      </c>
      <c r="F1575" s="7">
        <f>F1576</f>
        <v>15.4</v>
      </c>
      <c r="G1575" s="7">
        <f>G1576</f>
        <v>0</v>
      </c>
      <c r="H1575" s="35">
        <f t="shared" si="348"/>
        <v>15.4</v>
      </c>
      <c r="I1575" s="7">
        <f>I1576</f>
        <v>0</v>
      </c>
      <c r="J1575" s="35">
        <f t="shared" si="346"/>
        <v>15.4</v>
      </c>
      <c r="K1575" s="7">
        <f>K1576</f>
        <v>0</v>
      </c>
      <c r="L1575" s="35">
        <f t="shared" si="352"/>
        <v>15.4</v>
      </c>
      <c r="M1575" s="7">
        <f>M1576</f>
        <v>0</v>
      </c>
      <c r="N1575" s="35">
        <f t="shared" si="347"/>
        <v>15.4</v>
      </c>
      <c r="O1575" s="7">
        <f>O1576</f>
        <v>0</v>
      </c>
      <c r="P1575" s="35">
        <f t="shared" si="345"/>
        <v>15.4</v>
      </c>
      <c r="Q1575" s="7">
        <f>Q1576</f>
        <v>0</v>
      </c>
      <c r="R1575" s="35">
        <f t="shared" si="343"/>
        <v>15.4</v>
      </c>
      <c r="S1575" s="7">
        <f>S1576</f>
        <v>0</v>
      </c>
      <c r="T1575" s="35">
        <f t="shared" si="339"/>
        <v>15.4</v>
      </c>
    </row>
    <row r="1576" spans="1:20" ht="33">
      <c r="A1576" s="61" t="str">
        <f t="shared" ca="1" si="353"/>
        <v>Иные закупки товаров, работ и услуг для обеспечения муниципальных нужд</v>
      </c>
      <c r="B1576" s="43" t="s">
        <v>306</v>
      </c>
      <c r="C1576" s="8" t="s">
        <v>217</v>
      </c>
      <c r="D1576" s="8" t="s">
        <v>221</v>
      </c>
      <c r="E1576" s="104">
        <v>240</v>
      </c>
      <c r="F1576" s="7">
        <f>F1577</f>
        <v>15.4</v>
      </c>
      <c r="G1576" s="7">
        <f>G1577</f>
        <v>0</v>
      </c>
      <c r="H1576" s="35">
        <f t="shared" si="348"/>
        <v>15.4</v>
      </c>
      <c r="I1576" s="7">
        <f>I1577</f>
        <v>0</v>
      </c>
      <c r="J1576" s="35">
        <f t="shared" si="346"/>
        <v>15.4</v>
      </c>
      <c r="K1576" s="7">
        <f>K1577</f>
        <v>0</v>
      </c>
      <c r="L1576" s="35">
        <f t="shared" si="352"/>
        <v>15.4</v>
      </c>
      <c r="M1576" s="7">
        <f>M1577</f>
        <v>0</v>
      </c>
      <c r="N1576" s="35">
        <f t="shared" si="347"/>
        <v>15.4</v>
      </c>
      <c r="O1576" s="7">
        <f>O1577</f>
        <v>0</v>
      </c>
      <c r="P1576" s="35">
        <f t="shared" si="345"/>
        <v>15.4</v>
      </c>
      <c r="Q1576" s="7">
        <f>Q1577</f>
        <v>0</v>
      </c>
      <c r="R1576" s="35">
        <f t="shared" si="343"/>
        <v>15.4</v>
      </c>
      <c r="S1576" s="7">
        <f>S1577</f>
        <v>0</v>
      </c>
      <c r="T1576" s="35">
        <f t="shared" si="339"/>
        <v>15.4</v>
      </c>
    </row>
    <row r="1577" spans="1:20" ht="33">
      <c r="A1577" s="61" t="str">
        <f t="shared" ca="1" si="353"/>
        <v xml:space="preserve">Прочая закупка товаров, работ и услуг для обеспечения муниципальных нужд         </v>
      </c>
      <c r="B1577" s="43" t="s">
        <v>306</v>
      </c>
      <c r="C1577" s="8" t="s">
        <v>217</v>
      </c>
      <c r="D1577" s="8" t="s">
        <v>221</v>
      </c>
      <c r="E1577" s="104">
        <v>244</v>
      </c>
      <c r="F1577" s="7">
        <f>прил.6!G1738</f>
        <v>15.4</v>
      </c>
      <c r="G1577" s="7">
        <f>прил.6!H1738</f>
        <v>0</v>
      </c>
      <c r="H1577" s="35">
        <f t="shared" si="348"/>
        <v>15.4</v>
      </c>
      <c r="I1577" s="7">
        <f>прил.6!J1738</f>
        <v>0</v>
      </c>
      <c r="J1577" s="35">
        <f t="shared" si="346"/>
        <v>15.4</v>
      </c>
      <c r="K1577" s="7">
        <f>прил.6!L1738</f>
        <v>0</v>
      </c>
      <c r="L1577" s="35">
        <f t="shared" si="352"/>
        <v>15.4</v>
      </c>
      <c r="M1577" s="7">
        <f>прил.6!N1738</f>
        <v>0</v>
      </c>
      <c r="N1577" s="35">
        <f t="shared" si="347"/>
        <v>15.4</v>
      </c>
      <c r="O1577" s="7">
        <f>прил.6!P1738</f>
        <v>0</v>
      </c>
      <c r="P1577" s="35">
        <f t="shared" si="345"/>
        <v>15.4</v>
      </c>
      <c r="Q1577" s="7">
        <f>прил.6!R1738</f>
        <v>0</v>
      </c>
      <c r="R1577" s="35">
        <f t="shared" si="343"/>
        <v>15.4</v>
      </c>
      <c r="S1577" s="7">
        <f>прил.6!T1738</f>
        <v>0</v>
      </c>
      <c r="T1577" s="35">
        <f t="shared" si="339"/>
        <v>15.4</v>
      </c>
    </row>
    <row r="1578" spans="1:20">
      <c r="A1578" s="61" t="str">
        <f t="shared" ca="1" si="353"/>
        <v>Иные бюджетные ассигнования</v>
      </c>
      <c r="B1578" s="43" t="s">
        <v>306</v>
      </c>
      <c r="C1578" s="8" t="s">
        <v>217</v>
      </c>
      <c r="D1578" s="8" t="s">
        <v>221</v>
      </c>
      <c r="E1578" s="104">
        <v>800</v>
      </c>
      <c r="F1578" s="7">
        <f>F1579</f>
        <v>2</v>
      </c>
      <c r="G1578" s="7">
        <f>G1579</f>
        <v>0</v>
      </c>
      <c r="H1578" s="35">
        <f t="shared" si="348"/>
        <v>2</v>
      </c>
      <c r="I1578" s="7">
        <f>I1579</f>
        <v>0</v>
      </c>
      <c r="J1578" s="35">
        <f t="shared" si="346"/>
        <v>2</v>
      </c>
      <c r="K1578" s="7">
        <f>K1579</f>
        <v>0</v>
      </c>
      <c r="L1578" s="35">
        <f t="shared" si="352"/>
        <v>2</v>
      </c>
      <c r="M1578" s="7">
        <f>M1579</f>
        <v>0</v>
      </c>
      <c r="N1578" s="35">
        <f t="shared" si="347"/>
        <v>2</v>
      </c>
      <c r="O1578" s="7">
        <f>O1579</f>
        <v>0</v>
      </c>
      <c r="P1578" s="35">
        <f t="shared" si="345"/>
        <v>2</v>
      </c>
      <c r="Q1578" s="7">
        <f>Q1579</f>
        <v>0</v>
      </c>
      <c r="R1578" s="35">
        <f t="shared" si="343"/>
        <v>2</v>
      </c>
      <c r="S1578" s="7">
        <f>S1579</f>
        <v>0</v>
      </c>
      <c r="T1578" s="35">
        <f t="shared" si="339"/>
        <v>2</v>
      </c>
    </row>
    <row r="1579" spans="1:20">
      <c r="A1579" s="61" t="str">
        <f t="shared" ca="1" si="353"/>
        <v>Уплата налогов, сборов и иных платежей</v>
      </c>
      <c r="B1579" s="43" t="s">
        <v>306</v>
      </c>
      <c r="C1579" s="8" t="s">
        <v>217</v>
      </c>
      <c r="D1579" s="8" t="s">
        <v>221</v>
      </c>
      <c r="E1579" s="104">
        <v>850</v>
      </c>
      <c r="F1579" s="7">
        <f>F1580</f>
        <v>2</v>
      </c>
      <c r="G1579" s="7">
        <f>G1580</f>
        <v>0</v>
      </c>
      <c r="H1579" s="35">
        <f t="shared" si="348"/>
        <v>2</v>
      </c>
      <c r="I1579" s="7">
        <f>I1580</f>
        <v>0</v>
      </c>
      <c r="J1579" s="35">
        <f t="shared" si="346"/>
        <v>2</v>
      </c>
      <c r="K1579" s="7">
        <f>K1580</f>
        <v>0</v>
      </c>
      <c r="L1579" s="35">
        <f t="shared" si="352"/>
        <v>2</v>
      </c>
      <c r="M1579" s="7">
        <f>M1580</f>
        <v>0</v>
      </c>
      <c r="N1579" s="35">
        <f t="shared" si="347"/>
        <v>2</v>
      </c>
      <c r="O1579" s="7">
        <f>O1580</f>
        <v>0</v>
      </c>
      <c r="P1579" s="35">
        <f t="shared" si="345"/>
        <v>2</v>
      </c>
      <c r="Q1579" s="7">
        <f>Q1580</f>
        <v>0</v>
      </c>
      <c r="R1579" s="35">
        <f t="shared" si="343"/>
        <v>2</v>
      </c>
      <c r="S1579" s="7">
        <f>S1580</f>
        <v>0</v>
      </c>
      <c r="T1579" s="35">
        <f t="shared" si="339"/>
        <v>2</v>
      </c>
    </row>
    <row r="1580" spans="1:20">
      <c r="A1580" s="61" t="str">
        <f t="shared" ca="1" si="353"/>
        <v>Уплата прочих налогов, сборов и иных платежей</v>
      </c>
      <c r="B1580" s="43" t="s">
        <v>306</v>
      </c>
      <c r="C1580" s="8" t="s">
        <v>217</v>
      </c>
      <c r="D1580" s="8" t="s">
        <v>221</v>
      </c>
      <c r="E1580" s="104">
        <v>852</v>
      </c>
      <c r="F1580" s="7">
        <f>прил.6!G1741</f>
        <v>2</v>
      </c>
      <c r="G1580" s="7">
        <f>прил.6!H1741</f>
        <v>0</v>
      </c>
      <c r="H1580" s="35">
        <f t="shared" si="348"/>
        <v>2</v>
      </c>
      <c r="I1580" s="7">
        <f>прил.6!J1741</f>
        <v>0</v>
      </c>
      <c r="J1580" s="35">
        <f t="shared" si="346"/>
        <v>2</v>
      </c>
      <c r="K1580" s="7">
        <f>прил.6!L1741</f>
        <v>0</v>
      </c>
      <c r="L1580" s="35">
        <f t="shared" si="352"/>
        <v>2</v>
      </c>
      <c r="M1580" s="7">
        <f>прил.6!N1741</f>
        <v>0</v>
      </c>
      <c r="N1580" s="35">
        <f t="shared" si="347"/>
        <v>2</v>
      </c>
      <c r="O1580" s="7">
        <f>прил.6!P1741</f>
        <v>0</v>
      </c>
      <c r="P1580" s="35">
        <f t="shared" si="345"/>
        <v>2</v>
      </c>
      <c r="Q1580" s="7">
        <f>прил.6!R1741</f>
        <v>0</v>
      </c>
      <c r="R1580" s="35">
        <f t="shared" si="343"/>
        <v>2</v>
      </c>
      <c r="S1580" s="7">
        <f>прил.6!T1741</f>
        <v>0</v>
      </c>
      <c r="T1580" s="35">
        <f t="shared" ref="T1580:T1643" si="354">R1580+S1580</f>
        <v>2</v>
      </c>
    </row>
    <row r="1581" spans="1:20">
      <c r="A1581" s="61" t="str">
        <f ca="1">IF(ISERROR(MATCH(C1581,Код_Раздел,0)),"",INDIRECT(ADDRESS(MATCH(C1581,Код_Раздел,0)+1,2,,,"Раздел")))</f>
        <v>Образование</v>
      </c>
      <c r="B1581" s="43" t="s">
        <v>306</v>
      </c>
      <c r="C1581" s="8" t="s">
        <v>195</v>
      </c>
      <c r="D1581" s="1"/>
      <c r="E1581" s="104"/>
      <c r="F1581" s="7">
        <f>F1582</f>
        <v>20820.599999999999</v>
      </c>
      <c r="G1581" s="7">
        <f>G1582</f>
        <v>0</v>
      </c>
      <c r="H1581" s="35">
        <f t="shared" si="348"/>
        <v>20820.599999999999</v>
      </c>
      <c r="I1581" s="7">
        <f>I1582</f>
        <v>0</v>
      </c>
      <c r="J1581" s="35">
        <f t="shared" si="346"/>
        <v>20820.599999999999</v>
      </c>
      <c r="K1581" s="7">
        <f>K1582</f>
        <v>0</v>
      </c>
      <c r="L1581" s="35">
        <f t="shared" si="352"/>
        <v>20820.599999999999</v>
      </c>
      <c r="M1581" s="7">
        <f>M1582</f>
        <v>0</v>
      </c>
      <c r="N1581" s="35">
        <f t="shared" si="347"/>
        <v>20820.599999999999</v>
      </c>
      <c r="O1581" s="7">
        <f>O1582</f>
        <v>0</v>
      </c>
      <c r="P1581" s="35">
        <f t="shared" si="345"/>
        <v>20820.599999999999</v>
      </c>
      <c r="Q1581" s="7">
        <f>Q1582</f>
        <v>0</v>
      </c>
      <c r="R1581" s="35">
        <f t="shared" si="343"/>
        <v>20820.599999999999</v>
      </c>
      <c r="S1581" s="7">
        <f>S1582</f>
        <v>0</v>
      </c>
      <c r="T1581" s="35">
        <f t="shared" si="354"/>
        <v>20820.599999999999</v>
      </c>
    </row>
    <row r="1582" spans="1:20">
      <c r="A1582" s="12" t="s">
        <v>251</v>
      </c>
      <c r="B1582" s="43" t="s">
        <v>306</v>
      </c>
      <c r="C1582" s="8" t="s">
        <v>195</v>
      </c>
      <c r="D1582" s="1" t="s">
        <v>219</v>
      </c>
      <c r="E1582" s="104"/>
      <c r="F1582" s="7">
        <f>F1583+F1585</f>
        <v>20820.599999999999</v>
      </c>
      <c r="G1582" s="7">
        <f>G1583+G1585</f>
        <v>0</v>
      </c>
      <c r="H1582" s="35">
        <f t="shared" si="348"/>
        <v>20820.599999999999</v>
      </c>
      <c r="I1582" s="7">
        <f>I1583+I1585</f>
        <v>0</v>
      </c>
      <c r="J1582" s="35">
        <f t="shared" si="346"/>
        <v>20820.599999999999</v>
      </c>
      <c r="K1582" s="7">
        <f>K1583+K1585</f>
        <v>0</v>
      </c>
      <c r="L1582" s="35">
        <f t="shared" si="352"/>
        <v>20820.599999999999</v>
      </c>
      <c r="M1582" s="7">
        <f>M1583+M1585</f>
        <v>0</v>
      </c>
      <c r="N1582" s="35">
        <f t="shared" si="347"/>
        <v>20820.599999999999</v>
      </c>
      <c r="O1582" s="7">
        <f>O1583+O1585</f>
        <v>0</v>
      </c>
      <c r="P1582" s="35">
        <f t="shared" si="345"/>
        <v>20820.599999999999</v>
      </c>
      <c r="Q1582" s="7">
        <f>Q1583+Q1585</f>
        <v>0</v>
      </c>
      <c r="R1582" s="35">
        <f t="shared" si="343"/>
        <v>20820.599999999999</v>
      </c>
      <c r="S1582" s="7">
        <f>S1583+S1585</f>
        <v>0</v>
      </c>
      <c r="T1582" s="35">
        <f t="shared" si="354"/>
        <v>20820.599999999999</v>
      </c>
    </row>
    <row r="1583" spans="1:20" ht="33">
      <c r="A1583" s="61" t="str">
        <f ca="1">IF(ISERROR(MATCH(E1583,Код_КВР,0)),"",INDIRECT(ADDRESS(MATCH(E1583,Код_КВР,0)+1,2,,,"КВР")))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83" s="43" t="s">
        <v>306</v>
      </c>
      <c r="C1583" s="8" t="s">
        <v>195</v>
      </c>
      <c r="D1583" s="1" t="s">
        <v>219</v>
      </c>
      <c r="E1583" s="104">
        <v>100</v>
      </c>
      <c r="F1583" s="7">
        <f>F1584</f>
        <v>20763</v>
      </c>
      <c r="G1583" s="7">
        <f>G1584</f>
        <v>0</v>
      </c>
      <c r="H1583" s="35">
        <f t="shared" si="348"/>
        <v>20763</v>
      </c>
      <c r="I1583" s="7">
        <f>I1584</f>
        <v>0</v>
      </c>
      <c r="J1583" s="35">
        <f t="shared" si="346"/>
        <v>20763</v>
      </c>
      <c r="K1583" s="7">
        <f>K1584</f>
        <v>0</v>
      </c>
      <c r="L1583" s="35">
        <f t="shared" si="352"/>
        <v>20763</v>
      </c>
      <c r="M1583" s="7">
        <f>M1584</f>
        <v>0</v>
      </c>
      <c r="N1583" s="35">
        <f t="shared" si="347"/>
        <v>20763</v>
      </c>
      <c r="O1583" s="7">
        <f>O1584</f>
        <v>0</v>
      </c>
      <c r="P1583" s="35">
        <f t="shared" si="345"/>
        <v>20763</v>
      </c>
      <c r="Q1583" s="7">
        <f>Q1584</f>
        <v>0</v>
      </c>
      <c r="R1583" s="35">
        <f t="shared" si="343"/>
        <v>20763</v>
      </c>
      <c r="S1583" s="7">
        <f>S1584</f>
        <v>0</v>
      </c>
      <c r="T1583" s="35">
        <f t="shared" si="354"/>
        <v>20763</v>
      </c>
    </row>
    <row r="1584" spans="1:20">
      <c r="A1584" s="61" t="str">
        <f ca="1">IF(ISERROR(MATCH(E1584,Код_КВР,0)),"",INDIRECT(ADDRESS(MATCH(E1584,Код_КВР,0)+1,2,,,"КВР")))</f>
        <v>Расходы на выплаты персоналу муниципальных органов</v>
      </c>
      <c r="B1584" s="43" t="s">
        <v>306</v>
      </c>
      <c r="C1584" s="8" t="s">
        <v>195</v>
      </c>
      <c r="D1584" s="1" t="s">
        <v>219</v>
      </c>
      <c r="E1584" s="104">
        <v>120</v>
      </c>
      <c r="F1584" s="7">
        <f>прил.6!G804</f>
        <v>20763</v>
      </c>
      <c r="G1584" s="7">
        <f>прил.6!H804</f>
        <v>0</v>
      </c>
      <c r="H1584" s="35">
        <f t="shared" si="348"/>
        <v>20763</v>
      </c>
      <c r="I1584" s="7">
        <f>прил.6!J804</f>
        <v>0</v>
      </c>
      <c r="J1584" s="35">
        <f t="shared" si="346"/>
        <v>20763</v>
      </c>
      <c r="K1584" s="7">
        <f>прил.6!L804</f>
        <v>0</v>
      </c>
      <c r="L1584" s="35">
        <f t="shared" si="352"/>
        <v>20763</v>
      </c>
      <c r="M1584" s="7">
        <f>прил.6!N804</f>
        <v>0</v>
      </c>
      <c r="N1584" s="35">
        <f t="shared" si="347"/>
        <v>20763</v>
      </c>
      <c r="O1584" s="7">
        <f>прил.6!P804</f>
        <v>0</v>
      </c>
      <c r="P1584" s="35">
        <f t="shared" si="345"/>
        <v>20763</v>
      </c>
      <c r="Q1584" s="7">
        <f>прил.6!R804</f>
        <v>0</v>
      </c>
      <c r="R1584" s="35">
        <f t="shared" si="343"/>
        <v>20763</v>
      </c>
      <c r="S1584" s="7">
        <f>прил.6!T804</f>
        <v>0</v>
      </c>
      <c r="T1584" s="35">
        <f t="shared" si="354"/>
        <v>20763</v>
      </c>
    </row>
    <row r="1585" spans="1:20">
      <c r="A1585" s="61" t="str">
        <f ca="1">IF(ISERROR(MATCH(E1585,Код_КВР,0)),"",INDIRECT(ADDRESS(MATCH(E1585,Код_КВР,0)+1,2,,,"КВР")))</f>
        <v>Закупка товаров, работ и услуг для муниципальных нужд</v>
      </c>
      <c r="B1585" s="43" t="s">
        <v>306</v>
      </c>
      <c r="C1585" s="8" t="s">
        <v>195</v>
      </c>
      <c r="D1585" s="1" t="s">
        <v>219</v>
      </c>
      <c r="E1585" s="104">
        <v>200</v>
      </c>
      <c r="F1585" s="7">
        <f>F1586</f>
        <v>57.6</v>
      </c>
      <c r="G1585" s="7">
        <f>G1586</f>
        <v>0</v>
      </c>
      <c r="H1585" s="35">
        <f t="shared" si="348"/>
        <v>57.6</v>
      </c>
      <c r="I1585" s="7">
        <f>I1586</f>
        <v>0</v>
      </c>
      <c r="J1585" s="35">
        <f t="shared" si="346"/>
        <v>57.6</v>
      </c>
      <c r="K1585" s="7">
        <f>K1586</f>
        <v>0</v>
      </c>
      <c r="L1585" s="35">
        <f t="shared" si="352"/>
        <v>57.6</v>
      </c>
      <c r="M1585" s="7">
        <f>M1586</f>
        <v>0</v>
      </c>
      <c r="N1585" s="35">
        <f t="shared" si="347"/>
        <v>57.6</v>
      </c>
      <c r="O1585" s="7">
        <f>O1586</f>
        <v>0</v>
      </c>
      <c r="P1585" s="35">
        <f t="shared" si="345"/>
        <v>57.6</v>
      </c>
      <c r="Q1585" s="7">
        <f>Q1586</f>
        <v>0</v>
      </c>
      <c r="R1585" s="35">
        <f t="shared" si="343"/>
        <v>57.6</v>
      </c>
      <c r="S1585" s="7">
        <f>S1586</f>
        <v>0</v>
      </c>
      <c r="T1585" s="35">
        <f t="shared" si="354"/>
        <v>57.6</v>
      </c>
    </row>
    <row r="1586" spans="1:20" ht="33">
      <c r="A1586" s="61" t="str">
        <f ca="1">IF(ISERROR(MATCH(E1586,Код_КВР,0)),"",INDIRECT(ADDRESS(MATCH(E1586,Код_КВР,0)+1,2,,,"КВР")))</f>
        <v>Иные закупки товаров, работ и услуг для обеспечения муниципальных нужд</v>
      </c>
      <c r="B1586" s="43" t="s">
        <v>306</v>
      </c>
      <c r="C1586" s="8" t="s">
        <v>195</v>
      </c>
      <c r="D1586" s="1" t="s">
        <v>219</v>
      </c>
      <c r="E1586" s="104">
        <v>240</v>
      </c>
      <c r="F1586" s="7">
        <f>F1587</f>
        <v>57.6</v>
      </c>
      <c r="G1586" s="7">
        <f>G1587</f>
        <v>0</v>
      </c>
      <c r="H1586" s="35">
        <f t="shared" si="348"/>
        <v>57.6</v>
      </c>
      <c r="I1586" s="7">
        <f>I1587</f>
        <v>0</v>
      </c>
      <c r="J1586" s="35">
        <f t="shared" si="346"/>
        <v>57.6</v>
      </c>
      <c r="K1586" s="7">
        <f>K1587</f>
        <v>0</v>
      </c>
      <c r="L1586" s="35">
        <f t="shared" si="352"/>
        <v>57.6</v>
      </c>
      <c r="M1586" s="7">
        <f>M1587</f>
        <v>0</v>
      </c>
      <c r="N1586" s="35">
        <f t="shared" si="347"/>
        <v>57.6</v>
      </c>
      <c r="O1586" s="7">
        <f>O1587</f>
        <v>0</v>
      </c>
      <c r="P1586" s="35">
        <f t="shared" si="345"/>
        <v>57.6</v>
      </c>
      <c r="Q1586" s="7">
        <f>Q1587</f>
        <v>0</v>
      </c>
      <c r="R1586" s="35">
        <f t="shared" si="343"/>
        <v>57.6</v>
      </c>
      <c r="S1586" s="7">
        <f>S1587</f>
        <v>0</v>
      </c>
      <c r="T1586" s="35">
        <f t="shared" si="354"/>
        <v>57.6</v>
      </c>
    </row>
    <row r="1587" spans="1:20" ht="33">
      <c r="A1587" s="61" t="str">
        <f ca="1">IF(ISERROR(MATCH(E1587,Код_КВР,0)),"",INDIRECT(ADDRESS(MATCH(E1587,Код_КВР,0)+1,2,,,"КВР")))</f>
        <v xml:space="preserve">Прочая закупка товаров, работ и услуг для обеспечения муниципальных нужд         </v>
      </c>
      <c r="B1587" s="43" t="s">
        <v>306</v>
      </c>
      <c r="C1587" s="8" t="s">
        <v>195</v>
      </c>
      <c r="D1587" s="1" t="s">
        <v>219</v>
      </c>
      <c r="E1587" s="104">
        <v>244</v>
      </c>
      <c r="F1587" s="7">
        <f>прил.6!G807</f>
        <v>57.6</v>
      </c>
      <c r="G1587" s="7">
        <f>прил.6!H807</f>
        <v>0</v>
      </c>
      <c r="H1587" s="35">
        <f t="shared" si="348"/>
        <v>57.6</v>
      </c>
      <c r="I1587" s="7">
        <f>прил.6!J807</f>
        <v>0</v>
      </c>
      <c r="J1587" s="35">
        <f t="shared" si="346"/>
        <v>57.6</v>
      </c>
      <c r="K1587" s="7">
        <f>прил.6!L807</f>
        <v>0</v>
      </c>
      <c r="L1587" s="35">
        <f t="shared" si="352"/>
        <v>57.6</v>
      </c>
      <c r="M1587" s="7">
        <f>прил.6!N807</f>
        <v>0</v>
      </c>
      <c r="N1587" s="35">
        <f t="shared" si="347"/>
        <v>57.6</v>
      </c>
      <c r="O1587" s="7">
        <f>прил.6!P807</f>
        <v>0</v>
      </c>
      <c r="P1587" s="35">
        <f t="shared" si="345"/>
        <v>57.6</v>
      </c>
      <c r="Q1587" s="7">
        <f>прил.6!R807</f>
        <v>0</v>
      </c>
      <c r="R1587" s="35">
        <f t="shared" si="343"/>
        <v>57.6</v>
      </c>
      <c r="S1587" s="7">
        <f>прил.6!T807</f>
        <v>0</v>
      </c>
      <c r="T1587" s="35">
        <f t="shared" si="354"/>
        <v>57.6</v>
      </c>
    </row>
    <row r="1588" spans="1:20">
      <c r="A1588" s="61" t="str">
        <f ca="1">IF(ISERROR(MATCH(C1588,Код_Раздел,0)),"",INDIRECT(ADDRESS(MATCH(C1588,Код_Раздел,0)+1,2,,,"Раздел")))</f>
        <v>Культура, кинематография</v>
      </c>
      <c r="B1588" s="43" t="s">
        <v>306</v>
      </c>
      <c r="C1588" s="8" t="s">
        <v>222</v>
      </c>
      <c r="D1588" s="1"/>
      <c r="E1588" s="104"/>
      <c r="F1588" s="7">
        <f>F1589</f>
        <v>8849.2999999999993</v>
      </c>
      <c r="G1588" s="7">
        <f>G1589</f>
        <v>0</v>
      </c>
      <c r="H1588" s="35">
        <f t="shared" si="348"/>
        <v>8849.2999999999993</v>
      </c>
      <c r="I1588" s="7">
        <f>I1589</f>
        <v>0</v>
      </c>
      <c r="J1588" s="35">
        <f t="shared" si="346"/>
        <v>8849.2999999999993</v>
      </c>
      <c r="K1588" s="7">
        <f>K1589</f>
        <v>0</v>
      </c>
      <c r="L1588" s="35">
        <f t="shared" si="352"/>
        <v>8849.2999999999993</v>
      </c>
      <c r="M1588" s="7">
        <f>M1589</f>
        <v>0</v>
      </c>
      <c r="N1588" s="35">
        <f t="shared" si="347"/>
        <v>8849.2999999999993</v>
      </c>
      <c r="O1588" s="7">
        <f>O1589</f>
        <v>0</v>
      </c>
      <c r="P1588" s="35">
        <f t="shared" si="345"/>
        <v>8849.2999999999993</v>
      </c>
      <c r="Q1588" s="7">
        <f>Q1589</f>
        <v>0</v>
      </c>
      <c r="R1588" s="35">
        <f t="shared" si="343"/>
        <v>8849.2999999999993</v>
      </c>
      <c r="S1588" s="7">
        <f>S1589</f>
        <v>-75</v>
      </c>
      <c r="T1588" s="35">
        <f t="shared" si="354"/>
        <v>8774.2999999999993</v>
      </c>
    </row>
    <row r="1589" spans="1:20">
      <c r="A1589" s="12" t="s">
        <v>163</v>
      </c>
      <c r="B1589" s="43" t="s">
        <v>306</v>
      </c>
      <c r="C1589" s="8" t="s">
        <v>222</v>
      </c>
      <c r="D1589" s="1" t="s">
        <v>216</v>
      </c>
      <c r="E1589" s="104"/>
      <c r="F1589" s="7">
        <f>F1590+F1592+F1595</f>
        <v>8849.2999999999993</v>
      </c>
      <c r="G1589" s="7">
        <f>G1590+G1592+G1595</f>
        <v>0</v>
      </c>
      <c r="H1589" s="35">
        <f t="shared" si="348"/>
        <v>8849.2999999999993</v>
      </c>
      <c r="I1589" s="7">
        <f>I1590+I1592+I1595</f>
        <v>0</v>
      </c>
      <c r="J1589" s="35">
        <f t="shared" si="346"/>
        <v>8849.2999999999993</v>
      </c>
      <c r="K1589" s="7">
        <f>K1590+K1592+K1595</f>
        <v>0</v>
      </c>
      <c r="L1589" s="35">
        <f t="shared" si="352"/>
        <v>8849.2999999999993</v>
      </c>
      <c r="M1589" s="7">
        <f>M1590+M1592+M1595</f>
        <v>0</v>
      </c>
      <c r="N1589" s="35">
        <f t="shared" si="347"/>
        <v>8849.2999999999993</v>
      </c>
      <c r="O1589" s="7">
        <f>O1590+O1592+O1595</f>
        <v>0</v>
      </c>
      <c r="P1589" s="35">
        <f t="shared" si="345"/>
        <v>8849.2999999999993</v>
      </c>
      <c r="Q1589" s="7">
        <f>Q1590+Q1592+Q1595</f>
        <v>0</v>
      </c>
      <c r="R1589" s="35">
        <f t="shared" si="343"/>
        <v>8849.2999999999993</v>
      </c>
      <c r="S1589" s="7">
        <f>S1590+S1592+S1595</f>
        <v>-75</v>
      </c>
      <c r="T1589" s="35">
        <f t="shared" si="354"/>
        <v>8774.2999999999993</v>
      </c>
    </row>
    <row r="1590" spans="1:20" ht="33">
      <c r="A1590" s="61" t="str">
        <f t="shared" ref="A1590:A1597" ca="1" si="355">IF(ISERROR(MATCH(E1590,Код_КВР,0)),"",INDIRECT(ADDRESS(MATCH(E1590,Код_КВР,0)+1,2,,,"КВР")))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90" s="43" t="s">
        <v>306</v>
      </c>
      <c r="C1590" s="8" t="s">
        <v>222</v>
      </c>
      <c r="D1590" s="1" t="s">
        <v>216</v>
      </c>
      <c r="E1590" s="104">
        <v>100</v>
      </c>
      <c r="F1590" s="7">
        <f>F1591</f>
        <v>8833.5</v>
      </c>
      <c r="G1590" s="7">
        <f>G1591</f>
        <v>0</v>
      </c>
      <c r="H1590" s="35">
        <f t="shared" si="348"/>
        <v>8833.5</v>
      </c>
      <c r="I1590" s="7">
        <f>I1591</f>
        <v>0</v>
      </c>
      <c r="J1590" s="35">
        <f t="shared" si="346"/>
        <v>8833.5</v>
      </c>
      <c r="K1590" s="7">
        <f>K1591</f>
        <v>0</v>
      </c>
      <c r="L1590" s="35">
        <f t="shared" si="352"/>
        <v>8833.5</v>
      </c>
      <c r="M1590" s="7">
        <f>M1591</f>
        <v>0</v>
      </c>
      <c r="N1590" s="35">
        <f t="shared" si="347"/>
        <v>8833.5</v>
      </c>
      <c r="O1590" s="7">
        <f>O1591</f>
        <v>0</v>
      </c>
      <c r="P1590" s="35">
        <f t="shared" si="345"/>
        <v>8833.5</v>
      </c>
      <c r="Q1590" s="7">
        <f>Q1591</f>
        <v>0</v>
      </c>
      <c r="R1590" s="35">
        <f t="shared" si="343"/>
        <v>8833.5</v>
      </c>
      <c r="S1590" s="7">
        <f>S1591</f>
        <v>-73.5</v>
      </c>
      <c r="T1590" s="35">
        <f t="shared" si="354"/>
        <v>8760</v>
      </c>
    </row>
    <row r="1591" spans="1:20">
      <c r="A1591" s="61" t="str">
        <f t="shared" ca="1" si="355"/>
        <v>Расходы на выплаты персоналу муниципальных органов</v>
      </c>
      <c r="B1591" s="43" t="s">
        <v>306</v>
      </c>
      <c r="C1591" s="8" t="s">
        <v>222</v>
      </c>
      <c r="D1591" s="1" t="s">
        <v>216</v>
      </c>
      <c r="E1591" s="104">
        <v>120</v>
      </c>
      <c r="F1591" s="7">
        <f>прил.6!G1183</f>
        <v>8833.5</v>
      </c>
      <c r="G1591" s="7">
        <f>прил.6!H1183</f>
        <v>0</v>
      </c>
      <c r="H1591" s="35">
        <f t="shared" si="348"/>
        <v>8833.5</v>
      </c>
      <c r="I1591" s="7">
        <f>прил.6!J1183</f>
        <v>0</v>
      </c>
      <c r="J1591" s="35">
        <f t="shared" si="346"/>
        <v>8833.5</v>
      </c>
      <c r="K1591" s="7">
        <f>прил.6!L1183</f>
        <v>0</v>
      </c>
      <c r="L1591" s="35">
        <f t="shared" si="352"/>
        <v>8833.5</v>
      </c>
      <c r="M1591" s="7">
        <f>прил.6!N1183</f>
        <v>0</v>
      </c>
      <c r="N1591" s="35">
        <f t="shared" si="347"/>
        <v>8833.5</v>
      </c>
      <c r="O1591" s="7">
        <f>прил.6!P1183</f>
        <v>0</v>
      </c>
      <c r="P1591" s="35">
        <f t="shared" si="345"/>
        <v>8833.5</v>
      </c>
      <c r="Q1591" s="7">
        <f>прил.6!R1183</f>
        <v>0</v>
      </c>
      <c r="R1591" s="35">
        <f t="shared" si="343"/>
        <v>8833.5</v>
      </c>
      <c r="S1591" s="7">
        <f>прил.6!T1183</f>
        <v>-73.5</v>
      </c>
      <c r="T1591" s="35">
        <f t="shared" si="354"/>
        <v>8760</v>
      </c>
    </row>
    <row r="1592" spans="1:20">
      <c r="A1592" s="61" t="str">
        <f t="shared" ca="1" si="355"/>
        <v>Закупка товаров, работ и услуг для муниципальных нужд</v>
      </c>
      <c r="B1592" s="43" t="s">
        <v>306</v>
      </c>
      <c r="C1592" s="8" t="s">
        <v>222</v>
      </c>
      <c r="D1592" s="1" t="s">
        <v>216</v>
      </c>
      <c r="E1592" s="104">
        <v>200</v>
      </c>
      <c r="F1592" s="7">
        <f>F1593</f>
        <v>14.3</v>
      </c>
      <c r="G1592" s="7">
        <f>G1593</f>
        <v>0</v>
      </c>
      <c r="H1592" s="35">
        <f t="shared" si="348"/>
        <v>14.3</v>
      </c>
      <c r="I1592" s="7">
        <f>I1593</f>
        <v>0</v>
      </c>
      <c r="J1592" s="35">
        <f t="shared" si="346"/>
        <v>14.3</v>
      </c>
      <c r="K1592" s="7">
        <f>K1593</f>
        <v>0</v>
      </c>
      <c r="L1592" s="35">
        <f t="shared" si="352"/>
        <v>14.3</v>
      </c>
      <c r="M1592" s="7">
        <f>M1593</f>
        <v>0</v>
      </c>
      <c r="N1592" s="35">
        <f t="shared" si="347"/>
        <v>14.3</v>
      </c>
      <c r="O1592" s="7">
        <f>O1593</f>
        <v>0</v>
      </c>
      <c r="P1592" s="35">
        <f t="shared" si="345"/>
        <v>14.3</v>
      </c>
      <c r="Q1592" s="7">
        <f>Q1593</f>
        <v>0</v>
      </c>
      <c r="R1592" s="35">
        <f t="shared" si="343"/>
        <v>14.3</v>
      </c>
      <c r="S1592" s="7">
        <f>S1593</f>
        <v>-1.5</v>
      </c>
      <c r="T1592" s="35">
        <f t="shared" si="354"/>
        <v>12.8</v>
      </c>
    </row>
    <row r="1593" spans="1:20" ht="33">
      <c r="A1593" s="61" t="str">
        <f t="shared" ca="1" si="355"/>
        <v>Иные закупки товаров, работ и услуг для обеспечения муниципальных нужд</v>
      </c>
      <c r="B1593" s="43" t="s">
        <v>306</v>
      </c>
      <c r="C1593" s="8" t="s">
        <v>222</v>
      </c>
      <c r="D1593" s="1" t="s">
        <v>216</v>
      </c>
      <c r="E1593" s="104">
        <v>240</v>
      </c>
      <c r="F1593" s="7">
        <f>F1594</f>
        <v>14.3</v>
      </c>
      <c r="G1593" s="7">
        <f>G1594</f>
        <v>0</v>
      </c>
      <c r="H1593" s="35">
        <f t="shared" si="348"/>
        <v>14.3</v>
      </c>
      <c r="I1593" s="7">
        <f>I1594</f>
        <v>0</v>
      </c>
      <c r="J1593" s="35">
        <f t="shared" si="346"/>
        <v>14.3</v>
      </c>
      <c r="K1593" s="7">
        <f>K1594</f>
        <v>0</v>
      </c>
      <c r="L1593" s="35">
        <f t="shared" si="352"/>
        <v>14.3</v>
      </c>
      <c r="M1593" s="7">
        <f>M1594</f>
        <v>0</v>
      </c>
      <c r="N1593" s="35">
        <f t="shared" si="347"/>
        <v>14.3</v>
      </c>
      <c r="O1593" s="7">
        <f>O1594</f>
        <v>0</v>
      </c>
      <c r="P1593" s="35">
        <f t="shared" si="345"/>
        <v>14.3</v>
      </c>
      <c r="Q1593" s="7">
        <f>Q1594</f>
        <v>0</v>
      </c>
      <c r="R1593" s="35">
        <f t="shared" si="343"/>
        <v>14.3</v>
      </c>
      <c r="S1593" s="7">
        <f>S1594</f>
        <v>-1.5</v>
      </c>
      <c r="T1593" s="35">
        <f t="shared" si="354"/>
        <v>12.8</v>
      </c>
    </row>
    <row r="1594" spans="1:20" ht="33">
      <c r="A1594" s="61" t="str">
        <f t="shared" ca="1" si="355"/>
        <v xml:space="preserve">Прочая закупка товаров, работ и услуг для обеспечения муниципальных нужд         </v>
      </c>
      <c r="B1594" s="43" t="s">
        <v>306</v>
      </c>
      <c r="C1594" s="8" t="s">
        <v>222</v>
      </c>
      <c r="D1594" s="1" t="s">
        <v>216</v>
      </c>
      <c r="E1594" s="104">
        <v>244</v>
      </c>
      <c r="F1594" s="7">
        <f>прил.6!G1186</f>
        <v>14.3</v>
      </c>
      <c r="G1594" s="7">
        <f>прил.6!H1186</f>
        <v>0</v>
      </c>
      <c r="H1594" s="35">
        <f t="shared" si="348"/>
        <v>14.3</v>
      </c>
      <c r="I1594" s="7">
        <f>прил.6!J1186</f>
        <v>0</v>
      </c>
      <c r="J1594" s="35">
        <f t="shared" si="346"/>
        <v>14.3</v>
      </c>
      <c r="K1594" s="7">
        <f>прил.6!L1186</f>
        <v>0</v>
      </c>
      <c r="L1594" s="35">
        <f t="shared" si="352"/>
        <v>14.3</v>
      </c>
      <c r="M1594" s="7">
        <f>прил.6!N1186</f>
        <v>0</v>
      </c>
      <c r="N1594" s="35">
        <f t="shared" si="347"/>
        <v>14.3</v>
      </c>
      <c r="O1594" s="7">
        <f>прил.6!P1186</f>
        <v>0</v>
      </c>
      <c r="P1594" s="35">
        <f t="shared" si="345"/>
        <v>14.3</v>
      </c>
      <c r="Q1594" s="7">
        <f>прил.6!R1186</f>
        <v>0</v>
      </c>
      <c r="R1594" s="35">
        <f t="shared" si="343"/>
        <v>14.3</v>
      </c>
      <c r="S1594" s="7">
        <f>прил.6!T1186</f>
        <v>-1.5</v>
      </c>
      <c r="T1594" s="35">
        <f t="shared" si="354"/>
        <v>12.8</v>
      </c>
    </row>
    <row r="1595" spans="1:20">
      <c r="A1595" s="61" t="str">
        <f t="shared" ca="1" si="355"/>
        <v>Иные бюджетные ассигнования</v>
      </c>
      <c r="B1595" s="43" t="s">
        <v>306</v>
      </c>
      <c r="C1595" s="8" t="s">
        <v>222</v>
      </c>
      <c r="D1595" s="1" t="s">
        <v>216</v>
      </c>
      <c r="E1595" s="104">
        <v>800</v>
      </c>
      <c r="F1595" s="7">
        <f>F1596</f>
        <v>1.5</v>
      </c>
      <c r="G1595" s="7">
        <f>G1596</f>
        <v>0</v>
      </c>
      <c r="H1595" s="35">
        <f t="shared" si="348"/>
        <v>1.5</v>
      </c>
      <c r="I1595" s="7">
        <f>I1596</f>
        <v>0</v>
      </c>
      <c r="J1595" s="35">
        <f t="shared" si="346"/>
        <v>1.5</v>
      </c>
      <c r="K1595" s="7">
        <f>K1596</f>
        <v>0</v>
      </c>
      <c r="L1595" s="35">
        <f t="shared" si="352"/>
        <v>1.5</v>
      </c>
      <c r="M1595" s="7">
        <f>M1596</f>
        <v>0</v>
      </c>
      <c r="N1595" s="35">
        <f t="shared" si="347"/>
        <v>1.5</v>
      </c>
      <c r="O1595" s="7">
        <f>O1596</f>
        <v>0</v>
      </c>
      <c r="P1595" s="35">
        <f t="shared" si="345"/>
        <v>1.5</v>
      </c>
      <c r="Q1595" s="7">
        <f>Q1596</f>
        <v>0</v>
      </c>
      <c r="R1595" s="35">
        <f t="shared" si="343"/>
        <v>1.5</v>
      </c>
      <c r="S1595" s="7">
        <f>S1596</f>
        <v>0</v>
      </c>
      <c r="T1595" s="35">
        <f t="shared" si="354"/>
        <v>1.5</v>
      </c>
    </row>
    <row r="1596" spans="1:20">
      <c r="A1596" s="61" t="str">
        <f t="shared" ca="1" si="355"/>
        <v>Уплата налогов, сборов и иных платежей</v>
      </c>
      <c r="B1596" s="43" t="s">
        <v>306</v>
      </c>
      <c r="C1596" s="8" t="s">
        <v>222</v>
      </c>
      <c r="D1596" s="1" t="s">
        <v>216</v>
      </c>
      <c r="E1596" s="104">
        <v>850</v>
      </c>
      <c r="F1596" s="7">
        <f>F1597</f>
        <v>1.5</v>
      </c>
      <c r="G1596" s="7">
        <f>G1597</f>
        <v>0</v>
      </c>
      <c r="H1596" s="35">
        <f t="shared" si="348"/>
        <v>1.5</v>
      </c>
      <c r="I1596" s="7">
        <f>I1597</f>
        <v>0</v>
      </c>
      <c r="J1596" s="35">
        <f t="shared" si="346"/>
        <v>1.5</v>
      </c>
      <c r="K1596" s="7">
        <f>K1597</f>
        <v>0</v>
      </c>
      <c r="L1596" s="35">
        <f t="shared" si="352"/>
        <v>1.5</v>
      </c>
      <c r="M1596" s="7">
        <f>M1597</f>
        <v>0</v>
      </c>
      <c r="N1596" s="35">
        <f t="shared" si="347"/>
        <v>1.5</v>
      </c>
      <c r="O1596" s="7">
        <f>O1597</f>
        <v>0</v>
      </c>
      <c r="P1596" s="35">
        <f t="shared" si="345"/>
        <v>1.5</v>
      </c>
      <c r="Q1596" s="7">
        <f>Q1597</f>
        <v>0</v>
      </c>
      <c r="R1596" s="35">
        <f t="shared" si="343"/>
        <v>1.5</v>
      </c>
      <c r="S1596" s="7">
        <f>S1597</f>
        <v>0</v>
      </c>
      <c r="T1596" s="35">
        <f t="shared" si="354"/>
        <v>1.5</v>
      </c>
    </row>
    <row r="1597" spans="1:20">
      <c r="A1597" s="61" t="str">
        <f t="shared" ca="1" si="355"/>
        <v>Уплата прочих налогов, сборов и иных платежей</v>
      </c>
      <c r="B1597" s="43" t="s">
        <v>306</v>
      </c>
      <c r="C1597" s="8" t="s">
        <v>222</v>
      </c>
      <c r="D1597" s="1" t="s">
        <v>216</v>
      </c>
      <c r="E1597" s="104">
        <v>852</v>
      </c>
      <c r="F1597" s="7">
        <f>прил.6!G1189</f>
        <v>1.5</v>
      </c>
      <c r="G1597" s="7">
        <f>прил.6!H1189</f>
        <v>0</v>
      </c>
      <c r="H1597" s="35">
        <f t="shared" si="348"/>
        <v>1.5</v>
      </c>
      <c r="I1597" s="7">
        <f>прил.6!J1189</f>
        <v>0</v>
      </c>
      <c r="J1597" s="35">
        <f t="shared" si="346"/>
        <v>1.5</v>
      </c>
      <c r="K1597" s="7">
        <f>прил.6!L1189</f>
        <v>0</v>
      </c>
      <c r="L1597" s="35">
        <f t="shared" si="352"/>
        <v>1.5</v>
      </c>
      <c r="M1597" s="7">
        <f>прил.6!N1189</f>
        <v>0</v>
      </c>
      <c r="N1597" s="35">
        <f t="shared" si="347"/>
        <v>1.5</v>
      </c>
      <c r="O1597" s="7">
        <f>прил.6!P1189</f>
        <v>0</v>
      </c>
      <c r="P1597" s="35">
        <f t="shared" si="345"/>
        <v>1.5</v>
      </c>
      <c r="Q1597" s="7">
        <f>прил.6!R1189</f>
        <v>0</v>
      </c>
      <c r="R1597" s="35">
        <f t="shared" si="343"/>
        <v>1.5</v>
      </c>
      <c r="S1597" s="7">
        <f>прил.6!T1189</f>
        <v>0</v>
      </c>
      <c r="T1597" s="35">
        <f t="shared" si="354"/>
        <v>1.5</v>
      </c>
    </row>
    <row r="1598" spans="1:20">
      <c r="A1598" s="61" t="str">
        <f ca="1">IF(ISERROR(MATCH(C1598,Код_Раздел,0)),"",INDIRECT(ADDRESS(MATCH(C1598,Код_Раздел,0)+1,2,,,"Раздел")))</f>
        <v>Социальная политика</v>
      </c>
      <c r="B1598" s="43" t="s">
        <v>306</v>
      </c>
      <c r="C1598" s="8" t="s">
        <v>188</v>
      </c>
      <c r="D1598" s="1"/>
      <c r="E1598" s="104"/>
      <c r="F1598" s="7">
        <f>F1599</f>
        <v>15807.9</v>
      </c>
      <c r="G1598" s="7">
        <f>G1599</f>
        <v>0</v>
      </c>
      <c r="H1598" s="35">
        <f t="shared" si="348"/>
        <v>15807.9</v>
      </c>
      <c r="I1598" s="7">
        <f>I1599</f>
        <v>-718.2</v>
      </c>
      <c r="J1598" s="35">
        <f t="shared" si="346"/>
        <v>15089.699999999999</v>
      </c>
      <c r="K1598" s="7">
        <f>K1599</f>
        <v>0</v>
      </c>
      <c r="L1598" s="35">
        <f t="shared" si="352"/>
        <v>15089.699999999999</v>
      </c>
      <c r="M1598" s="7">
        <f>M1599</f>
        <v>0</v>
      </c>
      <c r="N1598" s="35">
        <f t="shared" si="347"/>
        <v>15089.699999999999</v>
      </c>
      <c r="O1598" s="7">
        <f>O1599</f>
        <v>0</v>
      </c>
      <c r="P1598" s="35">
        <f t="shared" si="345"/>
        <v>15089.699999999999</v>
      </c>
      <c r="Q1598" s="7">
        <f>Q1599</f>
        <v>-1213.8</v>
      </c>
      <c r="R1598" s="35">
        <f t="shared" ref="R1598:R1666" si="356">P1598+Q1598</f>
        <v>13875.9</v>
      </c>
      <c r="S1598" s="7">
        <f>S1599</f>
        <v>0</v>
      </c>
      <c r="T1598" s="35">
        <f t="shared" si="354"/>
        <v>13875.9</v>
      </c>
    </row>
    <row r="1599" spans="1:20">
      <c r="A1599" s="12" t="s">
        <v>189</v>
      </c>
      <c r="B1599" s="43" t="s">
        <v>306</v>
      </c>
      <c r="C1599" s="8" t="s">
        <v>188</v>
      </c>
      <c r="D1599" s="1" t="s">
        <v>217</v>
      </c>
      <c r="E1599" s="104"/>
      <c r="F1599" s="7">
        <f>F1600+F1602</f>
        <v>15807.9</v>
      </c>
      <c r="G1599" s="7">
        <f>G1600+G1602</f>
        <v>0</v>
      </c>
      <c r="H1599" s="35">
        <f t="shared" si="348"/>
        <v>15807.9</v>
      </c>
      <c r="I1599" s="7">
        <f>I1600+I1602</f>
        <v>-718.2</v>
      </c>
      <c r="J1599" s="35">
        <f t="shared" si="346"/>
        <v>15089.699999999999</v>
      </c>
      <c r="K1599" s="7">
        <f>K1600+K1602</f>
        <v>0</v>
      </c>
      <c r="L1599" s="35">
        <f t="shared" si="352"/>
        <v>15089.699999999999</v>
      </c>
      <c r="M1599" s="7">
        <f>M1600+M1602</f>
        <v>0</v>
      </c>
      <c r="N1599" s="35">
        <f t="shared" si="347"/>
        <v>15089.699999999999</v>
      </c>
      <c r="O1599" s="7">
        <f>O1600+O1602</f>
        <v>0</v>
      </c>
      <c r="P1599" s="35">
        <f t="shared" si="345"/>
        <v>15089.699999999999</v>
      </c>
      <c r="Q1599" s="7">
        <f>Q1600+Q1602</f>
        <v>-1213.8</v>
      </c>
      <c r="R1599" s="35">
        <f t="shared" si="356"/>
        <v>13875.9</v>
      </c>
      <c r="S1599" s="7">
        <f>S1600+S1602</f>
        <v>0</v>
      </c>
      <c r="T1599" s="35">
        <f t="shared" si="354"/>
        <v>13875.9</v>
      </c>
    </row>
    <row r="1600" spans="1:20" ht="39" customHeight="1">
      <c r="A1600" s="61" t="str">
        <f ca="1">IF(ISERROR(MATCH(E1600,Код_КВР,0)),"",INDIRECT(ADDRESS(MATCH(E1600,Код_КВР,0)+1,2,,,"КВР")))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600" s="43" t="s">
        <v>306</v>
      </c>
      <c r="C1600" s="8" t="s">
        <v>188</v>
      </c>
      <c r="D1600" s="1" t="s">
        <v>217</v>
      </c>
      <c r="E1600" s="104">
        <v>100</v>
      </c>
      <c r="F1600" s="7">
        <f>F1601</f>
        <v>14842.3</v>
      </c>
      <c r="G1600" s="7">
        <f>G1601</f>
        <v>0</v>
      </c>
      <c r="H1600" s="35">
        <f t="shared" si="348"/>
        <v>14842.3</v>
      </c>
      <c r="I1600" s="7">
        <f>I1601</f>
        <v>0</v>
      </c>
      <c r="J1600" s="35">
        <f t="shared" si="346"/>
        <v>14842.3</v>
      </c>
      <c r="K1600" s="7">
        <f>K1601</f>
        <v>0</v>
      </c>
      <c r="L1600" s="35">
        <f t="shared" si="352"/>
        <v>14842.3</v>
      </c>
      <c r="M1600" s="7">
        <f>M1601</f>
        <v>0</v>
      </c>
      <c r="N1600" s="35">
        <f t="shared" si="347"/>
        <v>14842.3</v>
      </c>
      <c r="O1600" s="7">
        <f>O1601</f>
        <v>0</v>
      </c>
      <c r="P1600" s="35">
        <f t="shared" si="345"/>
        <v>14842.3</v>
      </c>
      <c r="Q1600" s="7">
        <f>Q1601</f>
        <v>-1213.8</v>
      </c>
      <c r="R1600" s="35">
        <f t="shared" si="356"/>
        <v>13628.5</v>
      </c>
      <c r="S1600" s="7">
        <f>S1601</f>
        <v>0</v>
      </c>
      <c r="T1600" s="35">
        <f t="shared" si="354"/>
        <v>13628.5</v>
      </c>
    </row>
    <row r="1601" spans="1:20">
      <c r="A1601" s="61" t="str">
        <f ca="1">IF(ISERROR(MATCH(E1601,Код_КВР,0)),"",INDIRECT(ADDRESS(MATCH(E1601,Код_КВР,0)+1,2,,,"КВР")))</f>
        <v>Расходы на выплаты персоналу муниципальных органов</v>
      </c>
      <c r="B1601" s="43" t="s">
        <v>306</v>
      </c>
      <c r="C1601" s="8" t="s">
        <v>188</v>
      </c>
      <c r="D1601" s="1" t="s">
        <v>217</v>
      </c>
      <c r="E1601" s="104">
        <v>120</v>
      </c>
      <c r="F1601" s="7">
        <f>прил.6!G1449</f>
        <v>14842.3</v>
      </c>
      <c r="G1601" s="7">
        <f>прил.6!H1449</f>
        <v>0</v>
      </c>
      <c r="H1601" s="35">
        <f t="shared" si="348"/>
        <v>14842.3</v>
      </c>
      <c r="I1601" s="7">
        <f>прил.6!J1449</f>
        <v>0</v>
      </c>
      <c r="J1601" s="35">
        <f t="shared" si="346"/>
        <v>14842.3</v>
      </c>
      <c r="K1601" s="7">
        <f>прил.6!L1449</f>
        <v>0</v>
      </c>
      <c r="L1601" s="35">
        <f t="shared" si="352"/>
        <v>14842.3</v>
      </c>
      <c r="M1601" s="7">
        <f>прил.6!N1449</f>
        <v>0</v>
      </c>
      <c r="N1601" s="35">
        <f t="shared" si="347"/>
        <v>14842.3</v>
      </c>
      <c r="O1601" s="7">
        <f>прил.6!P1449</f>
        <v>0</v>
      </c>
      <c r="P1601" s="35">
        <f t="shared" si="345"/>
        <v>14842.3</v>
      </c>
      <c r="Q1601" s="7">
        <f>прил.6!R1449</f>
        <v>-1213.8</v>
      </c>
      <c r="R1601" s="35">
        <f t="shared" si="356"/>
        <v>13628.5</v>
      </c>
      <c r="S1601" s="7">
        <f>прил.6!T1449</f>
        <v>0</v>
      </c>
      <c r="T1601" s="35">
        <f t="shared" si="354"/>
        <v>13628.5</v>
      </c>
    </row>
    <row r="1602" spans="1:20">
      <c r="A1602" s="61" t="str">
        <f ca="1">IF(ISERROR(MATCH(E1602,Код_КВР,0)),"",INDIRECT(ADDRESS(MATCH(E1602,Код_КВР,0)+1,2,,,"КВР")))</f>
        <v>Закупка товаров, работ и услуг для муниципальных нужд</v>
      </c>
      <c r="B1602" s="43" t="s">
        <v>306</v>
      </c>
      <c r="C1602" s="8" t="s">
        <v>188</v>
      </c>
      <c r="D1602" s="1" t="s">
        <v>217</v>
      </c>
      <c r="E1602" s="104">
        <v>200</v>
      </c>
      <c r="F1602" s="7">
        <f>F1603</f>
        <v>965.6</v>
      </c>
      <c r="G1602" s="7">
        <f>G1603</f>
        <v>0</v>
      </c>
      <c r="H1602" s="35">
        <f t="shared" si="348"/>
        <v>965.6</v>
      </c>
      <c r="I1602" s="7">
        <f>I1603</f>
        <v>-718.2</v>
      </c>
      <c r="J1602" s="35">
        <f t="shared" si="346"/>
        <v>247.39999999999998</v>
      </c>
      <c r="K1602" s="7">
        <f>K1603</f>
        <v>0</v>
      </c>
      <c r="L1602" s="35">
        <f t="shared" si="352"/>
        <v>247.39999999999998</v>
      </c>
      <c r="M1602" s="7">
        <f>M1603</f>
        <v>0</v>
      </c>
      <c r="N1602" s="35">
        <f t="shared" si="347"/>
        <v>247.39999999999998</v>
      </c>
      <c r="O1602" s="7">
        <f>O1603</f>
        <v>0</v>
      </c>
      <c r="P1602" s="35">
        <f t="shared" si="345"/>
        <v>247.39999999999998</v>
      </c>
      <c r="Q1602" s="7">
        <f>Q1603</f>
        <v>0</v>
      </c>
      <c r="R1602" s="35">
        <f t="shared" si="356"/>
        <v>247.39999999999998</v>
      </c>
      <c r="S1602" s="7">
        <f>S1603</f>
        <v>0</v>
      </c>
      <c r="T1602" s="35">
        <f t="shared" si="354"/>
        <v>247.39999999999998</v>
      </c>
    </row>
    <row r="1603" spans="1:20" ht="33">
      <c r="A1603" s="61" t="str">
        <f ca="1">IF(ISERROR(MATCH(E1603,Код_КВР,0)),"",INDIRECT(ADDRESS(MATCH(E1603,Код_КВР,0)+1,2,,,"КВР")))</f>
        <v>Иные закупки товаров, работ и услуг для обеспечения муниципальных нужд</v>
      </c>
      <c r="B1603" s="43" t="s">
        <v>306</v>
      </c>
      <c r="C1603" s="8" t="s">
        <v>188</v>
      </c>
      <c r="D1603" s="1" t="s">
        <v>217</v>
      </c>
      <c r="E1603" s="104">
        <v>240</v>
      </c>
      <c r="F1603" s="7">
        <f>F1604</f>
        <v>965.6</v>
      </c>
      <c r="G1603" s="7">
        <f>G1604</f>
        <v>0</v>
      </c>
      <c r="H1603" s="35">
        <f t="shared" si="348"/>
        <v>965.6</v>
      </c>
      <c r="I1603" s="7">
        <f>I1604</f>
        <v>-718.2</v>
      </c>
      <c r="J1603" s="35">
        <f t="shared" si="346"/>
        <v>247.39999999999998</v>
      </c>
      <c r="K1603" s="7">
        <f>K1604</f>
        <v>0</v>
      </c>
      <c r="L1603" s="35">
        <f t="shared" si="352"/>
        <v>247.39999999999998</v>
      </c>
      <c r="M1603" s="7">
        <f>M1604</f>
        <v>0</v>
      </c>
      <c r="N1603" s="35">
        <f t="shared" si="347"/>
        <v>247.39999999999998</v>
      </c>
      <c r="O1603" s="7">
        <f>O1604</f>
        <v>0</v>
      </c>
      <c r="P1603" s="35">
        <f t="shared" si="345"/>
        <v>247.39999999999998</v>
      </c>
      <c r="Q1603" s="7">
        <f>Q1604</f>
        <v>0</v>
      </c>
      <c r="R1603" s="35">
        <f t="shared" si="356"/>
        <v>247.39999999999998</v>
      </c>
      <c r="S1603" s="7">
        <f>S1604</f>
        <v>0</v>
      </c>
      <c r="T1603" s="35">
        <f t="shared" si="354"/>
        <v>247.39999999999998</v>
      </c>
    </row>
    <row r="1604" spans="1:20" ht="33">
      <c r="A1604" s="61" t="str">
        <f ca="1">IF(ISERROR(MATCH(E1604,Код_КВР,0)),"",INDIRECT(ADDRESS(MATCH(E1604,Код_КВР,0)+1,2,,,"КВР")))</f>
        <v xml:space="preserve">Прочая закупка товаров, работ и услуг для обеспечения муниципальных нужд         </v>
      </c>
      <c r="B1604" s="43" t="s">
        <v>306</v>
      </c>
      <c r="C1604" s="8" t="s">
        <v>188</v>
      </c>
      <c r="D1604" s="1" t="s">
        <v>217</v>
      </c>
      <c r="E1604" s="104">
        <v>244</v>
      </c>
      <c r="F1604" s="7">
        <f>прил.6!G1452</f>
        <v>965.6</v>
      </c>
      <c r="G1604" s="7">
        <f>прил.6!H1452</f>
        <v>0</v>
      </c>
      <c r="H1604" s="35">
        <f t="shared" si="348"/>
        <v>965.6</v>
      </c>
      <c r="I1604" s="7">
        <f>прил.6!J1452</f>
        <v>-718.2</v>
      </c>
      <c r="J1604" s="35">
        <f t="shared" si="346"/>
        <v>247.39999999999998</v>
      </c>
      <c r="K1604" s="7">
        <f>прил.6!L1452</f>
        <v>0</v>
      </c>
      <c r="L1604" s="35">
        <f t="shared" si="352"/>
        <v>247.39999999999998</v>
      </c>
      <c r="M1604" s="7">
        <f>прил.6!N1452</f>
        <v>0</v>
      </c>
      <c r="N1604" s="35">
        <f t="shared" si="347"/>
        <v>247.39999999999998</v>
      </c>
      <c r="O1604" s="7">
        <f>прил.6!P1452</f>
        <v>0</v>
      </c>
      <c r="P1604" s="35">
        <f t="shared" si="345"/>
        <v>247.39999999999998</v>
      </c>
      <c r="Q1604" s="7">
        <f>прил.6!R1452</f>
        <v>0</v>
      </c>
      <c r="R1604" s="35">
        <f t="shared" si="356"/>
        <v>247.39999999999998</v>
      </c>
      <c r="S1604" s="7">
        <f>прил.6!T1452</f>
        <v>0</v>
      </c>
      <c r="T1604" s="35">
        <f t="shared" si="354"/>
        <v>247.39999999999998</v>
      </c>
    </row>
    <row r="1605" spans="1:20">
      <c r="A1605" s="61" t="str">
        <f ca="1">IF(ISERROR(MATCH(C1605,Код_Раздел,0)),"",INDIRECT(ADDRESS(MATCH(C1605,Код_Раздел,0)+1,2,,,"Раздел")))</f>
        <v>Физическая культура и спорт</v>
      </c>
      <c r="B1605" s="43" t="s">
        <v>306</v>
      </c>
      <c r="C1605" s="8" t="s">
        <v>224</v>
      </c>
      <c r="D1605" s="1"/>
      <c r="E1605" s="104"/>
      <c r="F1605" s="7">
        <f>F1606</f>
        <v>5855.8</v>
      </c>
      <c r="G1605" s="7">
        <f>G1606</f>
        <v>0</v>
      </c>
      <c r="H1605" s="35">
        <f t="shared" si="348"/>
        <v>5855.8</v>
      </c>
      <c r="I1605" s="7">
        <f>I1606</f>
        <v>0</v>
      </c>
      <c r="J1605" s="35">
        <f t="shared" si="346"/>
        <v>5855.8</v>
      </c>
      <c r="K1605" s="7">
        <f>K1606</f>
        <v>0</v>
      </c>
      <c r="L1605" s="35">
        <f t="shared" si="352"/>
        <v>5855.8</v>
      </c>
      <c r="M1605" s="7">
        <f>M1606</f>
        <v>0</v>
      </c>
      <c r="N1605" s="35">
        <f t="shared" si="347"/>
        <v>5855.8</v>
      </c>
      <c r="O1605" s="7">
        <f>O1606</f>
        <v>0</v>
      </c>
      <c r="P1605" s="35">
        <f t="shared" si="345"/>
        <v>5855.8</v>
      </c>
      <c r="Q1605" s="7">
        <f>Q1606</f>
        <v>0</v>
      </c>
      <c r="R1605" s="35">
        <f t="shared" si="356"/>
        <v>5855.8</v>
      </c>
      <c r="S1605" s="7">
        <f>S1606</f>
        <v>0</v>
      </c>
      <c r="T1605" s="35">
        <f t="shared" si="354"/>
        <v>5855.8</v>
      </c>
    </row>
    <row r="1606" spans="1:20">
      <c r="A1606" s="12" t="s">
        <v>192</v>
      </c>
      <c r="B1606" s="43" t="s">
        <v>306</v>
      </c>
      <c r="C1606" s="8" t="s">
        <v>224</v>
      </c>
      <c r="D1606" s="1" t="s">
        <v>221</v>
      </c>
      <c r="E1606" s="104"/>
      <c r="F1606" s="7">
        <f>F1607+F1609</f>
        <v>5855.8</v>
      </c>
      <c r="G1606" s="7">
        <f>G1607+G1609</f>
        <v>0</v>
      </c>
      <c r="H1606" s="35">
        <f t="shared" si="348"/>
        <v>5855.8</v>
      </c>
      <c r="I1606" s="7">
        <f>I1607+I1609</f>
        <v>0</v>
      </c>
      <c r="J1606" s="35">
        <f t="shared" si="346"/>
        <v>5855.8</v>
      </c>
      <c r="K1606" s="7">
        <f>K1607+K1609</f>
        <v>0</v>
      </c>
      <c r="L1606" s="35">
        <f t="shared" si="352"/>
        <v>5855.8</v>
      </c>
      <c r="M1606" s="7">
        <f>M1607+M1609</f>
        <v>0</v>
      </c>
      <c r="N1606" s="35">
        <f t="shared" si="347"/>
        <v>5855.8</v>
      </c>
      <c r="O1606" s="7">
        <f>O1607+O1609</f>
        <v>0</v>
      </c>
      <c r="P1606" s="35">
        <f t="shared" si="345"/>
        <v>5855.8</v>
      </c>
      <c r="Q1606" s="7">
        <f>Q1607+Q1609</f>
        <v>0</v>
      </c>
      <c r="R1606" s="35">
        <f t="shared" si="356"/>
        <v>5855.8</v>
      </c>
      <c r="S1606" s="7">
        <f>S1607+S1609</f>
        <v>0</v>
      </c>
      <c r="T1606" s="35">
        <f t="shared" si="354"/>
        <v>5855.8</v>
      </c>
    </row>
    <row r="1607" spans="1:20" ht="33">
      <c r="A1607" s="61" t="str">
        <f ca="1">IF(ISERROR(MATCH(E1607,Код_КВР,0)),"",INDIRECT(ADDRESS(MATCH(E1607,Код_КВР,0)+1,2,,,"КВР")))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607" s="43" t="s">
        <v>306</v>
      </c>
      <c r="C1607" s="8" t="s">
        <v>224</v>
      </c>
      <c r="D1607" s="1" t="s">
        <v>221</v>
      </c>
      <c r="E1607" s="104">
        <v>100</v>
      </c>
      <c r="F1607" s="7">
        <f>F1608</f>
        <v>5841</v>
      </c>
      <c r="G1607" s="7">
        <f>G1608</f>
        <v>0</v>
      </c>
      <c r="H1607" s="35">
        <f t="shared" si="348"/>
        <v>5841</v>
      </c>
      <c r="I1607" s="7">
        <f>I1608</f>
        <v>0</v>
      </c>
      <c r="J1607" s="35">
        <f t="shared" si="346"/>
        <v>5841</v>
      </c>
      <c r="K1607" s="7">
        <f>K1608</f>
        <v>0</v>
      </c>
      <c r="L1607" s="35">
        <f t="shared" si="352"/>
        <v>5841</v>
      </c>
      <c r="M1607" s="7">
        <f>M1608</f>
        <v>0</v>
      </c>
      <c r="N1607" s="35">
        <f t="shared" si="347"/>
        <v>5841</v>
      </c>
      <c r="O1607" s="7">
        <f>O1608</f>
        <v>0</v>
      </c>
      <c r="P1607" s="35">
        <f t="shared" ref="P1607:P1675" si="357">N1607+O1607</f>
        <v>5841</v>
      </c>
      <c r="Q1607" s="7">
        <f>Q1608</f>
        <v>0</v>
      </c>
      <c r="R1607" s="35">
        <f t="shared" si="356"/>
        <v>5841</v>
      </c>
      <c r="S1607" s="7">
        <f>S1608</f>
        <v>0</v>
      </c>
      <c r="T1607" s="35">
        <f t="shared" si="354"/>
        <v>5841</v>
      </c>
    </row>
    <row r="1608" spans="1:20">
      <c r="A1608" s="61" t="str">
        <f ca="1">IF(ISERROR(MATCH(E1608,Код_КВР,0)),"",INDIRECT(ADDRESS(MATCH(E1608,Код_КВР,0)+1,2,,,"КВР")))</f>
        <v>Расходы на выплаты персоналу муниципальных органов</v>
      </c>
      <c r="B1608" s="43" t="s">
        <v>306</v>
      </c>
      <c r="C1608" s="8" t="s">
        <v>224</v>
      </c>
      <c r="D1608" s="1" t="s">
        <v>221</v>
      </c>
      <c r="E1608" s="104">
        <v>120</v>
      </c>
      <c r="F1608" s="7">
        <f>прил.6!G1284</f>
        <v>5841</v>
      </c>
      <c r="G1608" s="7">
        <f>прил.6!H1284</f>
        <v>0</v>
      </c>
      <c r="H1608" s="35">
        <f t="shared" si="348"/>
        <v>5841</v>
      </c>
      <c r="I1608" s="7">
        <f>прил.6!J1284</f>
        <v>0</v>
      </c>
      <c r="J1608" s="35">
        <f t="shared" ref="J1608:J1735" si="358">H1608+I1608</f>
        <v>5841</v>
      </c>
      <c r="K1608" s="7">
        <f>прил.6!L1284</f>
        <v>0</v>
      </c>
      <c r="L1608" s="35">
        <f t="shared" si="352"/>
        <v>5841</v>
      </c>
      <c r="M1608" s="7">
        <f>прил.6!N1284</f>
        <v>0</v>
      </c>
      <c r="N1608" s="35">
        <f t="shared" si="347"/>
        <v>5841</v>
      </c>
      <c r="O1608" s="7">
        <f>прил.6!P1284</f>
        <v>0</v>
      </c>
      <c r="P1608" s="35">
        <f t="shared" si="357"/>
        <v>5841</v>
      </c>
      <c r="Q1608" s="7">
        <f>прил.6!R1284</f>
        <v>0</v>
      </c>
      <c r="R1608" s="35">
        <f t="shared" si="356"/>
        <v>5841</v>
      </c>
      <c r="S1608" s="7">
        <f>прил.6!T1284</f>
        <v>0</v>
      </c>
      <c r="T1608" s="35">
        <f t="shared" si="354"/>
        <v>5841</v>
      </c>
    </row>
    <row r="1609" spans="1:20">
      <c r="A1609" s="61" t="str">
        <f ca="1">IF(ISERROR(MATCH(E1609,Код_КВР,0)),"",INDIRECT(ADDRESS(MATCH(E1609,Код_КВР,0)+1,2,,,"КВР")))</f>
        <v>Закупка товаров, работ и услуг для муниципальных нужд</v>
      </c>
      <c r="B1609" s="43" t="s">
        <v>306</v>
      </c>
      <c r="C1609" s="8" t="s">
        <v>224</v>
      </c>
      <c r="D1609" s="1" t="s">
        <v>221</v>
      </c>
      <c r="E1609" s="104">
        <v>200</v>
      </c>
      <c r="F1609" s="7">
        <f>F1610</f>
        <v>14.8</v>
      </c>
      <c r="G1609" s="7">
        <f>G1610</f>
        <v>0</v>
      </c>
      <c r="H1609" s="35">
        <f t="shared" si="348"/>
        <v>14.8</v>
      </c>
      <c r="I1609" s="7">
        <f>I1610</f>
        <v>0</v>
      </c>
      <c r="J1609" s="35">
        <f t="shared" si="358"/>
        <v>14.8</v>
      </c>
      <c r="K1609" s="7">
        <f>K1610</f>
        <v>0</v>
      </c>
      <c r="L1609" s="35">
        <f t="shared" si="352"/>
        <v>14.8</v>
      </c>
      <c r="M1609" s="7">
        <f>M1610</f>
        <v>0</v>
      </c>
      <c r="N1609" s="35">
        <f t="shared" si="347"/>
        <v>14.8</v>
      </c>
      <c r="O1609" s="7">
        <f>O1610</f>
        <v>0</v>
      </c>
      <c r="P1609" s="35">
        <f t="shared" si="357"/>
        <v>14.8</v>
      </c>
      <c r="Q1609" s="7">
        <f>Q1610</f>
        <v>0</v>
      </c>
      <c r="R1609" s="35">
        <f t="shared" si="356"/>
        <v>14.8</v>
      </c>
      <c r="S1609" s="7">
        <f>S1610</f>
        <v>0</v>
      </c>
      <c r="T1609" s="35">
        <f t="shared" si="354"/>
        <v>14.8</v>
      </c>
    </row>
    <row r="1610" spans="1:20" ht="33">
      <c r="A1610" s="61" t="str">
        <f ca="1">IF(ISERROR(MATCH(E1610,Код_КВР,0)),"",INDIRECT(ADDRESS(MATCH(E1610,Код_КВР,0)+1,2,,,"КВР")))</f>
        <v>Иные закупки товаров, работ и услуг для обеспечения муниципальных нужд</v>
      </c>
      <c r="B1610" s="43" t="s">
        <v>306</v>
      </c>
      <c r="C1610" s="8" t="s">
        <v>224</v>
      </c>
      <c r="D1610" s="1" t="s">
        <v>221</v>
      </c>
      <c r="E1610" s="104">
        <v>240</v>
      </c>
      <c r="F1610" s="7">
        <f>F1611</f>
        <v>14.8</v>
      </c>
      <c r="G1610" s="7">
        <f>G1611</f>
        <v>0</v>
      </c>
      <c r="H1610" s="35">
        <f t="shared" si="348"/>
        <v>14.8</v>
      </c>
      <c r="I1610" s="7">
        <f>I1611</f>
        <v>0</v>
      </c>
      <c r="J1610" s="35">
        <f t="shared" si="358"/>
        <v>14.8</v>
      </c>
      <c r="K1610" s="7">
        <f>K1611</f>
        <v>0</v>
      </c>
      <c r="L1610" s="35">
        <f t="shared" si="352"/>
        <v>14.8</v>
      </c>
      <c r="M1610" s="7">
        <f>M1611</f>
        <v>0</v>
      </c>
      <c r="N1610" s="35">
        <f t="shared" ref="N1610:N1696" si="359">L1610+M1610</f>
        <v>14.8</v>
      </c>
      <c r="O1610" s="7">
        <f>O1611</f>
        <v>0</v>
      </c>
      <c r="P1610" s="35">
        <f t="shared" si="357"/>
        <v>14.8</v>
      </c>
      <c r="Q1610" s="7">
        <f>Q1611</f>
        <v>0</v>
      </c>
      <c r="R1610" s="35">
        <f t="shared" si="356"/>
        <v>14.8</v>
      </c>
      <c r="S1610" s="7">
        <f>S1611</f>
        <v>0</v>
      </c>
      <c r="T1610" s="35">
        <f t="shared" si="354"/>
        <v>14.8</v>
      </c>
    </row>
    <row r="1611" spans="1:20" ht="33">
      <c r="A1611" s="61" t="str">
        <f ca="1">IF(ISERROR(MATCH(E1611,Код_КВР,0)),"",INDIRECT(ADDRESS(MATCH(E1611,Код_КВР,0)+1,2,,,"КВР")))</f>
        <v xml:space="preserve">Прочая закупка товаров, работ и услуг для обеспечения муниципальных нужд         </v>
      </c>
      <c r="B1611" s="43" t="s">
        <v>306</v>
      </c>
      <c r="C1611" s="8" t="s">
        <v>224</v>
      </c>
      <c r="D1611" s="1" t="s">
        <v>221</v>
      </c>
      <c r="E1611" s="104">
        <v>244</v>
      </c>
      <c r="F1611" s="7">
        <f>прил.6!G1287</f>
        <v>14.8</v>
      </c>
      <c r="G1611" s="7">
        <f>прил.6!H1287</f>
        <v>0</v>
      </c>
      <c r="H1611" s="35">
        <f t="shared" si="348"/>
        <v>14.8</v>
      </c>
      <c r="I1611" s="7">
        <f>прил.6!J1287</f>
        <v>0</v>
      </c>
      <c r="J1611" s="35">
        <f t="shared" si="358"/>
        <v>14.8</v>
      </c>
      <c r="K1611" s="7">
        <f>прил.6!L1287</f>
        <v>0</v>
      </c>
      <c r="L1611" s="35">
        <f t="shared" si="352"/>
        <v>14.8</v>
      </c>
      <c r="M1611" s="7">
        <f>прил.6!N1287</f>
        <v>0</v>
      </c>
      <c r="N1611" s="35">
        <f t="shared" si="359"/>
        <v>14.8</v>
      </c>
      <c r="O1611" s="7">
        <f>прил.6!P1287</f>
        <v>0</v>
      </c>
      <c r="P1611" s="35">
        <f t="shared" si="357"/>
        <v>14.8</v>
      </c>
      <c r="Q1611" s="7">
        <f>прил.6!R1287</f>
        <v>0</v>
      </c>
      <c r="R1611" s="35">
        <f t="shared" si="356"/>
        <v>14.8</v>
      </c>
      <c r="S1611" s="7">
        <f>прил.6!T1287</f>
        <v>0</v>
      </c>
      <c r="T1611" s="35">
        <f t="shared" si="354"/>
        <v>14.8</v>
      </c>
    </row>
    <row r="1612" spans="1:20" ht="33">
      <c r="A1612" s="61" t="str">
        <f ca="1">IF(ISERROR(MATCH(B1612,Код_КЦСР,0)),"",INDIRECT(ADDRESS(MATCH(B1612,Код_КЦСР,0)+1,2,,,"КЦСР")))</f>
        <v>Председатель представительного органа муниципального образования</v>
      </c>
      <c r="B1612" s="43" t="s">
        <v>307</v>
      </c>
      <c r="C1612" s="8"/>
      <c r="D1612" s="1"/>
      <c r="E1612" s="104"/>
      <c r="F1612" s="7">
        <f t="shared" ref="F1612:S1615" si="360">F1613</f>
        <v>2201.1</v>
      </c>
      <c r="G1612" s="7">
        <f t="shared" si="360"/>
        <v>0</v>
      </c>
      <c r="H1612" s="35">
        <f t="shared" si="348"/>
        <v>2201.1</v>
      </c>
      <c r="I1612" s="7">
        <f t="shared" si="360"/>
        <v>0</v>
      </c>
      <c r="J1612" s="35">
        <f t="shared" si="358"/>
        <v>2201.1</v>
      </c>
      <c r="K1612" s="7">
        <f t="shared" si="360"/>
        <v>0</v>
      </c>
      <c r="L1612" s="35">
        <f t="shared" si="352"/>
        <v>2201.1</v>
      </c>
      <c r="M1612" s="7">
        <f t="shared" si="360"/>
        <v>0</v>
      </c>
      <c r="N1612" s="35">
        <f t="shared" si="359"/>
        <v>2201.1</v>
      </c>
      <c r="O1612" s="7">
        <f t="shared" si="360"/>
        <v>0</v>
      </c>
      <c r="P1612" s="35">
        <f t="shared" si="357"/>
        <v>2201.1</v>
      </c>
      <c r="Q1612" s="7">
        <f t="shared" si="360"/>
        <v>0</v>
      </c>
      <c r="R1612" s="35">
        <f t="shared" si="356"/>
        <v>2201.1</v>
      </c>
      <c r="S1612" s="7">
        <f t="shared" si="360"/>
        <v>0</v>
      </c>
      <c r="T1612" s="35">
        <f t="shared" si="354"/>
        <v>2201.1</v>
      </c>
    </row>
    <row r="1613" spans="1:20">
      <c r="A1613" s="61" t="str">
        <f ca="1">IF(ISERROR(MATCH(C1613,Код_Раздел,0)),"",INDIRECT(ADDRESS(MATCH(C1613,Код_Раздел,0)+1,2,,,"Раздел")))</f>
        <v>Общегосударственные  вопросы</v>
      </c>
      <c r="B1613" s="43" t="s">
        <v>307</v>
      </c>
      <c r="C1613" s="8" t="s">
        <v>213</v>
      </c>
      <c r="D1613" s="1"/>
      <c r="E1613" s="104"/>
      <c r="F1613" s="7">
        <f t="shared" si="360"/>
        <v>2201.1</v>
      </c>
      <c r="G1613" s="7">
        <f t="shared" si="360"/>
        <v>0</v>
      </c>
      <c r="H1613" s="35">
        <f t="shared" si="348"/>
        <v>2201.1</v>
      </c>
      <c r="I1613" s="7">
        <f t="shared" si="360"/>
        <v>0</v>
      </c>
      <c r="J1613" s="35">
        <f t="shared" si="358"/>
        <v>2201.1</v>
      </c>
      <c r="K1613" s="7">
        <f t="shared" si="360"/>
        <v>0</v>
      </c>
      <c r="L1613" s="35">
        <f t="shared" si="352"/>
        <v>2201.1</v>
      </c>
      <c r="M1613" s="7">
        <f t="shared" si="360"/>
        <v>0</v>
      </c>
      <c r="N1613" s="35">
        <f t="shared" si="359"/>
        <v>2201.1</v>
      </c>
      <c r="O1613" s="7">
        <f t="shared" si="360"/>
        <v>0</v>
      </c>
      <c r="P1613" s="35">
        <f t="shared" si="357"/>
        <v>2201.1</v>
      </c>
      <c r="Q1613" s="7">
        <f t="shared" si="360"/>
        <v>0</v>
      </c>
      <c r="R1613" s="35">
        <f t="shared" si="356"/>
        <v>2201.1</v>
      </c>
      <c r="S1613" s="7">
        <f t="shared" si="360"/>
        <v>0</v>
      </c>
      <c r="T1613" s="35">
        <f t="shared" si="354"/>
        <v>2201.1</v>
      </c>
    </row>
    <row r="1614" spans="1:20" ht="49.5">
      <c r="A1614" s="12" t="s">
        <v>168</v>
      </c>
      <c r="B1614" s="43" t="s">
        <v>307</v>
      </c>
      <c r="C1614" s="8" t="s">
        <v>213</v>
      </c>
      <c r="D1614" s="8" t="s">
        <v>215</v>
      </c>
      <c r="E1614" s="104"/>
      <c r="F1614" s="7">
        <f t="shared" si="360"/>
        <v>2201.1</v>
      </c>
      <c r="G1614" s="7">
        <f t="shared" si="360"/>
        <v>0</v>
      </c>
      <c r="H1614" s="35">
        <f t="shared" si="348"/>
        <v>2201.1</v>
      </c>
      <c r="I1614" s="7">
        <f t="shared" si="360"/>
        <v>0</v>
      </c>
      <c r="J1614" s="35">
        <f t="shared" si="358"/>
        <v>2201.1</v>
      </c>
      <c r="K1614" s="7">
        <f t="shared" si="360"/>
        <v>0</v>
      </c>
      <c r="L1614" s="35">
        <f t="shared" si="352"/>
        <v>2201.1</v>
      </c>
      <c r="M1614" s="7">
        <f t="shared" si="360"/>
        <v>0</v>
      </c>
      <c r="N1614" s="35">
        <f t="shared" si="359"/>
        <v>2201.1</v>
      </c>
      <c r="O1614" s="7">
        <f t="shared" si="360"/>
        <v>0</v>
      </c>
      <c r="P1614" s="35">
        <f t="shared" si="357"/>
        <v>2201.1</v>
      </c>
      <c r="Q1614" s="7">
        <f t="shared" si="360"/>
        <v>0</v>
      </c>
      <c r="R1614" s="35">
        <f t="shared" si="356"/>
        <v>2201.1</v>
      </c>
      <c r="S1614" s="7">
        <f t="shared" si="360"/>
        <v>0</v>
      </c>
      <c r="T1614" s="35">
        <f t="shared" si="354"/>
        <v>2201.1</v>
      </c>
    </row>
    <row r="1615" spans="1:20" ht="33">
      <c r="A1615" s="61" t="str">
        <f ca="1">IF(ISERROR(MATCH(E1615,Код_КВР,0)),"",INDIRECT(ADDRESS(MATCH(E1615,Код_КВР,0)+1,2,,,"КВР")))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615" s="43" t="s">
        <v>307</v>
      </c>
      <c r="C1615" s="8" t="s">
        <v>213</v>
      </c>
      <c r="D1615" s="8" t="s">
        <v>215</v>
      </c>
      <c r="E1615" s="104">
        <v>100</v>
      </c>
      <c r="F1615" s="7">
        <f t="shared" si="360"/>
        <v>2201.1</v>
      </c>
      <c r="G1615" s="7">
        <f t="shared" si="360"/>
        <v>0</v>
      </c>
      <c r="H1615" s="35">
        <f t="shared" si="348"/>
        <v>2201.1</v>
      </c>
      <c r="I1615" s="7">
        <f t="shared" si="360"/>
        <v>0</v>
      </c>
      <c r="J1615" s="35">
        <f t="shared" si="358"/>
        <v>2201.1</v>
      </c>
      <c r="K1615" s="7">
        <f t="shared" si="360"/>
        <v>0</v>
      </c>
      <c r="L1615" s="35">
        <f t="shared" si="352"/>
        <v>2201.1</v>
      </c>
      <c r="M1615" s="7">
        <f t="shared" si="360"/>
        <v>0</v>
      </c>
      <c r="N1615" s="35">
        <f t="shared" si="359"/>
        <v>2201.1</v>
      </c>
      <c r="O1615" s="7">
        <f t="shared" si="360"/>
        <v>0</v>
      </c>
      <c r="P1615" s="35">
        <f t="shared" si="357"/>
        <v>2201.1</v>
      </c>
      <c r="Q1615" s="7">
        <f t="shared" si="360"/>
        <v>0</v>
      </c>
      <c r="R1615" s="35">
        <f t="shared" si="356"/>
        <v>2201.1</v>
      </c>
      <c r="S1615" s="7">
        <f t="shared" si="360"/>
        <v>0</v>
      </c>
      <c r="T1615" s="35">
        <f t="shared" si="354"/>
        <v>2201.1</v>
      </c>
    </row>
    <row r="1616" spans="1:20">
      <c r="A1616" s="61" t="str">
        <f ca="1">IF(ISERROR(MATCH(E1616,Код_КВР,0)),"",INDIRECT(ADDRESS(MATCH(E1616,Код_КВР,0)+1,2,,,"КВР")))</f>
        <v>Расходы на выплаты персоналу муниципальных органов</v>
      </c>
      <c r="B1616" s="43" t="s">
        <v>307</v>
      </c>
      <c r="C1616" s="8" t="s">
        <v>213</v>
      </c>
      <c r="D1616" s="8" t="s">
        <v>215</v>
      </c>
      <c r="E1616" s="104">
        <v>120</v>
      </c>
      <c r="F1616" s="7">
        <f>прил.6!G410</f>
        <v>2201.1</v>
      </c>
      <c r="G1616" s="7">
        <f>прил.6!H410</f>
        <v>0</v>
      </c>
      <c r="H1616" s="35">
        <f t="shared" ref="H1616:H1743" si="361">F1616+G1616</f>
        <v>2201.1</v>
      </c>
      <c r="I1616" s="7">
        <f>прил.6!J410</f>
        <v>0</v>
      </c>
      <c r="J1616" s="35">
        <f t="shared" si="358"/>
        <v>2201.1</v>
      </c>
      <c r="K1616" s="7">
        <f>прил.6!L410</f>
        <v>0</v>
      </c>
      <c r="L1616" s="35">
        <f t="shared" si="352"/>
        <v>2201.1</v>
      </c>
      <c r="M1616" s="7">
        <f>прил.6!N410</f>
        <v>0</v>
      </c>
      <c r="N1616" s="35">
        <f t="shared" si="359"/>
        <v>2201.1</v>
      </c>
      <c r="O1616" s="7">
        <f>прил.6!P410</f>
        <v>0</v>
      </c>
      <c r="P1616" s="35">
        <f t="shared" si="357"/>
        <v>2201.1</v>
      </c>
      <c r="Q1616" s="7">
        <f>прил.6!R410</f>
        <v>0</v>
      </c>
      <c r="R1616" s="35">
        <f t="shared" si="356"/>
        <v>2201.1</v>
      </c>
      <c r="S1616" s="7">
        <f>прил.6!T410</f>
        <v>0</v>
      </c>
      <c r="T1616" s="35">
        <f t="shared" si="354"/>
        <v>2201.1</v>
      </c>
    </row>
    <row r="1617" spans="1:20">
      <c r="A1617" s="61" t="str">
        <f ca="1">IF(ISERROR(MATCH(B1617,Код_КЦСР,0)),"",INDIRECT(ADDRESS(MATCH(B1617,Код_КЦСР,0)+1,2,,,"КЦСР")))</f>
        <v>Депутаты представительного органа муниципального образования</v>
      </c>
      <c r="B1617" s="43" t="s">
        <v>308</v>
      </c>
      <c r="C1617" s="8"/>
      <c r="D1617" s="1"/>
      <c r="E1617" s="104"/>
      <c r="F1617" s="7">
        <f t="shared" ref="F1617:S1620" si="362">F1618</f>
        <v>3706.8</v>
      </c>
      <c r="G1617" s="7">
        <f t="shared" si="362"/>
        <v>0</v>
      </c>
      <c r="H1617" s="35">
        <f t="shared" si="361"/>
        <v>3706.8</v>
      </c>
      <c r="I1617" s="7">
        <f t="shared" si="362"/>
        <v>0</v>
      </c>
      <c r="J1617" s="35">
        <f t="shared" si="358"/>
        <v>3706.8</v>
      </c>
      <c r="K1617" s="7">
        <f t="shared" si="362"/>
        <v>0</v>
      </c>
      <c r="L1617" s="35">
        <f t="shared" si="352"/>
        <v>3706.8</v>
      </c>
      <c r="M1617" s="7">
        <f t="shared" si="362"/>
        <v>0</v>
      </c>
      <c r="N1617" s="35">
        <f t="shared" si="359"/>
        <v>3706.8</v>
      </c>
      <c r="O1617" s="7">
        <f t="shared" si="362"/>
        <v>0</v>
      </c>
      <c r="P1617" s="35">
        <f t="shared" si="357"/>
        <v>3706.8</v>
      </c>
      <c r="Q1617" s="7">
        <f t="shared" si="362"/>
        <v>0</v>
      </c>
      <c r="R1617" s="35">
        <f t="shared" si="356"/>
        <v>3706.8</v>
      </c>
      <c r="S1617" s="7">
        <f t="shared" si="362"/>
        <v>0</v>
      </c>
      <c r="T1617" s="35">
        <f t="shared" si="354"/>
        <v>3706.8</v>
      </c>
    </row>
    <row r="1618" spans="1:20">
      <c r="A1618" s="61" t="str">
        <f ca="1">IF(ISERROR(MATCH(C1618,Код_Раздел,0)),"",INDIRECT(ADDRESS(MATCH(C1618,Код_Раздел,0)+1,2,,,"Раздел")))</f>
        <v>Общегосударственные  вопросы</v>
      </c>
      <c r="B1618" s="43" t="s">
        <v>308</v>
      </c>
      <c r="C1618" s="8" t="s">
        <v>213</v>
      </c>
      <c r="D1618" s="1"/>
      <c r="E1618" s="104"/>
      <c r="F1618" s="7">
        <f t="shared" si="362"/>
        <v>3706.8</v>
      </c>
      <c r="G1618" s="7">
        <f t="shared" si="362"/>
        <v>0</v>
      </c>
      <c r="H1618" s="35">
        <f t="shared" si="361"/>
        <v>3706.8</v>
      </c>
      <c r="I1618" s="7">
        <f t="shared" si="362"/>
        <v>0</v>
      </c>
      <c r="J1618" s="35">
        <f t="shared" si="358"/>
        <v>3706.8</v>
      </c>
      <c r="K1618" s="7">
        <f t="shared" si="362"/>
        <v>0</v>
      </c>
      <c r="L1618" s="35">
        <f t="shared" si="352"/>
        <v>3706.8</v>
      </c>
      <c r="M1618" s="7">
        <f t="shared" si="362"/>
        <v>0</v>
      </c>
      <c r="N1618" s="35">
        <f t="shared" si="359"/>
        <v>3706.8</v>
      </c>
      <c r="O1618" s="7">
        <f t="shared" si="362"/>
        <v>0</v>
      </c>
      <c r="P1618" s="35">
        <f t="shared" si="357"/>
        <v>3706.8</v>
      </c>
      <c r="Q1618" s="7">
        <f t="shared" si="362"/>
        <v>0</v>
      </c>
      <c r="R1618" s="35">
        <f t="shared" si="356"/>
        <v>3706.8</v>
      </c>
      <c r="S1618" s="7">
        <f t="shared" si="362"/>
        <v>0</v>
      </c>
      <c r="T1618" s="35">
        <f t="shared" si="354"/>
        <v>3706.8</v>
      </c>
    </row>
    <row r="1619" spans="1:20" ht="49.5">
      <c r="A1619" s="12" t="s">
        <v>168</v>
      </c>
      <c r="B1619" s="43" t="s">
        <v>308</v>
      </c>
      <c r="C1619" s="8" t="s">
        <v>213</v>
      </c>
      <c r="D1619" s="8" t="s">
        <v>215</v>
      </c>
      <c r="E1619" s="104"/>
      <c r="F1619" s="7">
        <f t="shared" si="362"/>
        <v>3706.8</v>
      </c>
      <c r="G1619" s="7">
        <f t="shared" si="362"/>
        <v>0</v>
      </c>
      <c r="H1619" s="35">
        <f t="shared" si="361"/>
        <v>3706.8</v>
      </c>
      <c r="I1619" s="7">
        <f t="shared" si="362"/>
        <v>0</v>
      </c>
      <c r="J1619" s="35">
        <f t="shared" si="358"/>
        <v>3706.8</v>
      </c>
      <c r="K1619" s="7">
        <f t="shared" si="362"/>
        <v>0</v>
      </c>
      <c r="L1619" s="35">
        <f t="shared" si="352"/>
        <v>3706.8</v>
      </c>
      <c r="M1619" s="7">
        <f t="shared" si="362"/>
        <v>0</v>
      </c>
      <c r="N1619" s="35">
        <f t="shared" si="359"/>
        <v>3706.8</v>
      </c>
      <c r="O1619" s="7">
        <f t="shared" si="362"/>
        <v>0</v>
      </c>
      <c r="P1619" s="35">
        <f t="shared" si="357"/>
        <v>3706.8</v>
      </c>
      <c r="Q1619" s="7">
        <f t="shared" si="362"/>
        <v>0</v>
      </c>
      <c r="R1619" s="35">
        <f t="shared" si="356"/>
        <v>3706.8</v>
      </c>
      <c r="S1619" s="7">
        <f t="shared" si="362"/>
        <v>0</v>
      </c>
      <c r="T1619" s="35">
        <f t="shared" si="354"/>
        <v>3706.8</v>
      </c>
    </row>
    <row r="1620" spans="1:20" ht="33">
      <c r="A1620" s="61" t="str">
        <f ca="1">IF(ISERROR(MATCH(E1620,Код_КВР,0)),"",INDIRECT(ADDRESS(MATCH(E1620,Код_КВР,0)+1,2,,,"КВР")))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620" s="43" t="s">
        <v>308</v>
      </c>
      <c r="C1620" s="8" t="s">
        <v>213</v>
      </c>
      <c r="D1620" s="8" t="s">
        <v>215</v>
      </c>
      <c r="E1620" s="104">
        <v>100</v>
      </c>
      <c r="F1620" s="7">
        <f t="shared" si="362"/>
        <v>3706.8</v>
      </c>
      <c r="G1620" s="7">
        <f t="shared" si="362"/>
        <v>0</v>
      </c>
      <c r="H1620" s="35">
        <f t="shared" si="361"/>
        <v>3706.8</v>
      </c>
      <c r="I1620" s="7">
        <f t="shared" si="362"/>
        <v>0</v>
      </c>
      <c r="J1620" s="35">
        <f t="shared" si="358"/>
        <v>3706.8</v>
      </c>
      <c r="K1620" s="7">
        <f t="shared" si="362"/>
        <v>0</v>
      </c>
      <c r="L1620" s="35">
        <f t="shared" si="352"/>
        <v>3706.8</v>
      </c>
      <c r="M1620" s="7">
        <f t="shared" si="362"/>
        <v>0</v>
      </c>
      <c r="N1620" s="35">
        <f t="shared" si="359"/>
        <v>3706.8</v>
      </c>
      <c r="O1620" s="7">
        <f t="shared" si="362"/>
        <v>0</v>
      </c>
      <c r="P1620" s="35">
        <f t="shared" si="357"/>
        <v>3706.8</v>
      </c>
      <c r="Q1620" s="7">
        <f t="shared" si="362"/>
        <v>0</v>
      </c>
      <c r="R1620" s="35">
        <f t="shared" si="356"/>
        <v>3706.8</v>
      </c>
      <c r="S1620" s="7">
        <f t="shared" si="362"/>
        <v>0</v>
      </c>
      <c r="T1620" s="35">
        <f t="shared" si="354"/>
        <v>3706.8</v>
      </c>
    </row>
    <row r="1621" spans="1:20">
      <c r="A1621" s="61" t="str">
        <f ca="1">IF(ISERROR(MATCH(E1621,Код_КВР,0)),"",INDIRECT(ADDRESS(MATCH(E1621,Код_КВР,0)+1,2,,,"КВР")))</f>
        <v>Расходы на выплаты персоналу муниципальных органов</v>
      </c>
      <c r="B1621" s="43" t="s">
        <v>308</v>
      </c>
      <c r="C1621" s="8" t="s">
        <v>213</v>
      </c>
      <c r="D1621" s="8" t="s">
        <v>215</v>
      </c>
      <c r="E1621" s="104">
        <v>120</v>
      </c>
      <c r="F1621" s="7">
        <f>прил.6!G413</f>
        <v>3706.8</v>
      </c>
      <c r="G1621" s="7">
        <f>прил.6!H413</f>
        <v>0</v>
      </c>
      <c r="H1621" s="35">
        <f t="shared" si="361"/>
        <v>3706.8</v>
      </c>
      <c r="I1621" s="7">
        <f>прил.6!J413</f>
        <v>0</v>
      </c>
      <c r="J1621" s="35">
        <f t="shared" si="358"/>
        <v>3706.8</v>
      </c>
      <c r="K1621" s="7">
        <f>прил.6!L413</f>
        <v>0</v>
      </c>
      <c r="L1621" s="35">
        <f t="shared" si="352"/>
        <v>3706.8</v>
      </c>
      <c r="M1621" s="7">
        <f>прил.6!N413</f>
        <v>0</v>
      </c>
      <c r="N1621" s="35">
        <f t="shared" si="359"/>
        <v>3706.8</v>
      </c>
      <c r="O1621" s="7">
        <f>прил.6!P413</f>
        <v>0</v>
      </c>
      <c r="P1621" s="35">
        <f t="shared" si="357"/>
        <v>3706.8</v>
      </c>
      <c r="Q1621" s="7">
        <f>прил.6!R413</f>
        <v>0</v>
      </c>
      <c r="R1621" s="35">
        <f t="shared" si="356"/>
        <v>3706.8</v>
      </c>
      <c r="S1621" s="7">
        <f>прил.6!T413</f>
        <v>0</v>
      </c>
      <c r="T1621" s="35">
        <f t="shared" si="354"/>
        <v>3706.8</v>
      </c>
    </row>
    <row r="1622" spans="1:20" ht="33">
      <c r="A1622" s="61" t="str">
        <f ca="1">IF(ISERROR(MATCH(B1622,Код_КЦСР,0)),"",INDIRECT(ADDRESS(MATCH(B1622,Код_КЦСР,0)+1,2,,,"КЦСР")))</f>
        <v>Реализация функций органов местного самоуправления города, связанных с общегородским управлением</v>
      </c>
      <c r="B1622" s="43" t="s">
        <v>309</v>
      </c>
      <c r="C1622" s="8"/>
      <c r="D1622" s="1"/>
      <c r="E1622" s="104"/>
      <c r="F1622" s="7">
        <f t="shared" ref="F1622:S1626" si="363">F1623</f>
        <v>400</v>
      </c>
      <c r="G1622" s="7">
        <f t="shared" si="363"/>
        <v>0</v>
      </c>
      <c r="H1622" s="35">
        <f t="shared" si="361"/>
        <v>400</v>
      </c>
      <c r="I1622" s="7">
        <f t="shared" si="363"/>
        <v>0</v>
      </c>
      <c r="J1622" s="35">
        <f t="shared" si="358"/>
        <v>400</v>
      </c>
      <c r="K1622" s="7">
        <f t="shared" si="363"/>
        <v>-50</v>
      </c>
      <c r="L1622" s="35">
        <f t="shared" si="352"/>
        <v>350</v>
      </c>
      <c r="M1622" s="7">
        <f>M1623+M1629</f>
        <v>0.5</v>
      </c>
      <c r="N1622" s="35">
        <f t="shared" si="359"/>
        <v>350.5</v>
      </c>
      <c r="O1622" s="7">
        <f>O1623+O1629</f>
        <v>0</v>
      </c>
      <c r="P1622" s="35">
        <f t="shared" si="357"/>
        <v>350.5</v>
      </c>
      <c r="Q1622" s="7">
        <f>Q1623+Q1629</f>
        <v>0</v>
      </c>
      <c r="R1622" s="35">
        <f t="shared" si="356"/>
        <v>350.5</v>
      </c>
      <c r="S1622" s="7">
        <f>S1623+S1629</f>
        <v>0</v>
      </c>
      <c r="T1622" s="35">
        <f t="shared" si="354"/>
        <v>350.5</v>
      </c>
    </row>
    <row r="1623" spans="1:20">
      <c r="A1623" s="61" t="str">
        <f ca="1">IF(ISERROR(MATCH(B1623,Код_КЦСР,0)),"",INDIRECT(ADDRESS(MATCH(B1623,Код_КЦСР,0)+1,2,,,"КЦСР")))</f>
        <v>Расходы на судебные издержки и исполнение судебных решений</v>
      </c>
      <c r="B1623" s="43" t="s">
        <v>311</v>
      </c>
      <c r="C1623" s="8"/>
      <c r="D1623" s="1"/>
      <c r="E1623" s="104"/>
      <c r="F1623" s="7">
        <f t="shared" si="363"/>
        <v>400</v>
      </c>
      <c r="G1623" s="7">
        <f t="shared" si="363"/>
        <v>0</v>
      </c>
      <c r="H1623" s="35">
        <f t="shared" si="361"/>
        <v>400</v>
      </c>
      <c r="I1623" s="7">
        <f t="shared" si="363"/>
        <v>0</v>
      </c>
      <c r="J1623" s="35">
        <f t="shared" si="358"/>
        <v>400</v>
      </c>
      <c r="K1623" s="7">
        <f t="shared" si="363"/>
        <v>-50</v>
      </c>
      <c r="L1623" s="35">
        <f t="shared" si="352"/>
        <v>350</v>
      </c>
      <c r="M1623" s="7">
        <f t="shared" si="363"/>
        <v>0</v>
      </c>
      <c r="N1623" s="35">
        <f t="shared" si="359"/>
        <v>350</v>
      </c>
      <c r="O1623" s="7">
        <f t="shared" si="363"/>
        <v>0</v>
      </c>
      <c r="P1623" s="35">
        <f t="shared" si="357"/>
        <v>350</v>
      </c>
      <c r="Q1623" s="7">
        <f t="shared" si="363"/>
        <v>0</v>
      </c>
      <c r="R1623" s="35">
        <f t="shared" si="356"/>
        <v>350</v>
      </c>
      <c r="S1623" s="7">
        <f t="shared" si="363"/>
        <v>0</v>
      </c>
      <c r="T1623" s="35">
        <f t="shared" si="354"/>
        <v>350</v>
      </c>
    </row>
    <row r="1624" spans="1:20">
      <c r="A1624" s="61" t="str">
        <f ca="1">IF(ISERROR(MATCH(C1624,Код_Раздел,0)),"",INDIRECT(ADDRESS(MATCH(C1624,Код_Раздел,0)+1,2,,,"Раздел")))</f>
        <v>Общегосударственные  вопросы</v>
      </c>
      <c r="B1624" s="43" t="s">
        <v>311</v>
      </c>
      <c r="C1624" s="8" t="s">
        <v>213</v>
      </c>
      <c r="D1624" s="1"/>
      <c r="E1624" s="104"/>
      <c r="F1624" s="7">
        <f t="shared" si="363"/>
        <v>400</v>
      </c>
      <c r="G1624" s="7">
        <f t="shared" si="363"/>
        <v>0</v>
      </c>
      <c r="H1624" s="35">
        <f t="shared" si="361"/>
        <v>400</v>
      </c>
      <c r="I1624" s="7">
        <f t="shared" si="363"/>
        <v>0</v>
      </c>
      <c r="J1624" s="35">
        <f t="shared" si="358"/>
        <v>400</v>
      </c>
      <c r="K1624" s="7">
        <f t="shared" si="363"/>
        <v>-50</v>
      </c>
      <c r="L1624" s="35">
        <f t="shared" si="352"/>
        <v>350</v>
      </c>
      <c r="M1624" s="7">
        <f t="shared" si="363"/>
        <v>0</v>
      </c>
      <c r="N1624" s="35">
        <f t="shared" si="359"/>
        <v>350</v>
      </c>
      <c r="O1624" s="7">
        <f t="shared" si="363"/>
        <v>0</v>
      </c>
      <c r="P1624" s="35">
        <f t="shared" si="357"/>
        <v>350</v>
      </c>
      <c r="Q1624" s="7">
        <f t="shared" si="363"/>
        <v>0</v>
      </c>
      <c r="R1624" s="35">
        <f t="shared" si="356"/>
        <v>350</v>
      </c>
      <c r="S1624" s="7">
        <f t="shared" si="363"/>
        <v>0</v>
      </c>
      <c r="T1624" s="35">
        <f t="shared" si="354"/>
        <v>350</v>
      </c>
    </row>
    <row r="1625" spans="1:20">
      <c r="A1625" s="12" t="s">
        <v>237</v>
      </c>
      <c r="B1625" s="43" t="s">
        <v>311</v>
      </c>
      <c r="C1625" s="8" t="s">
        <v>213</v>
      </c>
      <c r="D1625" s="1" t="s">
        <v>190</v>
      </c>
      <c r="E1625" s="104"/>
      <c r="F1625" s="7">
        <f t="shared" si="363"/>
        <v>400</v>
      </c>
      <c r="G1625" s="7">
        <f t="shared" si="363"/>
        <v>0</v>
      </c>
      <c r="H1625" s="35">
        <f t="shared" si="361"/>
        <v>400</v>
      </c>
      <c r="I1625" s="7">
        <f t="shared" si="363"/>
        <v>0</v>
      </c>
      <c r="J1625" s="35">
        <f t="shared" si="358"/>
        <v>400</v>
      </c>
      <c r="K1625" s="7">
        <f t="shared" si="363"/>
        <v>-50</v>
      </c>
      <c r="L1625" s="35">
        <f t="shared" si="352"/>
        <v>350</v>
      </c>
      <c r="M1625" s="7">
        <f t="shared" si="363"/>
        <v>0</v>
      </c>
      <c r="N1625" s="35">
        <f t="shared" si="359"/>
        <v>350</v>
      </c>
      <c r="O1625" s="7">
        <f t="shared" si="363"/>
        <v>0</v>
      </c>
      <c r="P1625" s="35">
        <f t="shared" si="357"/>
        <v>350</v>
      </c>
      <c r="Q1625" s="7">
        <f t="shared" si="363"/>
        <v>0</v>
      </c>
      <c r="R1625" s="35">
        <f t="shared" si="356"/>
        <v>350</v>
      </c>
      <c r="S1625" s="7">
        <f t="shared" si="363"/>
        <v>0</v>
      </c>
      <c r="T1625" s="35">
        <f t="shared" si="354"/>
        <v>350</v>
      </c>
    </row>
    <row r="1626" spans="1:20">
      <c r="A1626" s="61" t="str">
        <f ca="1">IF(ISERROR(MATCH(E1626,Код_КВР,0)),"",INDIRECT(ADDRESS(MATCH(E1626,Код_КВР,0)+1,2,,,"КВР")))</f>
        <v>Иные бюджетные ассигнования</v>
      </c>
      <c r="B1626" s="43" t="s">
        <v>311</v>
      </c>
      <c r="C1626" s="8" t="s">
        <v>213</v>
      </c>
      <c r="D1626" s="1" t="s">
        <v>190</v>
      </c>
      <c r="E1626" s="104">
        <v>800</v>
      </c>
      <c r="F1626" s="7">
        <f t="shared" si="363"/>
        <v>400</v>
      </c>
      <c r="G1626" s="7">
        <f t="shared" si="363"/>
        <v>0</v>
      </c>
      <c r="H1626" s="35">
        <f t="shared" si="361"/>
        <v>400</v>
      </c>
      <c r="I1626" s="7">
        <f t="shared" si="363"/>
        <v>0</v>
      </c>
      <c r="J1626" s="35">
        <f t="shared" si="358"/>
        <v>400</v>
      </c>
      <c r="K1626" s="7">
        <f t="shared" si="363"/>
        <v>-50</v>
      </c>
      <c r="L1626" s="35">
        <f t="shared" si="352"/>
        <v>350</v>
      </c>
      <c r="M1626" s="7">
        <f t="shared" si="363"/>
        <v>0</v>
      </c>
      <c r="N1626" s="35">
        <f t="shared" si="359"/>
        <v>350</v>
      </c>
      <c r="O1626" s="7">
        <f t="shared" si="363"/>
        <v>0</v>
      </c>
      <c r="P1626" s="35">
        <f t="shared" si="357"/>
        <v>350</v>
      </c>
      <c r="Q1626" s="7">
        <f t="shared" si="363"/>
        <v>0</v>
      </c>
      <c r="R1626" s="35">
        <f t="shared" si="356"/>
        <v>350</v>
      </c>
      <c r="S1626" s="7">
        <f t="shared" si="363"/>
        <v>0</v>
      </c>
      <c r="T1626" s="35">
        <f t="shared" si="354"/>
        <v>350</v>
      </c>
    </row>
    <row r="1627" spans="1:20">
      <c r="A1627" s="61" t="str">
        <f ca="1">IF(ISERROR(MATCH(E1627,Код_КВР,0)),"",INDIRECT(ADDRESS(MATCH(E1627,Код_КВР,0)+1,2,,,"КВР")))</f>
        <v>Исполнение судебных актов</v>
      </c>
      <c r="B1627" s="43" t="s">
        <v>311</v>
      </c>
      <c r="C1627" s="8" t="s">
        <v>213</v>
      </c>
      <c r="D1627" s="1" t="s">
        <v>190</v>
      </c>
      <c r="E1627" s="104">
        <v>830</v>
      </c>
      <c r="F1627" s="7">
        <f>F1628</f>
        <v>400</v>
      </c>
      <c r="G1627" s="7">
        <f>G1628</f>
        <v>0</v>
      </c>
      <c r="H1627" s="35">
        <f t="shared" si="361"/>
        <v>400</v>
      </c>
      <c r="I1627" s="7">
        <f>I1628</f>
        <v>0</v>
      </c>
      <c r="J1627" s="35">
        <f t="shared" si="358"/>
        <v>400</v>
      </c>
      <c r="K1627" s="7">
        <f>K1628</f>
        <v>-50</v>
      </c>
      <c r="L1627" s="35">
        <f t="shared" si="352"/>
        <v>350</v>
      </c>
      <c r="M1627" s="7">
        <f>M1628</f>
        <v>0</v>
      </c>
      <c r="N1627" s="35">
        <f t="shared" si="359"/>
        <v>350</v>
      </c>
      <c r="O1627" s="7">
        <f>O1628</f>
        <v>0</v>
      </c>
      <c r="P1627" s="35">
        <f t="shared" si="357"/>
        <v>350</v>
      </c>
      <c r="Q1627" s="7">
        <f>Q1628</f>
        <v>0</v>
      </c>
      <c r="R1627" s="35">
        <f t="shared" si="356"/>
        <v>350</v>
      </c>
      <c r="S1627" s="7">
        <f>S1628</f>
        <v>0</v>
      </c>
      <c r="T1627" s="35">
        <f t="shared" si="354"/>
        <v>350</v>
      </c>
    </row>
    <row r="1628" spans="1:20" ht="85.5" customHeight="1">
      <c r="A1628" s="61" t="str">
        <f ca="1">IF(ISERROR(MATCH(E1628,Код_КВР,0)),"",INDIRECT(ADDRESS(MATCH(E1628,Код_КВР,0)+1,2,,,"КВР")))</f>
        <v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v>
      </c>
      <c r="B1628" s="43" t="s">
        <v>311</v>
      </c>
      <c r="C1628" s="8" t="s">
        <v>213</v>
      </c>
      <c r="D1628" s="1" t="s">
        <v>190</v>
      </c>
      <c r="E1628" s="104">
        <v>831</v>
      </c>
      <c r="F1628" s="7">
        <f>прил.6!G170+прил.6!G891</f>
        <v>400</v>
      </c>
      <c r="G1628" s="7">
        <f>прил.6!H170+прил.6!H891</f>
        <v>0</v>
      </c>
      <c r="H1628" s="35">
        <f t="shared" si="361"/>
        <v>400</v>
      </c>
      <c r="I1628" s="7">
        <f>прил.6!J170+прил.6!J891</f>
        <v>0</v>
      </c>
      <c r="J1628" s="35">
        <f t="shared" si="358"/>
        <v>400</v>
      </c>
      <c r="K1628" s="7">
        <f>прил.6!L170+прил.6!L891</f>
        <v>-50</v>
      </c>
      <c r="L1628" s="35">
        <f t="shared" si="352"/>
        <v>350</v>
      </c>
      <c r="M1628" s="7">
        <f>прил.6!N170+прил.6!N891</f>
        <v>0</v>
      </c>
      <c r="N1628" s="35">
        <f t="shared" si="359"/>
        <v>350</v>
      </c>
      <c r="O1628" s="7">
        <f>прил.6!P170+прил.6!P891</f>
        <v>0</v>
      </c>
      <c r="P1628" s="35">
        <f t="shared" si="357"/>
        <v>350</v>
      </c>
      <c r="Q1628" s="7">
        <f>прил.6!R170+прил.6!R891</f>
        <v>0</v>
      </c>
      <c r="R1628" s="35">
        <f t="shared" si="356"/>
        <v>350</v>
      </c>
      <c r="S1628" s="7">
        <f>прил.6!T170+прил.6!T891</f>
        <v>0</v>
      </c>
      <c r="T1628" s="35">
        <f t="shared" si="354"/>
        <v>350</v>
      </c>
    </row>
    <row r="1629" spans="1:20" ht="39.950000000000003" customHeight="1">
      <c r="A1629" s="61" t="str">
        <f ca="1">IF(ISERROR(MATCH(B1629,Код_КЦСР,0)),"",INDIRECT(ADDRESS(MATCH(B1629,Код_КЦСР,0)+1,2,,,"КЦСР")))</f>
        <v>Выполнение других обязательств органов местного самоуправления</v>
      </c>
      <c r="B1629" s="43" t="s">
        <v>313</v>
      </c>
      <c r="C1629" s="8"/>
      <c r="D1629" s="1"/>
      <c r="E1629" s="104"/>
      <c r="F1629" s="7"/>
      <c r="G1629" s="7"/>
      <c r="H1629" s="35"/>
      <c r="I1629" s="7"/>
      <c r="J1629" s="35"/>
      <c r="K1629" s="7"/>
      <c r="L1629" s="35"/>
      <c r="M1629" s="7">
        <f>M1630</f>
        <v>0.5</v>
      </c>
      <c r="N1629" s="35">
        <f t="shared" si="359"/>
        <v>0.5</v>
      </c>
      <c r="O1629" s="7">
        <f>O1630</f>
        <v>0</v>
      </c>
      <c r="P1629" s="35">
        <f t="shared" si="357"/>
        <v>0.5</v>
      </c>
      <c r="Q1629" s="7">
        <f>Q1630</f>
        <v>0</v>
      </c>
      <c r="R1629" s="35">
        <f t="shared" si="356"/>
        <v>0.5</v>
      </c>
      <c r="S1629" s="7">
        <f>S1630</f>
        <v>0</v>
      </c>
      <c r="T1629" s="35">
        <f t="shared" si="354"/>
        <v>0.5</v>
      </c>
    </row>
    <row r="1630" spans="1:20">
      <c r="A1630" s="61" t="str">
        <f ca="1">IF(ISERROR(MATCH(C1630,Код_Раздел,0)),"",INDIRECT(ADDRESS(MATCH(C1630,Код_Раздел,0)+1,2,,,"Раздел")))</f>
        <v>Общегосударственные  вопросы</v>
      </c>
      <c r="B1630" s="43" t="s">
        <v>313</v>
      </c>
      <c r="C1630" s="8" t="s">
        <v>213</v>
      </c>
      <c r="D1630" s="1"/>
      <c r="E1630" s="104"/>
      <c r="F1630" s="7"/>
      <c r="G1630" s="7"/>
      <c r="H1630" s="35"/>
      <c r="I1630" s="7"/>
      <c r="J1630" s="35"/>
      <c r="K1630" s="7"/>
      <c r="L1630" s="35"/>
      <c r="M1630" s="7">
        <f>M1631</f>
        <v>0.5</v>
      </c>
      <c r="N1630" s="35">
        <f t="shared" si="359"/>
        <v>0.5</v>
      </c>
      <c r="O1630" s="7">
        <f>O1631</f>
        <v>0</v>
      </c>
      <c r="P1630" s="35">
        <f t="shared" si="357"/>
        <v>0.5</v>
      </c>
      <c r="Q1630" s="7">
        <f>Q1631</f>
        <v>0</v>
      </c>
      <c r="R1630" s="35">
        <f t="shared" si="356"/>
        <v>0.5</v>
      </c>
      <c r="S1630" s="7">
        <f>S1631</f>
        <v>0</v>
      </c>
      <c r="T1630" s="35">
        <f t="shared" si="354"/>
        <v>0.5</v>
      </c>
    </row>
    <row r="1631" spans="1:20">
      <c r="A1631" s="12" t="s">
        <v>237</v>
      </c>
      <c r="B1631" s="43" t="s">
        <v>313</v>
      </c>
      <c r="C1631" s="8" t="s">
        <v>213</v>
      </c>
      <c r="D1631" s="1" t="s">
        <v>190</v>
      </c>
      <c r="E1631" s="104"/>
      <c r="F1631" s="7"/>
      <c r="G1631" s="7"/>
      <c r="H1631" s="35"/>
      <c r="I1631" s="7"/>
      <c r="J1631" s="35"/>
      <c r="K1631" s="7"/>
      <c r="L1631" s="35"/>
      <c r="M1631" s="7">
        <f>M1632</f>
        <v>0.5</v>
      </c>
      <c r="N1631" s="35">
        <f t="shared" si="359"/>
        <v>0.5</v>
      </c>
      <c r="O1631" s="7">
        <f>O1632</f>
        <v>0</v>
      </c>
      <c r="P1631" s="35">
        <f t="shared" si="357"/>
        <v>0.5</v>
      </c>
      <c r="Q1631" s="7">
        <f>Q1632</f>
        <v>0</v>
      </c>
      <c r="R1631" s="35">
        <f t="shared" si="356"/>
        <v>0.5</v>
      </c>
      <c r="S1631" s="7">
        <f>S1632</f>
        <v>0</v>
      </c>
      <c r="T1631" s="35">
        <f t="shared" si="354"/>
        <v>0.5</v>
      </c>
    </row>
    <row r="1632" spans="1:20">
      <c r="A1632" s="61" t="str">
        <f ca="1">IF(ISERROR(MATCH(E1632,Код_КВР,0)),"",INDIRECT(ADDRESS(MATCH(E1632,Код_КВР,0)+1,2,,,"КВР")))</f>
        <v>Иные бюджетные ассигнования</v>
      </c>
      <c r="B1632" s="43" t="s">
        <v>313</v>
      </c>
      <c r="C1632" s="8" t="s">
        <v>213</v>
      </c>
      <c r="D1632" s="1" t="s">
        <v>190</v>
      </c>
      <c r="E1632" s="104">
        <v>800</v>
      </c>
      <c r="F1632" s="7"/>
      <c r="G1632" s="7"/>
      <c r="H1632" s="35"/>
      <c r="I1632" s="7"/>
      <c r="J1632" s="35"/>
      <c r="K1632" s="7"/>
      <c r="L1632" s="35"/>
      <c r="M1632" s="7">
        <f>M1633</f>
        <v>0.5</v>
      </c>
      <c r="N1632" s="35">
        <f t="shared" si="359"/>
        <v>0.5</v>
      </c>
      <c r="O1632" s="7">
        <f>O1633</f>
        <v>0</v>
      </c>
      <c r="P1632" s="35">
        <f t="shared" si="357"/>
        <v>0.5</v>
      </c>
      <c r="Q1632" s="7">
        <f>Q1633</f>
        <v>0</v>
      </c>
      <c r="R1632" s="35">
        <f t="shared" si="356"/>
        <v>0.5</v>
      </c>
      <c r="S1632" s="7">
        <f>S1633</f>
        <v>0</v>
      </c>
      <c r="T1632" s="35">
        <f t="shared" si="354"/>
        <v>0.5</v>
      </c>
    </row>
    <row r="1633" spans="1:20">
      <c r="A1633" s="61" t="str">
        <f ca="1">IF(ISERROR(MATCH(E1633,Код_КВР,0)),"",INDIRECT(ADDRESS(MATCH(E1633,Код_КВР,0)+1,2,,,"КВР")))</f>
        <v>Уплата налогов, сборов и иных платежей</v>
      </c>
      <c r="B1633" s="43" t="s">
        <v>313</v>
      </c>
      <c r="C1633" s="8" t="s">
        <v>213</v>
      </c>
      <c r="D1633" s="1" t="s">
        <v>190</v>
      </c>
      <c r="E1633" s="104">
        <v>850</v>
      </c>
      <c r="F1633" s="7"/>
      <c r="G1633" s="7"/>
      <c r="H1633" s="35"/>
      <c r="I1633" s="7"/>
      <c r="J1633" s="35"/>
      <c r="K1633" s="7"/>
      <c r="L1633" s="35"/>
      <c r="M1633" s="7">
        <f>M1634</f>
        <v>0.5</v>
      </c>
      <c r="N1633" s="35">
        <f t="shared" si="359"/>
        <v>0.5</v>
      </c>
      <c r="O1633" s="7">
        <f>O1634</f>
        <v>0</v>
      </c>
      <c r="P1633" s="35">
        <f t="shared" si="357"/>
        <v>0.5</v>
      </c>
      <c r="Q1633" s="7">
        <f>Q1634</f>
        <v>0</v>
      </c>
      <c r="R1633" s="35">
        <f t="shared" si="356"/>
        <v>0.5</v>
      </c>
      <c r="S1633" s="7">
        <f>S1634</f>
        <v>0</v>
      </c>
      <c r="T1633" s="35">
        <f t="shared" si="354"/>
        <v>0.5</v>
      </c>
    </row>
    <row r="1634" spans="1:20">
      <c r="A1634" s="61" t="str">
        <f ca="1">IF(ISERROR(MATCH(E1634,Код_КВР,0)),"",INDIRECT(ADDRESS(MATCH(E1634,Код_КВР,0)+1,2,,,"КВР")))</f>
        <v>Уплата налога на имущество организаций и земельного налога</v>
      </c>
      <c r="B1634" s="43" t="s">
        <v>313</v>
      </c>
      <c r="C1634" s="8" t="s">
        <v>213</v>
      </c>
      <c r="D1634" s="1" t="s">
        <v>190</v>
      </c>
      <c r="E1634" s="104">
        <v>851</v>
      </c>
      <c r="F1634" s="7"/>
      <c r="G1634" s="7"/>
      <c r="H1634" s="35"/>
      <c r="I1634" s="7"/>
      <c r="J1634" s="35"/>
      <c r="K1634" s="7"/>
      <c r="L1634" s="35"/>
      <c r="M1634" s="7">
        <f>прил.6!N174</f>
        <v>0.5</v>
      </c>
      <c r="N1634" s="35">
        <f t="shared" si="359"/>
        <v>0.5</v>
      </c>
      <c r="O1634" s="7">
        <f>прил.6!P174</f>
        <v>0</v>
      </c>
      <c r="P1634" s="35">
        <f t="shared" si="357"/>
        <v>0.5</v>
      </c>
      <c r="Q1634" s="7">
        <f>прил.6!R174</f>
        <v>0</v>
      </c>
      <c r="R1634" s="35">
        <f t="shared" si="356"/>
        <v>0.5</v>
      </c>
      <c r="S1634" s="7">
        <f>прил.6!T174</f>
        <v>0</v>
      </c>
      <c r="T1634" s="35">
        <f t="shared" si="354"/>
        <v>0.5</v>
      </c>
    </row>
    <row r="1635" spans="1:20" ht="66.75" customHeight="1">
      <c r="A1635" s="61" t="str">
        <f ca="1">IF(ISERROR(MATCH(B1635,Код_КЦСР,0)),"",INDIRECT(ADDRESS(MATCH(B1635,Код_КЦСР,0)+1,2,,,"КЦСР")))</f>
        <v>Реализация мероприятий по содействию в трудоустройстве незанятых инвалидов на оборудованные (оснащенные) для них рабочие места за счет иных межбюджетных трансфертов из областного бюджета</v>
      </c>
      <c r="B1635" s="104" t="s">
        <v>628</v>
      </c>
      <c r="C1635" s="8"/>
      <c r="D1635" s="1"/>
      <c r="E1635" s="104"/>
      <c r="F1635" s="7"/>
      <c r="G1635" s="7"/>
      <c r="H1635" s="35"/>
      <c r="I1635" s="7"/>
      <c r="J1635" s="35"/>
      <c r="K1635" s="7"/>
      <c r="L1635" s="35"/>
      <c r="M1635" s="7">
        <f>M1636</f>
        <v>3.4</v>
      </c>
      <c r="N1635" s="35">
        <f t="shared" si="359"/>
        <v>3.4</v>
      </c>
      <c r="O1635" s="7">
        <f>O1636</f>
        <v>0</v>
      </c>
      <c r="P1635" s="35">
        <f t="shared" si="357"/>
        <v>3.4</v>
      </c>
      <c r="Q1635" s="7">
        <f>Q1636</f>
        <v>0</v>
      </c>
      <c r="R1635" s="35">
        <f t="shared" si="356"/>
        <v>3.4</v>
      </c>
      <c r="S1635" s="7">
        <f>S1636</f>
        <v>0</v>
      </c>
      <c r="T1635" s="35">
        <f t="shared" si="354"/>
        <v>3.4</v>
      </c>
    </row>
    <row r="1636" spans="1:20" ht="24.75" customHeight="1">
      <c r="A1636" s="61" t="str">
        <f ca="1">IF(ISERROR(MATCH(C1636,Код_Раздел,0)),"",INDIRECT(ADDRESS(MATCH(C1636,Код_Раздел,0)+1,2,,,"Раздел")))</f>
        <v>Национальная экономика</v>
      </c>
      <c r="B1636" s="104" t="s">
        <v>628</v>
      </c>
      <c r="C1636" s="8" t="s">
        <v>216</v>
      </c>
      <c r="D1636" s="1"/>
      <c r="E1636" s="104"/>
      <c r="F1636" s="7"/>
      <c r="G1636" s="7"/>
      <c r="H1636" s="35"/>
      <c r="I1636" s="7"/>
      <c r="J1636" s="35"/>
      <c r="K1636" s="7"/>
      <c r="L1636" s="35"/>
      <c r="M1636" s="7">
        <f>M1637</f>
        <v>3.4</v>
      </c>
      <c r="N1636" s="35">
        <f t="shared" si="359"/>
        <v>3.4</v>
      </c>
      <c r="O1636" s="7">
        <f>O1637</f>
        <v>0</v>
      </c>
      <c r="P1636" s="35">
        <f t="shared" si="357"/>
        <v>3.4</v>
      </c>
      <c r="Q1636" s="7">
        <f>Q1637</f>
        <v>0</v>
      </c>
      <c r="R1636" s="35">
        <f t="shared" si="356"/>
        <v>3.4</v>
      </c>
      <c r="S1636" s="7">
        <f>S1637</f>
        <v>0</v>
      </c>
      <c r="T1636" s="35">
        <f t="shared" si="354"/>
        <v>3.4</v>
      </c>
    </row>
    <row r="1637" spans="1:20" ht="15.75" customHeight="1">
      <c r="A1637" s="76" t="s">
        <v>203</v>
      </c>
      <c r="B1637" s="104" t="s">
        <v>628</v>
      </c>
      <c r="C1637" s="8" t="s">
        <v>216</v>
      </c>
      <c r="D1637" s="1" t="s">
        <v>213</v>
      </c>
      <c r="E1637" s="104"/>
      <c r="F1637" s="7"/>
      <c r="G1637" s="7"/>
      <c r="H1637" s="35"/>
      <c r="I1637" s="7"/>
      <c r="J1637" s="35"/>
      <c r="K1637" s="7"/>
      <c r="L1637" s="35"/>
      <c r="M1637" s="7">
        <f>M1638</f>
        <v>3.4</v>
      </c>
      <c r="N1637" s="35">
        <f t="shared" si="359"/>
        <v>3.4</v>
      </c>
      <c r="O1637" s="7">
        <f>O1638</f>
        <v>0</v>
      </c>
      <c r="P1637" s="35">
        <f t="shared" si="357"/>
        <v>3.4</v>
      </c>
      <c r="Q1637" s="7">
        <f>Q1638</f>
        <v>0</v>
      </c>
      <c r="R1637" s="35">
        <f t="shared" si="356"/>
        <v>3.4</v>
      </c>
      <c r="S1637" s="7">
        <f>S1638</f>
        <v>0</v>
      </c>
      <c r="T1637" s="35">
        <f t="shared" si="354"/>
        <v>3.4</v>
      </c>
    </row>
    <row r="1638" spans="1:20" ht="41.25" customHeight="1">
      <c r="A1638" s="61" t="str">
        <f ca="1">IF(ISERROR(MATCH(E1638,Код_КВР,0)),"",INDIRECT(ADDRESS(MATCH(E1638,Код_КВР,0)+1,2,,,"КВР")))</f>
        <v>Предоставление субсидий бюджетным, автономным учреждениям и иным некоммерческим организациям</v>
      </c>
      <c r="B1638" s="104" t="s">
        <v>628</v>
      </c>
      <c r="C1638" s="8" t="s">
        <v>216</v>
      </c>
      <c r="D1638" s="1" t="s">
        <v>213</v>
      </c>
      <c r="E1638" s="104">
        <v>600</v>
      </c>
      <c r="F1638" s="7"/>
      <c r="G1638" s="7"/>
      <c r="H1638" s="35"/>
      <c r="I1638" s="7"/>
      <c r="J1638" s="35"/>
      <c r="K1638" s="7"/>
      <c r="L1638" s="35"/>
      <c r="M1638" s="7">
        <f>M1639</f>
        <v>3.4</v>
      </c>
      <c r="N1638" s="35">
        <f t="shared" si="359"/>
        <v>3.4</v>
      </c>
      <c r="O1638" s="7">
        <f>O1639</f>
        <v>0</v>
      </c>
      <c r="P1638" s="35">
        <f t="shared" si="357"/>
        <v>3.4</v>
      </c>
      <c r="Q1638" s="7">
        <f>Q1639</f>
        <v>0</v>
      </c>
      <c r="R1638" s="35">
        <f t="shared" si="356"/>
        <v>3.4</v>
      </c>
      <c r="S1638" s="7">
        <f>S1639</f>
        <v>0</v>
      </c>
      <c r="T1638" s="35">
        <f t="shared" si="354"/>
        <v>3.4</v>
      </c>
    </row>
    <row r="1639" spans="1:20" ht="21.95" customHeight="1">
      <c r="A1639" s="61" t="str">
        <f ca="1">IF(ISERROR(MATCH(E1639,Код_КВР,0)),"",INDIRECT(ADDRESS(MATCH(E1639,Код_КВР,0)+1,2,,,"КВР")))</f>
        <v>Субсидии бюджетным учреждениям</v>
      </c>
      <c r="B1639" s="104" t="s">
        <v>628</v>
      </c>
      <c r="C1639" s="8" t="s">
        <v>216</v>
      </c>
      <c r="D1639" s="1" t="s">
        <v>213</v>
      </c>
      <c r="E1639" s="104">
        <v>610</v>
      </c>
      <c r="F1639" s="7"/>
      <c r="G1639" s="7"/>
      <c r="H1639" s="35"/>
      <c r="I1639" s="7"/>
      <c r="J1639" s="35"/>
      <c r="K1639" s="7"/>
      <c r="L1639" s="35"/>
      <c r="M1639" s="7">
        <f>M1640</f>
        <v>3.4</v>
      </c>
      <c r="N1639" s="35">
        <f t="shared" si="359"/>
        <v>3.4</v>
      </c>
      <c r="O1639" s="7">
        <f>O1640</f>
        <v>0</v>
      </c>
      <c r="P1639" s="35">
        <f t="shared" si="357"/>
        <v>3.4</v>
      </c>
      <c r="Q1639" s="7">
        <f>Q1640</f>
        <v>0</v>
      </c>
      <c r="R1639" s="35">
        <f t="shared" si="356"/>
        <v>3.4</v>
      </c>
      <c r="S1639" s="7">
        <f>S1640</f>
        <v>0</v>
      </c>
      <c r="T1639" s="35">
        <f t="shared" si="354"/>
        <v>3.4</v>
      </c>
    </row>
    <row r="1640" spans="1:20" ht="27.2" customHeight="1">
      <c r="A1640" s="61" t="str">
        <f ca="1">IF(ISERROR(MATCH(E1640,Код_КВР,0)),"",INDIRECT(ADDRESS(MATCH(E1640,Код_КВР,0)+1,2,,,"КВР")))</f>
        <v>Субсидии бюджетным учреждениям на иные цели</v>
      </c>
      <c r="B1640" s="104" t="s">
        <v>628</v>
      </c>
      <c r="C1640" s="8" t="s">
        <v>216</v>
      </c>
      <c r="D1640" s="1" t="s">
        <v>213</v>
      </c>
      <c r="E1640" s="104">
        <v>612</v>
      </c>
      <c r="F1640" s="7"/>
      <c r="G1640" s="7"/>
      <c r="H1640" s="35"/>
      <c r="I1640" s="7"/>
      <c r="J1640" s="35"/>
      <c r="K1640" s="7"/>
      <c r="L1640" s="35"/>
      <c r="M1640" s="7">
        <f>прил.6!N580</f>
        <v>3.4</v>
      </c>
      <c r="N1640" s="35">
        <f t="shared" si="359"/>
        <v>3.4</v>
      </c>
      <c r="O1640" s="7">
        <f>прил.6!P580</f>
        <v>0</v>
      </c>
      <c r="P1640" s="35">
        <f t="shared" si="357"/>
        <v>3.4</v>
      </c>
      <c r="Q1640" s="7">
        <f>прил.6!R580</f>
        <v>0</v>
      </c>
      <c r="R1640" s="35">
        <f t="shared" si="356"/>
        <v>3.4</v>
      </c>
      <c r="S1640" s="7">
        <f>прил.6!T580</f>
        <v>0</v>
      </c>
      <c r="T1640" s="35">
        <f t="shared" si="354"/>
        <v>3.4</v>
      </c>
    </row>
    <row r="1641" spans="1:20">
      <c r="A1641" s="61" t="str">
        <f ca="1">IF(ISERROR(MATCH(B1641,Код_КЦСР,0)),"",INDIRECT(ADDRESS(MATCH(B1641,Код_КЦСР,0)+1,2,,,"КЦСР")))</f>
        <v>Процентные платежи по долговым обязательствам</v>
      </c>
      <c r="B1641" s="43" t="s">
        <v>314</v>
      </c>
      <c r="C1641" s="8"/>
      <c r="D1641" s="1"/>
      <c r="E1641" s="104"/>
      <c r="F1641" s="7">
        <f t="shared" ref="F1641:S1645" si="364">F1642</f>
        <v>46394.2</v>
      </c>
      <c r="G1641" s="7">
        <f t="shared" si="364"/>
        <v>0</v>
      </c>
      <c r="H1641" s="35">
        <f t="shared" si="361"/>
        <v>46394.2</v>
      </c>
      <c r="I1641" s="7">
        <f t="shared" si="364"/>
        <v>0</v>
      </c>
      <c r="J1641" s="35">
        <f t="shared" si="358"/>
        <v>46394.2</v>
      </c>
      <c r="K1641" s="7">
        <f t="shared" si="364"/>
        <v>0</v>
      </c>
      <c r="L1641" s="35">
        <f t="shared" si="352"/>
        <v>46394.2</v>
      </c>
      <c r="M1641" s="7">
        <f t="shared" si="364"/>
        <v>0</v>
      </c>
      <c r="N1641" s="35">
        <f t="shared" si="359"/>
        <v>46394.2</v>
      </c>
      <c r="O1641" s="7">
        <f t="shared" si="364"/>
        <v>0</v>
      </c>
      <c r="P1641" s="35">
        <f t="shared" si="357"/>
        <v>46394.2</v>
      </c>
      <c r="Q1641" s="7">
        <f t="shared" si="364"/>
        <v>0</v>
      </c>
      <c r="R1641" s="35">
        <f t="shared" si="356"/>
        <v>46394.2</v>
      </c>
      <c r="S1641" s="7">
        <f t="shared" si="364"/>
        <v>0</v>
      </c>
      <c r="T1641" s="35">
        <f t="shared" si="354"/>
        <v>46394.2</v>
      </c>
    </row>
    <row r="1642" spans="1:20">
      <c r="A1642" s="61" t="str">
        <f ca="1">IF(ISERROR(MATCH(B1642,Код_КЦСР,0)),"",INDIRECT(ADDRESS(MATCH(B1642,Код_КЦСР,0)+1,2,,,"КЦСР")))</f>
        <v>Процентные платежи по муниципальному долгу</v>
      </c>
      <c r="B1642" s="43" t="s">
        <v>315</v>
      </c>
      <c r="C1642" s="8"/>
      <c r="D1642" s="1"/>
      <c r="E1642" s="104"/>
      <c r="F1642" s="7">
        <f t="shared" si="364"/>
        <v>46394.2</v>
      </c>
      <c r="G1642" s="7">
        <f t="shared" si="364"/>
        <v>0</v>
      </c>
      <c r="H1642" s="35">
        <f t="shared" si="361"/>
        <v>46394.2</v>
      </c>
      <c r="I1642" s="7">
        <f t="shared" si="364"/>
        <v>0</v>
      </c>
      <c r="J1642" s="35">
        <f t="shared" si="358"/>
        <v>46394.2</v>
      </c>
      <c r="K1642" s="7">
        <f t="shared" si="364"/>
        <v>0</v>
      </c>
      <c r="L1642" s="35">
        <f t="shared" si="352"/>
        <v>46394.2</v>
      </c>
      <c r="M1642" s="7">
        <f t="shared" si="364"/>
        <v>0</v>
      </c>
      <c r="N1642" s="35">
        <f t="shared" si="359"/>
        <v>46394.2</v>
      </c>
      <c r="O1642" s="7">
        <f t="shared" si="364"/>
        <v>0</v>
      </c>
      <c r="P1642" s="35">
        <f t="shared" si="357"/>
        <v>46394.2</v>
      </c>
      <c r="Q1642" s="7">
        <f t="shared" si="364"/>
        <v>0</v>
      </c>
      <c r="R1642" s="35">
        <f t="shared" si="356"/>
        <v>46394.2</v>
      </c>
      <c r="S1642" s="7">
        <f t="shared" si="364"/>
        <v>0</v>
      </c>
      <c r="T1642" s="35">
        <f t="shared" si="354"/>
        <v>46394.2</v>
      </c>
    </row>
    <row r="1643" spans="1:20">
      <c r="A1643" s="61" t="str">
        <f ca="1">IF(ISERROR(MATCH(C1643,Код_Раздел,0)),"",INDIRECT(ADDRESS(MATCH(C1643,Код_Раздел,0)+1,2,,,"Раздел")))</f>
        <v>Обслуживание государственного и муниципального долга</v>
      </c>
      <c r="B1643" s="43" t="s">
        <v>315</v>
      </c>
      <c r="C1643" s="8" t="s">
        <v>190</v>
      </c>
      <c r="D1643" s="1"/>
      <c r="E1643" s="104"/>
      <c r="F1643" s="7">
        <f t="shared" si="364"/>
        <v>46394.2</v>
      </c>
      <c r="G1643" s="7">
        <f t="shared" si="364"/>
        <v>0</v>
      </c>
      <c r="H1643" s="35">
        <f t="shared" si="361"/>
        <v>46394.2</v>
      </c>
      <c r="I1643" s="7">
        <f t="shared" si="364"/>
        <v>0</v>
      </c>
      <c r="J1643" s="35">
        <f t="shared" si="358"/>
        <v>46394.2</v>
      </c>
      <c r="K1643" s="7">
        <f t="shared" si="364"/>
        <v>0</v>
      </c>
      <c r="L1643" s="35">
        <f t="shared" si="352"/>
        <v>46394.2</v>
      </c>
      <c r="M1643" s="7">
        <f t="shared" si="364"/>
        <v>0</v>
      </c>
      <c r="N1643" s="35">
        <f t="shared" si="359"/>
        <v>46394.2</v>
      </c>
      <c r="O1643" s="7">
        <f t="shared" si="364"/>
        <v>0</v>
      </c>
      <c r="P1643" s="35">
        <f t="shared" si="357"/>
        <v>46394.2</v>
      </c>
      <c r="Q1643" s="7">
        <f t="shared" si="364"/>
        <v>0</v>
      </c>
      <c r="R1643" s="35">
        <f t="shared" si="356"/>
        <v>46394.2</v>
      </c>
      <c r="S1643" s="7">
        <f t="shared" si="364"/>
        <v>0</v>
      </c>
      <c r="T1643" s="35">
        <f t="shared" si="354"/>
        <v>46394.2</v>
      </c>
    </row>
    <row r="1644" spans="1:20" ht="33">
      <c r="A1644" s="12" t="s">
        <v>261</v>
      </c>
      <c r="B1644" s="43" t="s">
        <v>315</v>
      </c>
      <c r="C1644" s="8" t="s">
        <v>190</v>
      </c>
      <c r="D1644" s="1" t="s">
        <v>213</v>
      </c>
      <c r="E1644" s="104"/>
      <c r="F1644" s="7">
        <f t="shared" si="364"/>
        <v>46394.2</v>
      </c>
      <c r="G1644" s="7">
        <f t="shared" si="364"/>
        <v>0</v>
      </c>
      <c r="H1644" s="35">
        <f t="shared" si="361"/>
        <v>46394.2</v>
      </c>
      <c r="I1644" s="7">
        <f t="shared" si="364"/>
        <v>0</v>
      </c>
      <c r="J1644" s="35">
        <f t="shared" si="358"/>
        <v>46394.2</v>
      </c>
      <c r="K1644" s="7">
        <f t="shared" si="364"/>
        <v>0</v>
      </c>
      <c r="L1644" s="35">
        <f t="shared" si="352"/>
        <v>46394.2</v>
      </c>
      <c r="M1644" s="7">
        <f t="shared" si="364"/>
        <v>0</v>
      </c>
      <c r="N1644" s="35">
        <f t="shared" si="359"/>
        <v>46394.2</v>
      </c>
      <c r="O1644" s="7">
        <f t="shared" si="364"/>
        <v>0</v>
      </c>
      <c r="P1644" s="35">
        <f t="shared" si="357"/>
        <v>46394.2</v>
      </c>
      <c r="Q1644" s="7">
        <f t="shared" si="364"/>
        <v>0</v>
      </c>
      <c r="R1644" s="35">
        <f t="shared" si="356"/>
        <v>46394.2</v>
      </c>
      <c r="S1644" s="7">
        <f t="shared" si="364"/>
        <v>0</v>
      </c>
      <c r="T1644" s="35">
        <f t="shared" ref="T1644:T1712" si="365">R1644+S1644</f>
        <v>46394.2</v>
      </c>
    </row>
    <row r="1645" spans="1:20">
      <c r="A1645" s="61" t="str">
        <f ca="1">IF(ISERROR(MATCH(E1645,Код_КВР,0)),"",INDIRECT(ADDRESS(MATCH(E1645,Код_КВР,0)+1,2,,,"КВР")))</f>
        <v>Обслуживание государственного (муниципального) долга</v>
      </c>
      <c r="B1645" s="43" t="s">
        <v>315</v>
      </c>
      <c r="C1645" s="8" t="s">
        <v>190</v>
      </c>
      <c r="D1645" s="1" t="s">
        <v>213</v>
      </c>
      <c r="E1645" s="104">
        <v>700</v>
      </c>
      <c r="F1645" s="7">
        <f t="shared" si="364"/>
        <v>46394.2</v>
      </c>
      <c r="G1645" s="7">
        <f t="shared" si="364"/>
        <v>0</v>
      </c>
      <c r="H1645" s="35">
        <f t="shared" si="361"/>
        <v>46394.2</v>
      </c>
      <c r="I1645" s="7">
        <f t="shared" si="364"/>
        <v>0</v>
      </c>
      <c r="J1645" s="35">
        <f t="shared" si="358"/>
        <v>46394.2</v>
      </c>
      <c r="K1645" s="7">
        <f t="shared" si="364"/>
        <v>0</v>
      </c>
      <c r="L1645" s="35">
        <f t="shared" si="352"/>
        <v>46394.2</v>
      </c>
      <c r="M1645" s="7">
        <f t="shared" si="364"/>
        <v>0</v>
      </c>
      <c r="N1645" s="35">
        <f t="shared" si="359"/>
        <v>46394.2</v>
      </c>
      <c r="O1645" s="7">
        <f t="shared" si="364"/>
        <v>0</v>
      </c>
      <c r="P1645" s="35">
        <f t="shared" si="357"/>
        <v>46394.2</v>
      </c>
      <c r="Q1645" s="7">
        <f t="shared" si="364"/>
        <v>0</v>
      </c>
      <c r="R1645" s="35">
        <f t="shared" si="356"/>
        <v>46394.2</v>
      </c>
      <c r="S1645" s="7">
        <f t="shared" si="364"/>
        <v>0</v>
      </c>
      <c r="T1645" s="35">
        <f t="shared" si="365"/>
        <v>46394.2</v>
      </c>
    </row>
    <row r="1646" spans="1:20">
      <c r="A1646" s="61" t="str">
        <f ca="1">IF(ISERROR(MATCH(E1646,Код_КВР,0)),"",INDIRECT(ADDRESS(MATCH(E1646,Код_КВР,0)+1,2,,,"КВР")))</f>
        <v>Обслуживание муниципального долга</v>
      </c>
      <c r="B1646" s="43" t="s">
        <v>315</v>
      </c>
      <c r="C1646" s="8" t="s">
        <v>190</v>
      </c>
      <c r="D1646" s="1" t="s">
        <v>213</v>
      </c>
      <c r="E1646" s="104">
        <v>730</v>
      </c>
      <c r="F1646" s="7">
        <f>прил.6!G907</f>
        <v>46394.2</v>
      </c>
      <c r="G1646" s="7">
        <f>прил.6!H907</f>
        <v>0</v>
      </c>
      <c r="H1646" s="35">
        <f t="shared" si="361"/>
        <v>46394.2</v>
      </c>
      <c r="I1646" s="7">
        <f>прил.6!J907</f>
        <v>0</v>
      </c>
      <c r="J1646" s="35">
        <f t="shared" si="358"/>
        <v>46394.2</v>
      </c>
      <c r="K1646" s="7">
        <f>прил.6!L907</f>
        <v>0</v>
      </c>
      <c r="L1646" s="35">
        <f t="shared" si="352"/>
        <v>46394.2</v>
      </c>
      <c r="M1646" s="7">
        <f>прил.6!N907</f>
        <v>0</v>
      </c>
      <c r="N1646" s="35">
        <f t="shared" si="359"/>
        <v>46394.2</v>
      </c>
      <c r="O1646" s="7">
        <f>прил.6!P907</f>
        <v>0</v>
      </c>
      <c r="P1646" s="35">
        <f t="shared" si="357"/>
        <v>46394.2</v>
      </c>
      <c r="Q1646" s="7">
        <f>прил.6!R907</f>
        <v>0</v>
      </c>
      <c r="R1646" s="35">
        <f t="shared" si="356"/>
        <v>46394.2</v>
      </c>
      <c r="S1646" s="7">
        <f>прил.6!T907</f>
        <v>0</v>
      </c>
      <c r="T1646" s="35">
        <f t="shared" si="365"/>
        <v>46394.2</v>
      </c>
    </row>
    <row r="1647" spans="1:20" ht="54" customHeight="1">
      <c r="A1647" s="61" t="str">
        <f ca="1">IF(ISERROR(MATCH(B1647,Код_КЦСР,0)),"",INDIRECT(ADDRESS(MATCH(B1647,Код_КЦСР,0)+1,2,,,"КЦСР")))</f>
        <v>Реализация дополнительных мероприятий в сфере занятости населения за счет иных межбюджетных трансфертов из федерального бюджета</v>
      </c>
      <c r="B1647" s="104" t="s">
        <v>626</v>
      </c>
      <c r="C1647" s="8"/>
      <c r="D1647" s="1"/>
      <c r="E1647" s="104"/>
      <c r="F1647" s="7"/>
      <c r="G1647" s="7"/>
      <c r="H1647" s="35"/>
      <c r="I1647" s="7"/>
      <c r="J1647" s="35"/>
      <c r="K1647" s="7"/>
      <c r="L1647" s="35"/>
      <c r="M1647" s="7">
        <f>M1648</f>
        <v>65.5</v>
      </c>
      <c r="N1647" s="35">
        <f t="shared" si="359"/>
        <v>65.5</v>
      </c>
      <c r="O1647" s="7">
        <f>O1648</f>
        <v>0</v>
      </c>
      <c r="P1647" s="35">
        <f t="shared" si="357"/>
        <v>65.5</v>
      </c>
      <c r="Q1647" s="7">
        <f>Q1648</f>
        <v>0</v>
      </c>
      <c r="R1647" s="35">
        <f t="shared" si="356"/>
        <v>65.5</v>
      </c>
      <c r="S1647" s="7">
        <f>S1648</f>
        <v>0</v>
      </c>
      <c r="T1647" s="35">
        <f t="shared" si="365"/>
        <v>65.5</v>
      </c>
    </row>
    <row r="1648" spans="1:20">
      <c r="A1648" s="61" t="str">
        <f ca="1">IF(ISERROR(MATCH(C1648,Код_Раздел,0)),"",INDIRECT(ADDRESS(MATCH(C1648,Код_Раздел,0)+1,2,,,"Раздел")))</f>
        <v>Национальная экономика</v>
      </c>
      <c r="B1648" s="104" t="s">
        <v>626</v>
      </c>
      <c r="C1648" s="8" t="s">
        <v>216</v>
      </c>
      <c r="D1648" s="1"/>
      <c r="E1648" s="104"/>
      <c r="F1648" s="7"/>
      <c r="G1648" s="7"/>
      <c r="H1648" s="35"/>
      <c r="I1648" s="7"/>
      <c r="J1648" s="35"/>
      <c r="K1648" s="7"/>
      <c r="L1648" s="35"/>
      <c r="M1648" s="7">
        <f>M1649</f>
        <v>65.5</v>
      </c>
      <c r="N1648" s="35">
        <f t="shared" si="359"/>
        <v>65.5</v>
      </c>
      <c r="O1648" s="7">
        <f>O1649</f>
        <v>0</v>
      </c>
      <c r="P1648" s="35">
        <f t="shared" si="357"/>
        <v>65.5</v>
      </c>
      <c r="Q1648" s="7">
        <f>Q1649</f>
        <v>0</v>
      </c>
      <c r="R1648" s="35">
        <f t="shared" si="356"/>
        <v>65.5</v>
      </c>
      <c r="S1648" s="7">
        <f>S1649</f>
        <v>0</v>
      </c>
      <c r="T1648" s="35">
        <f t="shared" si="365"/>
        <v>65.5</v>
      </c>
    </row>
    <row r="1649" spans="1:20">
      <c r="A1649" s="76" t="s">
        <v>203</v>
      </c>
      <c r="B1649" s="104" t="s">
        <v>626</v>
      </c>
      <c r="C1649" s="8" t="s">
        <v>216</v>
      </c>
      <c r="D1649" s="1" t="s">
        <v>213</v>
      </c>
      <c r="E1649" s="104"/>
      <c r="F1649" s="7"/>
      <c r="G1649" s="7"/>
      <c r="H1649" s="35"/>
      <c r="I1649" s="7"/>
      <c r="J1649" s="35"/>
      <c r="K1649" s="7"/>
      <c r="L1649" s="35"/>
      <c r="M1649" s="7">
        <f>M1650</f>
        <v>65.5</v>
      </c>
      <c r="N1649" s="35">
        <f t="shared" si="359"/>
        <v>65.5</v>
      </c>
      <c r="O1649" s="7">
        <f>O1650</f>
        <v>0</v>
      </c>
      <c r="P1649" s="35">
        <f t="shared" si="357"/>
        <v>65.5</v>
      </c>
      <c r="Q1649" s="7">
        <f>Q1650</f>
        <v>0</v>
      </c>
      <c r="R1649" s="35">
        <f t="shared" si="356"/>
        <v>65.5</v>
      </c>
      <c r="S1649" s="7">
        <f>S1650</f>
        <v>0</v>
      </c>
      <c r="T1649" s="35">
        <f t="shared" si="365"/>
        <v>65.5</v>
      </c>
    </row>
    <row r="1650" spans="1:20" ht="33">
      <c r="A1650" s="61" t="str">
        <f ca="1">IF(ISERROR(MATCH(E1650,Код_КВР,0)),"",INDIRECT(ADDRESS(MATCH(E1650,Код_КВР,0)+1,2,,,"КВР")))</f>
        <v>Предоставление субсидий бюджетным, автономным учреждениям и иным некоммерческим организациям</v>
      </c>
      <c r="B1650" s="104" t="s">
        <v>626</v>
      </c>
      <c r="C1650" s="8" t="s">
        <v>216</v>
      </c>
      <c r="D1650" s="1" t="s">
        <v>213</v>
      </c>
      <c r="E1650" s="104">
        <v>600</v>
      </c>
      <c r="F1650" s="7"/>
      <c r="G1650" s="7"/>
      <c r="H1650" s="35"/>
      <c r="I1650" s="7"/>
      <c r="J1650" s="35"/>
      <c r="K1650" s="7"/>
      <c r="L1650" s="35"/>
      <c r="M1650" s="7">
        <f>M1651</f>
        <v>65.5</v>
      </c>
      <c r="N1650" s="35">
        <f t="shared" si="359"/>
        <v>65.5</v>
      </c>
      <c r="O1650" s="7">
        <f>O1651</f>
        <v>0</v>
      </c>
      <c r="P1650" s="35">
        <f t="shared" si="357"/>
        <v>65.5</v>
      </c>
      <c r="Q1650" s="7">
        <f>Q1651</f>
        <v>0</v>
      </c>
      <c r="R1650" s="35">
        <f t="shared" si="356"/>
        <v>65.5</v>
      </c>
      <c r="S1650" s="7">
        <f>S1651</f>
        <v>0</v>
      </c>
      <c r="T1650" s="35">
        <f t="shared" si="365"/>
        <v>65.5</v>
      </c>
    </row>
    <row r="1651" spans="1:20">
      <c r="A1651" s="61" t="str">
        <f ca="1">IF(ISERROR(MATCH(E1651,Код_КВР,0)),"",INDIRECT(ADDRESS(MATCH(E1651,Код_КВР,0)+1,2,,,"КВР")))</f>
        <v>Субсидии бюджетным учреждениям</v>
      </c>
      <c r="B1651" s="104" t="s">
        <v>626</v>
      </c>
      <c r="C1651" s="8" t="s">
        <v>216</v>
      </c>
      <c r="D1651" s="1" t="s">
        <v>213</v>
      </c>
      <c r="E1651" s="104">
        <v>610</v>
      </c>
      <c r="F1651" s="7"/>
      <c r="G1651" s="7"/>
      <c r="H1651" s="35"/>
      <c r="I1651" s="7"/>
      <c r="J1651" s="35"/>
      <c r="K1651" s="7"/>
      <c r="L1651" s="35"/>
      <c r="M1651" s="7">
        <f>M1652</f>
        <v>65.5</v>
      </c>
      <c r="N1651" s="35">
        <f t="shared" si="359"/>
        <v>65.5</v>
      </c>
      <c r="O1651" s="7">
        <f>O1652</f>
        <v>0</v>
      </c>
      <c r="P1651" s="35">
        <f t="shared" si="357"/>
        <v>65.5</v>
      </c>
      <c r="Q1651" s="7">
        <f>Q1652</f>
        <v>0</v>
      </c>
      <c r="R1651" s="35">
        <f t="shared" si="356"/>
        <v>65.5</v>
      </c>
      <c r="S1651" s="7">
        <f>S1652</f>
        <v>0</v>
      </c>
      <c r="T1651" s="35">
        <f t="shared" si="365"/>
        <v>65.5</v>
      </c>
    </row>
    <row r="1652" spans="1:20">
      <c r="A1652" s="61" t="str">
        <f ca="1">IF(ISERROR(MATCH(E1652,Код_КВР,0)),"",INDIRECT(ADDRESS(MATCH(E1652,Код_КВР,0)+1,2,,,"КВР")))</f>
        <v>Субсидии бюджетным учреждениям на иные цели</v>
      </c>
      <c r="B1652" s="104" t="s">
        <v>626</v>
      </c>
      <c r="C1652" s="8" t="s">
        <v>216</v>
      </c>
      <c r="D1652" s="1" t="s">
        <v>213</v>
      </c>
      <c r="E1652" s="104">
        <v>612</v>
      </c>
      <c r="F1652" s="7"/>
      <c r="G1652" s="7"/>
      <c r="H1652" s="35"/>
      <c r="I1652" s="7"/>
      <c r="J1652" s="35"/>
      <c r="K1652" s="7"/>
      <c r="L1652" s="35"/>
      <c r="M1652" s="7">
        <f>прил.6!N584</f>
        <v>65.5</v>
      </c>
      <c r="N1652" s="35">
        <f t="shared" si="359"/>
        <v>65.5</v>
      </c>
      <c r="O1652" s="7">
        <f>прил.6!P584</f>
        <v>0</v>
      </c>
      <c r="P1652" s="35">
        <f t="shared" si="357"/>
        <v>65.5</v>
      </c>
      <c r="Q1652" s="7">
        <f>прил.6!R584</f>
        <v>0</v>
      </c>
      <c r="R1652" s="35">
        <f t="shared" si="356"/>
        <v>65.5</v>
      </c>
      <c r="S1652" s="7">
        <f>прил.6!T584</f>
        <v>0</v>
      </c>
      <c r="T1652" s="35">
        <f t="shared" si="365"/>
        <v>65.5</v>
      </c>
    </row>
    <row r="1653" spans="1:20" ht="66">
      <c r="A1653" s="61" t="str">
        <f ca="1">IF(ISERROR(MATCH(B1653,Код_КЦСР,0)),"",INDIRECT(ADDRESS(MATCH(B1653,Код_КЦСР,0)+1,2,,,"КЦСР")))</f>
        <v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за счет субвенций из федерального бюджета</v>
      </c>
      <c r="B1653" s="104" t="s">
        <v>383</v>
      </c>
      <c r="C1653" s="8"/>
      <c r="D1653" s="1"/>
      <c r="E1653" s="104"/>
      <c r="F1653" s="7">
        <f t="shared" ref="F1653:S1657" si="366">F1654</f>
        <v>0</v>
      </c>
      <c r="G1653" s="7">
        <f t="shared" si="366"/>
        <v>0</v>
      </c>
      <c r="H1653" s="35">
        <f t="shared" ref="H1653:H1658" si="367">F1653+G1653</f>
        <v>0</v>
      </c>
      <c r="I1653" s="7">
        <f t="shared" si="366"/>
        <v>0</v>
      </c>
      <c r="J1653" s="35">
        <f t="shared" ref="J1653:J1658" si="368">H1653+I1653</f>
        <v>0</v>
      </c>
      <c r="K1653" s="7">
        <f t="shared" si="366"/>
        <v>0</v>
      </c>
      <c r="L1653" s="35">
        <f t="shared" ref="L1653:L1658" si="369">J1653+K1653</f>
        <v>0</v>
      </c>
      <c r="M1653" s="7">
        <f t="shared" si="366"/>
        <v>21.9</v>
      </c>
      <c r="N1653" s="35">
        <f t="shared" si="359"/>
        <v>21.9</v>
      </c>
      <c r="O1653" s="7">
        <f t="shared" si="366"/>
        <v>0</v>
      </c>
      <c r="P1653" s="35">
        <f t="shared" si="357"/>
        <v>21.9</v>
      </c>
      <c r="Q1653" s="7">
        <f t="shared" si="366"/>
        <v>0</v>
      </c>
      <c r="R1653" s="35">
        <f t="shared" si="356"/>
        <v>21.9</v>
      </c>
      <c r="S1653" s="7">
        <f t="shared" si="366"/>
        <v>0</v>
      </c>
      <c r="T1653" s="35">
        <f t="shared" si="365"/>
        <v>21.9</v>
      </c>
    </row>
    <row r="1654" spans="1:20">
      <c r="A1654" s="61" t="str">
        <f ca="1">IF(ISERROR(MATCH(C1654,Код_Раздел,0)),"",INDIRECT(ADDRESS(MATCH(C1654,Код_Раздел,0)+1,2,,,"Раздел")))</f>
        <v>Общегосударственные  вопросы</v>
      </c>
      <c r="B1654" s="104" t="s">
        <v>383</v>
      </c>
      <c r="C1654" s="8" t="s">
        <v>213</v>
      </c>
      <c r="D1654" s="1"/>
      <c r="E1654" s="104"/>
      <c r="F1654" s="7">
        <f t="shared" si="366"/>
        <v>0</v>
      </c>
      <c r="G1654" s="7">
        <f t="shared" si="366"/>
        <v>0</v>
      </c>
      <c r="H1654" s="35">
        <f t="shared" si="367"/>
        <v>0</v>
      </c>
      <c r="I1654" s="7">
        <f t="shared" si="366"/>
        <v>0</v>
      </c>
      <c r="J1654" s="35">
        <f t="shared" si="368"/>
        <v>0</v>
      </c>
      <c r="K1654" s="7">
        <f t="shared" si="366"/>
        <v>0</v>
      </c>
      <c r="L1654" s="35">
        <f t="shared" si="369"/>
        <v>0</v>
      </c>
      <c r="M1654" s="7">
        <f t="shared" si="366"/>
        <v>21.9</v>
      </c>
      <c r="N1654" s="35">
        <f>L1654+M1654</f>
        <v>21.9</v>
      </c>
      <c r="O1654" s="7">
        <f t="shared" si="366"/>
        <v>0</v>
      </c>
      <c r="P1654" s="35">
        <f t="shared" si="357"/>
        <v>21.9</v>
      </c>
      <c r="Q1654" s="7">
        <f t="shared" si="366"/>
        <v>0</v>
      </c>
      <c r="R1654" s="35">
        <f t="shared" si="356"/>
        <v>21.9</v>
      </c>
      <c r="S1654" s="7">
        <f t="shared" si="366"/>
        <v>0</v>
      </c>
      <c r="T1654" s="35">
        <f t="shared" si="365"/>
        <v>21.9</v>
      </c>
    </row>
    <row r="1655" spans="1:20">
      <c r="A1655" s="76" t="s">
        <v>375</v>
      </c>
      <c r="B1655" s="104" t="s">
        <v>383</v>
      </c>
      <c r="C1655" s="8" t="s">
        <v>213</v>
      </c>
      <c r="D1655" s="1" t="s">
        <v>221</v>
      </c>
      <c r="E1655" s="104"/>
      <c r="F1655" s="7">
        <f t="shared" si="366"/>
        <v>0</v>
      </c>
      <c r="G1655" s="7">
        <f t="shared" si="366"/>
        <v>0</v>
      </c>
      <c r="H1655" s="35">
        <f t="shared" si="367"/>
        <v>0</v>
      </c>
      <c r="I1655" s="7">
        <f t="shared" si="366"/>
        <v>0</v>
      </c>
      <c r="J1655" s="35">
        <f t="shared" si="368"/>
        <v>0</v>
      </c>
      <c r="K1655" s="7">
        <f t="shared" si="366"/>
        <v>0</v>
      </c>
      <c r="L1655" s="35">
        <f t="shared" si="369"/>
        <v>0</v>
      </c>
      <c r="M1655" s="7">
        <f t="shared" si="366"/>
        <v>21.9</v>
      </c>
      <c r="N1655" s="35">
        <f>L1655+M1655</f>
        <v>21.9</v>
      </c>
      <c r="O1655" s="7">
        <f t="shared" si="366"/>
        <v>0</v>
      </c>
      <c r="P1655" s="35">
        <f t="shared" si="357"/>
        <v>21.9</v>
      </c>
      <c r="Q1655" s="7">
        <f t="shared" si="366"/>
        <v>0</v>
      </c>
      <c r="R1655" s="35">
        <f t="shared" si="356"/>
        <v>21.9</v>
      </c>
      <c r="S1655" s="7">
        <f t="shared" si="366"/>
        <v>0</v>
      </c>
      <c r="T1655" s="35">
        <f t="shared" si="365"/>
        <v>21.9</v>
      </c>
    </row>
    <row r="1656" spans="1:20">
      <c r="A1656" s="61" t="str">
        <f ca="1">IF(ISERROR(MATCH(E1656,Код_КВР,0)),"",INDIRECT(ADDRESS(MATCH(E1656,Код_КВР,0)+1,2,,,"КВР")))</f>
        <v>Закупка товаров, работ и услуг для муниципальных нужд</v>
      </c>
      <c r="B1656" s="104" t="s">
        <v>383</v>
      </c>
      <c r="C1656" s="8" t="s">
        <v>213</v>
      </c>
      <c r="D1656" s="1" t="s">
        <v>221</v>
      </c>
      <c r="E1656" s="104">
        <v>200</v>
      </c>
      <c r="F1656" s="7">
        <f t="shared" si="366"/>
        <v>0</v>
      </c>
      <c r="G1656" s="7">
        <f t="shared" si="366"/>
        <v>0</v>
      </c>
      <c r="H1656" s="35">
        <f t="shared" si="367"/>
        <v>0</v>
      </c>
      <c r="I1656" s="7">
        <f t="shared" si="366"/>
        <v>0</v>
      </c>
      <c r="J1656" s="35">
        <f t="shared" si="368"/>
        <v>0</v>
      </c>
      <c r="K1656" s="7">
        <f t="shared" si="366"/>
        <v>0</v>
      </c>
      <c r="L1656" s="35">
        <f t="shared" si="369"/>
        <v>0</v>
      </c>
      <c r="M1656" s="7">
        <f t="shared" si="366"/>
        <v>21.9</v>
      </c>
      <c r="N1656" s="35">
        <f>L1656+M1656</f>
        <v>21.9</v>
      </c>
      <c r="O1656" s="7">
        <f t="shared" si="366"/>
        <v>0</v>
      </c>
      <c r="P1656" s="35">
        <f t="shared" si="357"/>
        <v>21.9</v>
      </c>
      <c r="Q1656" s="7">
        <f t="shared" si="366"/>
        <v>0</v>
      </c>
      <c r="R1656" s="35">
        <f t="shared" si="356"/>
        <v>21.9</v>
      </c>
      <c r="S1656" s="7">
        <f t="shared" si="366"/>
        <v>0</v>
      </c>
      <c r="T1656" s="35">
        <f t="shared" si="365"/>
        <v>21.9</v>
      </c>
    </row>
    <row r="1657" spans="1:20" ht="33">
      <c r="A1657" s="61" t="str">
        <f ca="1">IF(ISERROR(MATCH(E1657,Код_КВР,0)),"",INDIRECT(ADDRESS(MATCH(E1657,Код_КВР,0)+1,2,,,"КВР")))</f>
        <v>Иные закупки товаров, работ и услуг для обеспечения муниципальных нужд</v>
      </c>
      <c r="B1657" s="104" t="s">
        <v>383</v>
      </c>
      <c r="C1657" s="8" t="s">
        <v>213</v>
      </c>
      <c r="D1657" s="1" t="s">
        <v>221</v>
      </c>
      <c r="E1657" s="104">
        <v>240</v>
      </c>
      <c r="F1657" s="7">
        <f t="shared" si="366"/>
        <v>0</v>
      </c>
      <c r="G1657" s="7">
        <f t="shared" si="366"/>
        <v>0</v>
      </c>
      <c r="H1657" s="35">
        <f t="shared" si="367"/>
        <v>0</v>
      </c>
      <c r="I1657" s="7">
        <f t="shared" si="366"/>
        <v>0</v>
      </c>
      <c r="J1657" s="35">
        <f t="shared" si="368"/>
        <v>0</v>
      </c>
      <c r="K1657" s="7">
        <f t="shared" si="366"/>
        <v>0</v>
      </c>
      <c r="L1657" s="35">
        <f t="shared" si="369"/>
        <v>0</v>
      </c>
      <c r="M1657" s="7">
        <f t="shared" si="366"/>
        <v>21.9</v>
      </c>
      <c r="N1657" s="35">
        <f>L1657+M1657</f>
        <v>21.9</v>
      </c>
      <c r="O1657" s="7">
        <f t="shared" si="366"/>
        <v>0</v>
      </c>
      <c r="P1657" s="35">
        <f t="shared" si="357"/>
        <v>21.9</v>
      </c>
      <c r="Q1657" s="7">
        <f t="shared" si="366"/>
        <v>0</v>
      </c>
      <c r="R1657" s="35">
        <f t="shared" si="356"/>
        <v>21.9</v>
      </c>
      <c r="S1657" s="7">
        <f t="shared" si="366"/>
        <v>0</v>
      </c>
      <c r="T1657" s="35">
        <f t="shared" si="365"/>
        <v>21.9</v>
      </c>
    </row>
    <row r="1658" spans="1:20" ht="33">
      <c r="A1658" s="61" t="str">
        <f ca="1">IF(ISERROR(MATCH(E1658,Код_КВР,0)),"",INDIRECT(ADDRESS(MATCH(E1658,Код_КВР,0)+1,2,,,"КВР")))</f>
        <v xml:space="preserve">Прочая закупка товаров, работ и услуг для обеспечения муниципальных нужд         </v>
      </c>
      <c r="B1658" s="104" t="s">
        <v>383</v>
      </c>
      <c r="C1658" s="8" t="s">
        <v>213</v>
      </c>
      <c r="D1658" s="1" t="s">
        <v>221</v>
      </c>
      <c r="E1658" s="104">
        <v>244</v>
      </c>
      <c r="F1658" s="7">
        <f>прил.6!G71</f>
        <v>0</v>
      </c>
      <c r="G1658" s="7">
        <f>прил.6!H71</f>
        <v>0</v>
      </c>
      <c r="H1658" s="35">
        <f t="shared" si="367"/>
        <v>0</v>
      </c>
      <c r="I1658" s="7">
        <f>прил.6!J71</f>
        <v>0</v>
      </c>
      <c r="J1658" s="35">
        <f t="shared" si="368"/>
        <v>0</v>
      </c>
      <c r="K1658" s="7">
        <f>прил.6!L71</f>
        <v>0</v>
      </c>
      <c r="L1658" s="35">
        <f t="shared" si="369"/>
        <v>0</v>
      </c>
      <c r="M1658" s="7">
        <f>прил.6!N71</f>
        <v>21.9</v>
      </c>
      <c r="N1658" s="35">
        <f>L1658+M1658</f>
        <v>21.9</v>
      </c>
      <c r="O1658" s="7">
        <f>прил.6!P71</f>
        <v>0</v>
      </c>
      <c r="P1658" s="35">
        <f t="shared" si="357"/>
        <v>21.9</v>
      </c>
      <c r="Q1658" s="7">
        <f>прил.6!R71</f>
        <v>0</v>
      </c>
      <c r="R1658" s="35">
        <f t="shared" si="356"/>
        <v>21.9</v>
      </c>
      <c r="S1658" s="7">
        <f>прил.6!T71</f>
        <v>0</v>
      </c>
      <c r="T1658" s="35">
        <f t="shared" si="365"/>
        <v>21.9</v>
      </c>
    </row>
    <row r="1659" spans="1:20" ht="78" customHeight="1">
      <c r="A1659" s="61" t="str">
        <f ca="1">IF(ISERROR(MATCH(B1659,Код_КЦСР,0)),"",INDIRECT(ADDRESS(MATCH(B1659,Код_КЦСР,0)+1,2,,,"КЦСР")))</f>
        <v>Финансовое обеспечение мероприятий по временному социально-бытовому обустройству лиц, вынужденно покинувших территорию Украины и находящихся в пунктах временного размещения за счет иных межбюджетных трансфертов из федерального бюджета</v>
      </c>
      <c r="B1659" s="142" t="s">
        <v>699</v>
      </c>
      <c r="C1659" s="8"/>
      <c r="D1659" s="1"/>
      <c r="E1659" s="142"/>
      <c r="F1659" s="7"/>
      <c r="G1659" s="7"/>
      <c r="H1659" s="35"/>
      <c r="I1659" s="7"/>
      <c r="J1659" s="35"/>
      <c r="K1659" s="7"/>
      <c r="L1659" s="35"/>
      <c r="M1659" s="7"/>
      <c r="N1659" s="35"/>
      <c r="O1659" s="7"/>
      <c r="P1659" s="35"/>
      <c r="Q1659" s="7"/>
      <c r="R1659" s="35"/>
      <c r="S1659" s="7">
        <f>S1660</f>
        <v>126.4</v>
      </c>
      <c r="T1659" s="35">
        <f t="shared" si="365"/>
        <v>126.4</v>
      </c>
    </row>
    <row r="1660" spans="1:20">
      <c r="A1660" s="76" t="s">
        <v>375</v>
      </c>
      <c r="B1660" s="141" t="s">
        <v>699</v>
      </c>
      <c r="C1660" s="8" t="s">
        <v>213</v>
      </c>
      <c r="D1660" s="1"/>
      <c r="E1660" s="141"/>
      <c r="F1660" s="7"/>
      <c r="G1660" s="7"/>
      <c r="H1660" s="35"/>
      <c r="I1660" s="7"/>
      <c r="J1660" s="35"/>
      <c r="K1660" s="7"/>
      <c r="L1660" s="35"/>
      <c r="M1660" s="7"/>
      <c r="N1660" s="35"/>
      <c r="O1660" s="7"/>
      <c r="P1660" s="35"/>
      <c r="Q1660" s="7"/>
      <c r="R1660" s="35"/>
      <c r="S1660" s="7">
        <f t="shared" ref="S1660" si="370">S1661</f>
        <v>126.4</v>
      </c>
      <c r="T1660" s="35">
        <f t="shared" si="365"/>
        <v>126.4</v>
      </c>
    </row>
    <row r="1661" spans="1:20">
      <c r="A1661" s="61" t="s">
        <v>237</v>
      </c>
      <c r="B1661" s="141" t="s">
        <v>699</v>
      </c>
      <c r="C1661" s="8" t="s">
        <v>213</v>
      </c>
      <c r="D1661" s="1" t="s">
        <v>190</v>
      </c>
      <c r="E1661" s="141"/>
      <c r="F1661" s="7"/>
      <c r="G1661" s="7"/>
      <c r="H1661" s="35"/>
      <c r="I1661" s="7"/>
      <c r="J1661" s="35"/>
      <c r="K1661" s="7"/>
      <c r="L1661" s="35"/>
      <c r="M1661" s="7"/>
      <c r="N1661" s="35"/>
      <c r="O1661" s="7"/>
      <c r="P1661" s="35"/>
      <c r="Q1661" s="7"/>
      <c r="R1661" s="35"/>
      <c r="S1661" s="7">
        <f>S1662+S1664</f>
        <v>126.4</v>
      </c>
      <c r="T1661" s="35">
        <f t="shared" si="365"/>
        <v>126.4</v>
      </c>
    </row>
    <row r="1662" spans="1:20">
      <c r="A1662" s="61" t="str">
        <f ca="1">IF(ISERROR(MATCH(E1662,Код_КВР,0)),"",INDIRECT(ADDRESS(MATCH(E1662,Код_КВР,0)+1,2,,,"КВР")))</f>
        <v>Иные бюджетные ассигнования</v>
      </c>
      <c r="B1662" s="141" t="s">
        <v>699</v>
      </c>
      <c r="C1662" s="8" t="s">
        <v>213</v>
      </c>
      <c r="D1662" s="1" t="s">
        <v>190</v>
      </c>
      <c r="E1662" s="141">
        <v>800</v>
      </c>
      <c r="F1662" s="7"/>
      <c r="G1662" s="7"/>
      <c r="H1662" s="35"/>
      <c r="I1662" s="7"/>
      <c r="J1662" s="35"/>
      <c r="K1662" s="7"/>
      <c r="L1662" s="35"/>
      <c r="M1662" s="7"/>
      <c r="N1662" s="35"/>
      <c r="O1662" s="7"/>
      <c r="P1662" s="35"/>
      <c r="Q1662" s="7"/>
      <c r="R1662" s="35"/>
      <c r="S1662" s="7">
        <f>S1663</f>
        <v>126.4</v>
      </c>
      <c r="T1662" s="35">
        <f t="shared" si="365"/>
        <v>126.4</v>
      </c>
    </row>
    <row r="1663" spans="1:20" ht="51.75" customHeight="1">
      <c r="A1663" s="61" t="str">
        <f ca="1">IF(ISERROR(MATCH(E1663,Код_КВР,0)),"",INDIRECT(ADDRESS(MATCH(E1663,Код_КВР,0)+1,2,,,"КВР")))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663" s="141" t="s">
        <v>699</v>
      </c>
      <c r="C1663" s="8" t="s">
        <v>213</v>
      </c>
      <c r="D1663" s="1" t="s">
        <v>190</v>
      </c>
      <c r="E1663" s="141">
        <v>810</v>
      </c>
      <c r="F1663" s="7"/>
      <c r="G1663" s="7"/>
      <c r="H1663" s="35"/>
      <c r="I1663" s="7"/>
      <c r="J1663" s="35"/>
      <c r="K1663" s="7"/>
      <c r="L1663" s="35"/>
      <c r="M1663" s="7"/>
      <c r="N1663" s="35"/>
      <c r="O1663" s="7"/>
      <c r="P1663" s="35"/>
      <c r="Q1663" s="7"/>
      <c r="R1663" s="35"/>
      <c r="S1663" s="7">
        <v>126.4</v>
      </c>
      <c r="T1663" s="35">
        <f t="shared" si="365"/>
        <v>126.4</v>
      </c>
    </row>
    <row r="1664" spans="1:20" ht="33">
      <c r="A1664" s="61" t="str">
        <f ca="1">IF(ISERROR(MATCH(B1664,Код_КЦСР,0)),"",INDIRECT(ADDRESS(MATCH(B1664,Код_КЦСР,0)+1,2,,,"КЦСР")))</f>
        <v>Оплата жилищно-коммунальных услуг отдельным категориям граждан за счет субвенций из федерального бюджета</v>
      </c>
      <c r="B1664" s="105" t="s">
        <v>401</v>
      </c>
      <c r="C1664" s="8"/>
      <c r="D1664" s="1"/>
      <c r="E1664" s="104"/>
      <c r="F1664" s="7">
        <f t="shared" ref="F1664:S1667" si="371">F1665</f>
        <v>1390</v>
      </c>
      <c r="G1664" s="7">
        <f t="shared" si="371"/>
        <v>0</v>
      </c>
      <c r="H1664" s="35">
        <f t="shared" si="361"/>
        <v>1390</v>
      </c>
      <c r="I1664" s="7">
        <f>I1665</f>
        <v>0</v>
      </c>
      <c r="J1664" s="35">
        <f t="shared" si="358"/>
        <v>1390</v>
      </c>
      <c r="K1664" s="7">
        <f>K1665</f>
        <v>0</v>
      </c>
      <c r="L1664" s="35">
        <f t="shared" si="352"/>
        <v>1390</v>
      </c>
      <c r="M1664" s="7">
        <f>M1665</f>
        <v>0</v>
      </c>
      <c r="N1664" s="35">
        <f t="shared" si="359"/>
        <v>1390</v>
      </c>
      <c r="O1664" s="7">
        <f>O1665</f>
        <v>0</v>
      </c>
      <c r="P1664" s="35">
        <f t="shared" si="357"/>
        <v>1390</v>
      </c>
      <c r="Q1664" s="7">
        <f>Q1665</f>
        <v>0</v>
      </c>
      <c r="R1664" s="35">
        <f t="shared" si="356"/>
        <v>1390</v>
      </c>
      <c r="S1664" s="7">
        <f>S1665</f>
        <v>0</v>
      </c>
      <c r="T1664" s="35">
        <f t="shared" si="365"/>
        <v>1390</v>
      </c>
    </row>
    <row r="1665" spans="1:20">
      <c r="A1665" s="61" t="str">
        <f ca="1">IF(ISERROR(MATCH(C1665,Код_Раздел,0)),"",INDIRECT(ADDRESS(MATCH(C1665,Код_Раздел,0)+1,2,,,"Раздел")))</f>
        <v>Социальная политика</v>
      </c>
      <c r="B1665" s="105" t="s">
        <v>401</v>
      </c>
      <c r="C1665" s="8" t="s">
        <v>188</v>
      </c>
      <c r="D1665" s="1"/>
      <c r="E1665" s="104"/>
      <c r="F1665" s="7">
        <f t="shared" si="371"/>
        <v>1390</v>
      </c>
      <c r="G1665" s="7">
        <f t="shared" si="371"/>
        <v>0</v>
      </c>
      <c r="H1665" s="35">
        <f t="shared" si="361"/>
        <v>1390</v>
      </c>
      <c r="I1665" s="7">
        <f t="shared" si="371"/>
        <v>0</v>
      </c>
      <c r="J1665" s="35">
        <f t="shared" si="358"/>
        <v>1390</v>
      </c>
      <c r="K1665" s="7">
        <f t="shared" si="371"/>
        <v>0</v>
      </c>
      <c r="L1665" s="35">
        <f t="shared" ref="L1665:L1722" si="372">J1665+K1665</f>
        <v>1390</v>
      </c>
      <c r="M1665" s="7">
        <f t="shared" si="371"/>
        <v>0</v>
      </c>
      <c r="N1665" s="35">
        <f t="shared" si="359"/>
        <v>1390</v>
      </c>
      <c r="O1665" s="7">
        <f t="shared" si="371"/>
        <v>0</v>
      </c>
      <c r="P1665" s="35">
        <f t="shared" si="357"/>
        <v>1390</v>
      </c>
      <c r="Q1665" s="7">
        <f t="shared" si="371"/>
        <v>0</v>
      </c>
      <c r="R1665" s="35">
        <f t="shared" si="356"/>
        <v>1390</v>
      </c>
      <c r="S1665" s="7">
        <f t="shared" si="371"/>
        <v>0</v>
      </c>
      <c r="T1665" s="35">
        <f t="shared" si="365"/>
        <v>1390</v>
      </c>
    </row>
    <row r="1666" spans="1:20">
      <c r="A1666" s="12" t="s">
        <v>189</v>
      </c>
      <c r="B1666" s="105" t="s">
        <v>401</v>
      </c>
      <c r="C1666" s="8" t="s">
        <v>188</v>
      </c>
      <c r="D1666" s="1" t="s">
        <v>217</v>
      </c>
      <c r="E1666" s="104"/>
      <c r="F1666" s="7">
        <f t="shared" si="371"/>
        <v>1390</v>
      </c>
      <c r="G1666" s="7">
        <f t="shared" si="371"/>
        <v>0</v>
      </c>
      <c r="H1666" s="35">
        <f t="shared" si="361"/>
        <v>1390</v>
      </c>
      <c r="I1666" s="7">
        <f>I1667+I1669</f>
        <v>0</v>
      </c>
      <c r="J1666" s="35">
        <f t="shared" si="358"/>
        <v>1390</v>
      </c>
      <c r="K1666" s="7">
        <f>K1667+K1669</f>
        <v>0</v>
      </c>
      <c r="L1666" s="35">
        <f t="shared" si="372"/>
        <v>1390</v>
      </c>
      <c r="M1666" s="7">
        <f>M1667+M1669</f>
        <v>0</v>
      </c>
      <c r="N1666" s="35">
        <f t="shared" si="359"/>
        <v>1390</v>
      </c>
      <c r="O1666" s="7">
        <f>O1667+O1669</f>
        <v>0</v>
      </c>
      <c r="P1666" s="35">
        <f t="shared" si="357"/>
        <v>1390</v>
      </c>
      <c r="Q1666" s="7">
        <f>Q1667+Q1669</f>
        <v>0</v>
      </c>
      <c r="R1666" s="35">
        <f t="shared" si="356"/>
        <v>1390</v>
      </c>
      <c r="S1666" s="7">
        <f>S1667+S1669</f>
        <v>0</v>
      </c>
      <c r="T1666" s="35">
        <f t="shared" si="365"/>
        <v>1390</v>
      </c>
    </row>
    <row r="1667" spans="1:20" ht="33">
      <c r="A1667" s="61" t="str">
        <f ca="1">IF(ISERROR(MATCH(E1667,Код_КВР,0)),"",INDIRECT(ADDRESS(MATCH(E1667,Код_КВР,0)+1,2,,,"КВР")))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667" s="105" t="s">
        <v>401</v>
      </c>
      <c r="C1667" s="8" t="s">
        <v>188</v>
      </c>
      <c r="D1667" s="1" t="s">
        <v>217</v>
      </c>
      <c r="E1667" s="104">
        <v>100</v>
      </c>
      <c r="F1667" s="7">
        <f t="shared" si="371"/>
        <v>1390</v>
      </c>
      <c r="G1667" s="7">
        <f t="shared" si="371"/>
        <v>0</v>
      </c>
      <c r="H1667" s="35">
        <f t="shared" si="361"/>
        <v>1390</v>
      </c>
      <c r="I1667" s="7">
        <f t="shared" si="371"/>
        <v>-435</v>
      </c>
      <c r="J1667" s="35">
        <f t="shared" si="358"/>
        <v>955</v>
      </c>
      <c r="K1667" s="7">
        <f t="shared" si="371"/>
        <v>0</v>
      </c>
      <c r="L1667" s="35">
        <f t="shared" si="372"/>
        <v>955</v>
      </c>
      <c r="M1667" s="7">
        <f t="shared" si="371"/>
        <v>0</v>
      </c>
      <c r="N1667" s="35">
        <f t="shared" si="359"/>
        <v>955</v>
      </c>
      <c r="O1667" s="7">
        <f t="shared" si="371"/>
        <v>0</v>
      </c>
      <c r="P1667" s="35">
        <f t="shared" si="357"/>
        <v>955</v>
      </c>
      <c r="Q1667" s="7">
        <f t="shared" si="371"/>
        <v>0</v>
      </c>
      <c r="R1667" s="35">
        <f t="shared" ref="R1667:R1732" si="373">P1667+Q1667</f>
        <v>955</v>
      </c>
      <c r="S1667" s="7">
        <f t="shared" si="371"/>
        <v>0</v>
      </c>
      <c r="T1667" s="35">
        <f t="shared" si="365"/>
        <v>955</v>
      </c>
    </row>
    <row r="1668" spans="1:20">
      <c r="A1668" s="61" t="str">
        <f ca="1">IF(ISERROR(MATCH(E1668,Код_КВР,0)),"",INDIRECT(ADDRESS(MATCH(E1668,Код_КВР,0)+1,2,,,"КВР")))</f>
        <v>Расходы на выплаты персоналу муниципальных органов</v>
      </c>
      <c r="B1668" s="105" t="s">
        <v>401</v>
      </c>
      <c r="C1668" s="8" t="s">
        <v>188</v>
      </c>
      <c r="D1668" s="1" t="s">
        <v>217</v>
      </c>
      <c r="E1668" s="104">
        <v>120</v>
      </c>
      <c r="F1668" s="7">
        <f>прил.6!G1455</f>
        <v>1390</v>
      </c>
      <c r="G1668" s="7">
        <f>прил.6!H1455</f>
        <v>0</v>
      </c>
      <c r="H1668" s="35">
        <f t="shared" si="361"/>
        <v>1390</v>
      </c>
      <c r="I1668" s="7">
        <f>прил.6!J1455</f>
        <v>-435</v>
      </c>
      <c r="J1668" s="35">
        <f t="shared" si="358"/>
        <v>955</v>
      </c>
      <c r="K1668" s="7">
        <f>прил.6!L1455</f>
        <v>0</v>
      </c>
      <c r="L1668" s="35">
        <f t="shared" si="372"/>
        <v>955</v>
      </c>
      <c r="M1668" s="7">
        <f>прил.6!N1455</f>
        <v>0</v>
      </c>
      <c r="N1668" s="35">
        <f t="shared" si="359"/>
        <v>955</v>
      </c>
      <c r="O1668" s="7">
        <f>прил.6!P1455</f>
        <v>0</v>
      </c>
      <c r="P1668" s="35">
        <f t="shared" si="357"/>
        <v>955</v>
      </c>
      <c r="Q1668" s="7">
        <f>прил.6!R1455</f>
        <v>0</v>
      </c>
      <c r="R1668" s="35">
        <f t="shared" si="373"/>
        <v>955</v>
      </c>
      <c r="S1668" s="7">
        <f>прил.6!T1455</f>
        <v>0</v>
      </c>
      <c r="T1668" s="35">
        <f t="shared" si="365"/>
        <v>955</v>
      </c>
    </row>
    <row r="1669" spans="1:20">
      <c r="A1669" s="61" t="str">
        <f ca="1">IF(ISERROR(MATCH(E1669,Код_КВР,0)),"",INDIRECT(ADDRESS(MATCH(E1669,Код_КВР,0)+1,2,,,"КВР")))</f>
        <v>Закупка товаров, работ и услуг для муниципальных нужд</v>
      </c>
      <c r="B1669" s="105" t="s">
        <v>401</v>
      </c>
      <c r="C1669" s="8" t="s">
        <v>188</v>
      </c>
      <c r="D1669" s="1" t="s">
        <v>217</v>
      </c>
      <c r="E1669" s="104">
        <v>200</v>
      </c>
      <c r="F1669" s="7"/>
      <c r="G1669" s="7"/>
      <c r="H1669" s="35"/>
      <c r="I1669" s="7">
        <f>I1670</f>
        <v>435</v>
      </c>
      <c r="J1669" s="35">
        <f t="shared" si="358"/>
        <v>435</v>
      </c>
      <c r="K1669" s="7">
        <f>K1670</f>
        <v>0</v>
      </c>
      <c r="L1669" s="35">
        <f t="shared" si="372"/>
        <v>435</v>
      </c>
      <c r="M1669" s="7">
        <f>M1670</f>
        <v>0</v>
      </c>
      <c r="N1669" s="35">
        <f t="shared" si="359"/>
        <v>435</v>
      </c>
      <c r="O1669" s="7">
        <f>O1670</f>
        <v>0</v>
      </c>
      <c r="P1669" s="35">
        <f t="shared" si="357"/>
        <v>435</v>
      </c>
      <c r="Q1669" s="7">
        <f>Q1670</f>
        <v>0</v>
      </c>
      <c r="R1669" s="35">
        <f t="shared" si="373"/>
        <v>435</v>
      </c>
      <c r="S1669" s="7">
        <f>S1670</f>
        <v>0</v>
      </c>
      <c r="T1669" s="35">
        <f t="shared" si="365"/>
        <v>435</v>
      </c>
    </row>
    <row r="1670" spans="1:20" ht="33">
      <c r="A1670" s="61" t="str">
        <f ca="1">IF(ISERROR(MATCH(E1670,Код_КВР,0)),"",INDIRECT(ADDRESS(MATCH(E1670,Код_КВР,0)+1,2,,,"КВР")))</f>
        <v>Иные закупки товаров, работ и услуг для обеспечения муниципальных нужд</v>
      </c>
      <c r="B1670" s="105" t="s">
        <v>401</v>
      </c>
      <c r="C1670" s="8" t="s">
        <v>188</v>
      </c>
      <c r="D1670" s="1" t="s">
        <v>217</v>
      </c>
      <c r="E1670" s="104">
        <v>240</v>
      </c>
      <c r="F1670" s="7"/>
      <c r="G1670" s="7"/>
      <c r="H1670" s="35"/>
      <c r="I1670" s="7">
        <f>I1671</f>
        <v>435</v>
      </c>
      <c r="J1670" s="35">
        <f t="shared" si="358"/>
        <v>435</v>
      </c>
      <c r="K1670" s="7">
        <f>K1671</f>
        <v>0</v>
      </c>
      <c r="L1670" s="35">
        <f t="shared" si="372"/>
        <v>435</v>
      </c>
      <c r="M1670" s="7">
        <f>M1671</f>
        <v>0</v>
      </c>
      <c r="N1670" s="35">
        <f t="shared" si="359"/>
        <v>435</v>
      </c>
      <c r="O1670" s="7">
        <f>O1671</f>
        <v>0</v>
      </c>
      <c r="P1670" s="35">
        <f t="shared" si="357"/>
        <v>435</v>
      </c>
      <c r="Q1670" s="7">
        <f>Q1671</f>
        <v>0</v>
      </c>
      <c r="R1670" s="35">
        <f t="shared" si="373"/>
        <v>435</v>
      </c>
      <c r="S1670" s="7">
        <f>S1671</f>
        <v>0</v>
      </c>
      <c r="T1670" s="35">
        <f t="shared" si="365"/>
        <v>435</v>
      </c>
    </row>
    <row r="1671" spans="1:20" ht="33">
      <c r="A1671" s="61" t="str">
        <f ca="1">IF(ISERROR(MATCH(E1671,Код_КВР,0)),"",INDIRECT(ADDRESS(MATCH(E1671,Код_КВР,0)+1,2,,,"КВР")))</f>
        <v xml:space="preserve">Прочая закупка товаров, работ и услуг для обеспечения муниципальных нужд         </v>
      </c>
      <c r="B1671" s="105" t="s">
        <v>401</v>
      </c>
      <c r="C1671" s="8" t="s">
        <v>188</v>
      </c>
      <c r="D1671" s="1" t="s">
        <v>217</v>
      </c>
      <c r="E1671" s="104">
        <v>244</v>
      </c>
      <c r="F1671" s="7"/>
      <c r="G1671" s="7"/>
      <c r="H1671" s="35"/>
      <c r="I1671" s="7">
        <f>прил.6!J1458</f>
        <v>435</v>
      </c>
      <c r="J1671" s="35">
        <f t="shared" si="358"/>
        <v>435</v>
      </c>
      <c r="K1671" s="7">
        <f>прил.6!L1458</f>
        <v>0</v>
      </c>
      <c r="L1671" s="35">
        <f t="shared" si="372"/>
        <v>435</v>
      </c>
      <c r="M1671" s="7">
        <f>прил.6!N1458</f>
        <v>0</v>
      </c>
      <c r="N1671" s="35">
        <f t="shared" si="359"/>
        <v>435</v>
      </c>
      <c r="O1671" s="7">
        <f>прил.6!P1458</f>
        <v>0</v>
      </c>
      <c r="P1671" s="35">
        <f t="shared" si="357"/>
        <v>435</v>
      </c>
      <c r="Q1671" s="7">
        <f>прил.6!R1458</f>
        <v>0</v>
      </c>
      <c r="R1671" s="35">
        <f t="shared" si="373"/>
        <v>435</v>
      </c>
      <c r="S1671" s="7">
        <f>прил.6!T1458</f>
        <v>0</v>
      </c>
      <c r="T1671" s="35">
        <f t="shared" si="365"/>
        <v>435</v>
      </c>
    </row>
    <row r="1672" spans="1:20">
      <c r="A1672" s="61" t="str">
        <f ca="1">IF(ISERROR(MATCH(B1672,Код_КЦСР,0)),"",INDIRECT(ADDRESS(MATCH(B1672,Код_КЦСР,0)+1,2,,,"КЦСР")))</f>
        <v>Кредиторская задолженность, сложившаяся по итогам 2013 года</v>
      </c>
      <c r="B1672" s="105" t="s">
        <v>371</v>
      </c>
      <c r="C1672" s="8"/>
      <c r="D1672" s="1"/>
      <c r="E1672" s="104"/>
      <c r="F1672" s="7">
        <f t="shared" ref="F1672:S1676" si="374">F1673</f>
        <v>117199.6</v>
      </c>
      <c r="G1672" s="7">
        <f t="shared" si="374"/>
        <v>-64000</v>
      </c>
      <c r="H1672" s="35">
        <f t="shared" ref="H1672:H1677" si="375">F1672+G1672</f>
        <v>53199.600000000006</v>
      </c>
      <c r="I1672" s="7">
        <f>I1673+I1678+I1702+I1693</f>
        <v>-1.8189894035458565E-12</v>
      </c>
      <c r="J1672" s="35">
        <f t="shared" ref="J1672:J1692" si="376">H1672+I1672</f>
        <v>53199.600000000006</v>
      </c>
      <c r="K1672" s="7">
        <f>K1673+K1678+K1702+K1693</f>
        <v>-3020</v>
      </c>
      <c r="L1672" s="35">
        <f t="shared" si="372"/>
        <v>50179.600000000006</v>
      </c>
      <c r="M1672" s="7">
        <f>M1673+M1678+M1702+M1693</f>
        <v>0</v>
      </c>
      <c r="N1672" s="35">
        <f t="shared" si="359"/>
        <v>50179.600000000006</v>
      </c>
      <c r="O1672" s="7">
        <f>O1673+O1678+O1702+O1693</f>
        <v>0</v>
      </c>
      <c r="P1672" s="35">
        <f t="shared" si="357"/>
        <v>50179.600000000006</v>
      </c>
      <c r="Q1672" s="7">
        <f>Q1673+Q1678+Q1702+Q1693</f>
        <v>0</v>
      </c>
      <c r="R1672" s="35">
        <f t="shared" si="373"/>
        <v>50179.600000000006</v>
      </c>
      <c r="S1672" s="7">
        <f>S1673+S1678+S1702+S1693</f>
        <v>0</v>
      </c>
      <c r="T1672" s="35">
        <f t="shared" si="365"/>
        <v>50179.600000000006</v>
      </c>
    </row>
    <row r="1673" spans="1:20">
      <c r="A1673" s="61" t="str">
        <f ca="1">IF(ISERROR(MATCH(C1673,Код_Раздел,0)),"",INDIRECT(ADDRESS(MATCH(C1673,Код_Раздел,0)+1,2,,,"Раздел")))</f>
        <v>Национальная экономика</v>
      </c>
      <c r="B1673" s="105" t="s">
        <v>371</v>
      </c>
      <c r="C1673" s="8" t="s">
        <v>216</v>
      </c>
      <c r="D1673" s="1"/>
      <c r="E1673" s="104"/>
      <c r="F1673" s="7">
        <f t="shared" si="374"/>
        <v>117199.6</v>
      </c>
      <c r="G1673" s="7">
        <f t="shared" si="374"/>
        <v>-64000</v>
      </c>
      <c r="H1673" s="35">
        <f t="shared" si="375"/>
        <v>53199.600000000006</v>
      </c>
      <c r="I1673" s="7">
        <f t="shared" si="374"/>
        <v>-50171.199999999997</v>
      </c>
      <c r="J1673" s="35">
        <f t="shared" si="376"/>
        <v>3028.4000000000087</v>
      </c>
      <c r="K1673" s="7">
        <f t="shared" si="374"/>
        <v>-3020</v>
      </c>
      <c r="L1673" s="35">
        <f t="shared" si="372"/>
        <v>8.4000000000087311</v>
      </c>
      <c r="M1673" s="7">
        <f t="shared" si="374"/>
        <v>0</v>
      </c>
      <c r="N1673" s="35">
        <f t="shared" si="359"/>
        <v>8.4000000000087311</v>
      </c>
      <c r="O1673" s="7">
        <f t="shared" si="374"/>
        <v>0</v>
      </c>
      <c r="P1673" s="35">
        <f t="shared" si="357"/>
        <v>8.4000000000087311</v>
      </c>
      <c r="Q1673" s="7">
        <f t="shared" si="374"/>
        <v>0</v>
      </c>
      <c r="R1673" s="35">
        <f t="shared" si="373"/>
        <v>8.4000000000087311</v>
      </c>
      <c r="S1673" s="7">
        <f t="shared" si="374"/>
        <v>0</v>
      </c>
      <c r="T1673" s="35">
        <f t="shared" si="365"/>
        <v>8.4000000000087311</v>
      </c>
    </row>
    <row r="1674" spans="1:20">
      <c r="A1674" s="12" t="s">
        <v>223</v>
      </c>
      <c r="B1674" s="105" t="s">
        <v>371</v>
      </c>
      <c r="C1674" s="8" t="s">
        <v>216</v>
      </c>
      <c r="D1674" s="1" t="s">
        <v>196</v>
      </c>
      <c r="E1674" s="104"/>
      <c r="F1674" s="7">
        <f t="shared" si="374"/>
        <v>117199.6</v>
      </c>
      <c r="G1674" s="7">
        <f t="shared" si="374"/>
        <v>-64000</v>
      </c>
      <c r="H1674" s="35">
        <f t="shared" si="375"/>
        <v>53199.600000000006</v>
      </c>
      <c r="I1674" s="7">
        <f t="shared" si="374"/>
        <v>-50171.199999999997</v>
      </c>
      <c r="J1674" s="35">
        <f t="shared" si="376"/>
        <v>3028.4000000000087</v>
      </c>
      <c r="K1674" s="7">
        <f t="shared" si="374"/>
        <v>-3020</v>
      </c>
      <c r="L1674" s="35">
        <f t="shared" si="372"/>
        <v>8.4000000000087311</v>
      </c>
      <c r="M1674" s="7">
        <f t="shared" si="374"/>
        <v>0</v>
      </c>
      <c r="N1674" s="35">
        <f t="shared" si="359"/>
        <v>8.4000000000087311</v>
      </c>
      <c r="O1674" s="7">
        <f t="shared" si="374"/>
        <v>0</v>
      </c>
      <c r="P1674" s="35">
        <f t="shared" si="357"/>
        <v>8.4000000000087311</v>
      </c>
      <c r="Q1674" s="7">
        <f t="shared" si="374"/>
        <v>0</v>
      </c>
      <c r="R1674" s="35">
        <f t="shared" si="373"/>
        <v>8.4000000000087311</v>
      </c>
      <c r="S1674" s="7">
        <f t="shared" si="374"/>
        <v>0</v>
      </c>
      <c r="T1674" s="35">
        <f t="shared" si="365"/>
        <v>8.4000000000087311</v>
      </c>
    </row>
    <row r="1675" spans="1:20">
      <c r="A1675" s="61" t="str">
        <f ca="1">IF(ISERROR(MATCH(E1675,Код_КВР,0)),"",INDIRECT(ADDRESS(MATCH(E1675,Код_КВР,0)+1,2,,,"КВР")))</f>
        <v>Закупка товаров, работ и услуг для муниципальных нужд</v>
      </c>
      <c r="B1675" s="105" t="s">
        <v>371</v>
      </c>
      <c r="C1675" s="8" t="s">
        <v>216</v>
      </c>
      <c r="D1675" s="1" t="s">
        <v>196</v>
      </c>
      <c r="E1675" s="104">
        <v>200</v>
      </c>
      <c r="F1675" s="7">
        <f t="shared" si="374"/>
        <v>117199.6</v>
      </c>
      <c r="G1675" s="7">
        <f t="shared" si="374"/>
        <v>-64000</v>
      </c>
      <c r="H1675" s="35">
        <f t="shared" si="375"/>
        <v>53199.600000000006</v>
      </c>
      <c r="I1675" s="7">
        <f t="shared" si="374"/>
        <v>-50171.199999999997</v>
      </c>
      <c r="J1675" s="35">
        <f t="shared" si="376"/>
        <v>3028.4000000000087</v>
      </c>
      <c r="K1675" s="7">
        <f t="shared" si="374"/>
        <v>-3020</v>
      </c>
      <c r="L1675" s="35">
        <f t="shared" si="372"/>
        <v>8.4000000000087311</v>
      </c>
      <c r="M1675" s="7">
        <f t="shared" si="374"/>
        <v>0</v>
      </c>
      <c r="N1675" s="35">
        <f t="shared" si="359"/>
        <v>8.4000000000087311</v>
      </c>
      <c r="O1675" s="7">
        <f t="shared" si="374"/>
        <v>0</v>
      </c>
      <c r="P1675" s="35">
        <f t="shared" si="357"/>
        <v>8.4000000000087311</v>
      </c>
      <c r="Q1675" s="7">
        <f t="shared" si="374"/>
        <v>0</v>
      </c>
      <c r="R1675" s="35">
        <f t="shared" si="373"/>
        <v>8.4000000000087311</v>
      </c>
      <c r="S1675" s="7">
        <f t="shared" si="374"/>
        <v>0</v>
      </c>
      <c r="T1675" s="35">
        <f t="shared" si="365"/>
        <v>8.4000000000087311</v>
      </c>
    </row>
    <row r="1676" spans="1:20" ht="33">
      <c r="A1676" s="61" t="str">
        <f ca="1">IF(ISERROR(MATCH(E1676,Код_КВР,0)),"",INDIRECT(ADDRESS(MATCH(E1676,Код_КВР,0)+1,2,,,"КВР")))</f>
        <v>Иные закупки товаров, работ и услуг для обеспечения муниципальных нужд</v>
      </c>
      <c r="B1676" s="105" t="s">
        <v>371</v>
      </c>
      <c r="C1676" s="8" t="s">
        <v>216</v>
      </c>
      <c r="D1676" s="1" t="s">
        <v>196</v>
      </c>
      <c r="E1676" s="104">
        <v>240</v>
      </c>
      <c r="F1676" s="7">
        <f t="shared" si="374"/>
        <v>117199.6</v>
      </c>
      <c r="G1676" s="7">
        <f t="shared" si="374"/>
        <v>-64000</v>
      </c>
      <c r="H1676" s="35">
        <f t="shared" si="375"/>
        <v>53199.600000000006</v>
      </c>
      <c r="I1676" s="7">
        <f t="shared" si="374"/>
        <v>-50171.199999999997</v>
      </c>
      <c r="J1676" s="35">
        <f t="shared" si="376"/>
        <v>3028.4000000000087</v>
      </c>
      <c r="K1676" s="7">
        <f t="shared" si="374"/>
        <v>-3020</v>
      </c>
      <c r="L1676" s="35">
        <f t="shared" si="372"/>
        <v>8.4000000000087311</v>
      </c>
      <c r="M1676" s="7">
        <f t="shared" si="374"/>
        <v>0</v>
      </c>
      <c r="N1676" s="35">
        <f t="shared" si="359"/>
        <v>8.4000000000087311</v>
      </c>
      <c r="O1676" s="7">
        <f t="shared" si="374"/>
        <v>0</v>
      </c>
      <c r="P1676" s="35">
        <f t="shared" ref="P1676:P1741" si="377">N1676+O1676</f>
        <v>8.4000000000087311</v>
      </c>
      <c r="Q1676" s="7">
        <f t="shared" si="374"/>
        <v>0</v>
      </c>
      <c r="R1676" s="35">
        <f t="shared" si="373"/>
        <v>8.4000000000087311</v>
      </c>
      <c r="S1676" s="7">
        <f t="shared" si="374"/>
        <v>0</v>
      </c>
      <c r="T1676" s="35">
        <f t="shared" si="365"/>
        <v>8.4000000000087311</v>
      </c>
    </row>
    <row r="1677" spans="1:20" ht="33">
      <c r="A1677" s="61" t="str">
        <f ca="1">IF(ISERROR(MATCH(E1677,Код_КВР,0)),"",INDIRECT(ADDRESS(MATCH(E1677,Код_КВР,0)+1,2,,,"КВР")))</f>
        <v xml:space="preserve">Прочая закупка товаров, работ и услуг для обеспечения муниципальных нужд         </v>
      </c>
      <c r="B1677" s="105" t="s">
        <v>371</v>
      </c>
      <c r="C1677" s="8" t="s">
        <v>216</v>
      </c>
      <c r="D1677" s="1" t="s">
        <v>196</v>
      </c>
      <c r="E1677" s="104">
        <v>244</v>
      </c>
      <c r="F1677" s="7">
        <f>прил.6!G899</f>
        <v>117199.6</v>
      </c>
      <c r="G1677" s="7">
        <f>прил.6!H899</f>
        <v>-64000</v>
      </c>
      <c r="H1677" s="35">
        <f t="shared" si="375"/>
        <v>53199.600000000006</v>
      </c>
      <c r="I1677" s="7">
        <f>прил.6!J899</f>
        <v>-50171.199999999997</v>
      </c>
      <c r="J1677" s="35">
        <f t="shared" si="376"/>
        <v>3028.4000000000087</v>
      </c>
      <c r="K1677" s="7">
        <f>прил.6!L899</f>
        <v>-3020</v>
      </c>
      <c r="L1677" s="35">
        <f t="shared" si="372"/>
        <v>8.4000000000087311</v>
      </c>
      <c r="M1677" s="7">
        <f>прил.6!N899</f>
        <v>0</v>
      </c>
      <c r="N1677" s="35">
        <f t="shared" si="359"/>
        <v>8.4000000000087311</v>
      </c>
      <c r="O1677" s="7">
        <f>прил.6!P899</f>
        <v>0</v>
      </c>
      <c r="P1677" s="35">
        <f t="shared" si="377"/>
        <v>8.4000000000087311</v>
      </c>
      <c r="Q1677" s="7">
        <f>прил.6!R899</f>
        <v>0</v>
      </c>
      <c r="R1677" s="35">
        <f t="shared" si="373"/>
        <v>8.4000000000087311</v>
      </c>
      <c r="S1677" s="7">
        <f>прил.6!T899</f>
        <v>0</v>
      </c>
      <c r="T1677" s="35">
        <f t="shared" si="365"/>
        <v>8.4000000000087311</v>
      </c>
    </row>
    <row r="1678" spans="1:20">
      <c r="A1678" s="61" t="str">
        <f ca="1">IF(ISERROR(MATCH(C1678,Код_Раздел,0)),"",INDIRECT(ADDRESS(MATCH(C1678,Код_Раздел,0)+1,2,,,"Раздел")))</f>
        <v>Образование</v>
      </c>
      <c r="B1678" s="105" t="s">
        <v>371</v>
      </c>
      <c r="C1678" s="8" t="s">
        <v>195</v>
      </c>
      <c r="D1678" s="1"/>
      <c r="E1678" s="104"/>
      <c r="F1678" s="7"/>
      <c r="G1678" s="7"/>
      <c r="H1678" s="35"/>
      <c r="I1678" s="7">
        <f>I1679+I1685+I1689</f>
        <v>45688.299999999996</v>
      </c>
      <c r="J1678" s="35">
        <f t="shared" si="376"/>
        <v>45688.299999999996</v>
      </c>
      <c r="K1678" s="7">
        <f>K1679+K1685+K1689</f>
        <v>0</v>
      </c>
      <c r="L1678" s="35">
        <f t="shared" si="372"/>
        <v>45688.299999999996</v>
      </c>
      <c r="M1678" s="7">
        <f>M1679+M1685+M1689</f>
        <v>0</v>
      </c>
      <c r="N1678" s="35">
        <f t="shared" si="359"/>
        <v>45688.299999999996</v>
      </c>
      <c r="O1678" s="7">
        <f>O1679+O1685+O1689</f>
        <v>0</v>
      </c>
      <c r="P1678" s="35">
        <f t="shared" si="377"/>
        <v>45688.299999999996</v>
      </c>
      <c r="Q1678" s="7">
        <f>Q1679+Q1685+Q1689</f>
        <v>0</v>
      </c>
      <c r="R1678" s="35">
        <f t="shared" si="373"/>
        <v>45688.299999999996</v>
      </c>
      <c r="S1678" s="7">
        <f>S1679+S1685+S1689</f>
        <v>0</v>
      </c>
      <c r="T1678" s="35">
        <f t="shared" si="365"/>
        <v>45688.299999999996</v>
      </c>
    </row>
    <row r="1679" spans="1:20">
      <c r="A1679" s="12" t="s">
        <v>258</v>
      </c>
      <c r="B1679" s="105" t="s">
        <v>371</v>
      </c>
      <c r="C1679" s="8" t="s">
        <v>195</v>
      </c>
      <c r="D1679" s="1" t="s">
        <v>213</v>
      </c>
      <c r="E1679" s="104"/>
      <c r="F1679" s="7"/>
      <c r="G1679" s="7"/>
      <c r="H1679" s="35"/>
      <c r="I1679" s="7">
        <f>I1680</f>
        <v>44229.299999999996</v>
      </c>
      <c r="J1679" s="35">
        <f t="shared" si="376"/>
        <v>44229.299999999996</v>
      </c>
      <c r="K1679" s="7">
        <f>K1680</f>
        <v>0</v>
      </c>
      <c r="L1679" s="35">
        <f t="shared" si="372"/>
        <v>44229.299999999996</v>
      </c>
      <c r="M1679" s="7">
        <f>M1680</f>
        <v>0</v>
      </c>
      <c r="N1679" s="35">
        <f t="shared" si="359"/>
        <v>44229.299999999996</v>
      </c>
      <c r="O1679" s="7">
        <f>O1680</f>
        <v>0</v>
      </c>
      <c r="P1679" s="35">
        <f t="shared" si="377"/>
        <v>44229.299999999996</v>
      </c>
      <c r="Q1679" s="7">
        <f>Q1680</f>
        <v>0</v>
      </c>
      <c r="R1679" s="35">
        <f t="shared" si="373"/>
        <v>44229.299999999996</v>
      </c>
      <c r="S1679" s="7">
        <f>S1680</f>
        <v>0</v>
      </c>
      <c r="T1679" s="35">
        <f t="shared" si="365"/>
        <v>44229.299999999996</v>
      </c>
    </row>
    <row r="1680" spans="1:20" ht="37.5" customHeight="1">
      <c r="A1680" s="61" t="str">
        <f ca="1">IF(ISERROR(MATCH(E1680,Код_КВР,0)),"",INDIRECT(ADDRESS(MATCH(E1680,Код_КВР,0)+1,2,,,"КВР")))</f>
        <v>Предоставление субсидий бюджетным, автономным учреждениям и иным некоммерческим организациям</v>
      </c>
      <c r="B1680" s="104" t="s">
        <v>371</v>
      </c>
      <c r="C1680" s="8" t="s">
        <v>195</v>
      </c>
      <c r="D1680" s="1" t="s">
        <v>213</v>
      </c>
      <c r="E1680" s="104">
        <v>600</v>
      </c>
      <c r="F1680" s="7"/>
      <c r="G1680" s="7"/>
      <c r="H1680" s="35"/>
      <c r="I1680" s="7">
        <f>I1681+I1683</f>
        <v>44229.299999999996</v>
      </c>
      <c r="J1680" s="35">
        <f t="shared" si="376"/>
        <v>44229.299999999996</v>
      </c>
      <c r="K1680" s="7">
        <f>K1681+K1683</f>
        <v>0</v>
      </c>
      <c r="L1680" s="35">
        <f t="shared" si="372"/>
        <v>44229.299999999996</v>
      </c>
      <c r="M1680" s="7">
        <f>M1681+M1683</f>
        <v>0</v>
      </c>
      <c r="N1680" s="35">
        <f t="shared" si="359"/>
        <v>44229.299999999996</v>
      </c>
      <c r="O1680" s="7">
        <f>O1681+O1683</f>
        <v>0</v>
      </c>
      <c r="P1680" s="35">
        <f t="shared" si="377"/>
        <v>44229.299999999996</v>
      </c>
      <c r="Q1680" s="7">
        <f>Q1681+Q1683</f>
        <v>0</v>
      </c>
      <c r="R1680" s="35">
        <f t="shared" si="373"/>
        <v>44229.299999999996</v>
      </c>
      <c r="S1680" s="7">
        <f>S1681+S1683</f>
        <v>0</v>
      </c>
      <c r="T1680" s="35">
        <f t="shared" si="365"/>
        <v>44229.299999999996</v>
      </c>
    </row>
    <row r="1681" spans="1:20" ht="22.5" customHeight="1">
      <c r="A1681" s="61" t="str">
        <f ca="1">IF(ISERROR(MATCH(E1681,Код_КВР,0)),"",INDIRECT(ADDRESS(MATCH(E1681,Код_КВР,0)+1,2,,,"КВР")))</f>
        <v>Субсидии бюджетным учреждениям</v>
      </c>
      <c r="B1681" s="104" t="s">
        <v>371</v>
      </c>
      <c r="C1681" s="8" t="s">
        <v>195</v>
      </c>
      <c r="D1681" s="1" t="s">
        <v>213</v>
      </c>
      <c r="E1681" s="104">
        <v>610</v>
      </c>
      <c r="F1681" s="7"/>
      <c r="G1681" s="7"/>
      <c r="H1681" s="35"/>
      <c r="I1681" s="7">
        <f>I1682</f>
        <v>42345.1</v>
      </c>
      <c r="J1681" s="35">
        <f t="shared" si="376"/>
        <v>42345.1</v>
      </c>
      <c r="K1681" s="7">
        <f>K1682</f>
        <v>0</v>
      </c>
      <c r="L1681" s="35">
        <f t="shared" si="372"/>
        <v>42345.1</v>
      </c>
      <c r="M1681" s="7">
        <f>M1682</f>
        <v>0</v>
      </c>
      <c r="N1681" s="35">
        <f t="shared" si="359"/>
        <v>42345.1</v>
      </c>
      <c r="O1681" s="7">
        <f>O1682</f>
        <v>0</v>
      </c>
      <c r="P1681" s="35">
        <f t="shared" si="377"/>
        <v>42345.1</v>
      </c>
      <c r="Q1681" s="7">
        <f>Q1682</f>
        <v>0</v>
      </c>
      <c r="R1681" s="35">
        <f t="shared" si="373"/>
        <v>42345.1</v>
      </c>
      <c r="S1681" s="7">
        <f>S1682</f>
        <v>0</v>
      </c>
      <c r="T1681" s="35">
        <f t="shared" si="365"/>
        <v>42345.1</v>
      </c>
    </row>
    <row r="1682" spans="1:20" ht="23.25" customHeight="1">
      <c r="A1682" s="61" t="str">
        <f ca="1">IF(ISERROR(MATCH(E1682,Код_КВР,0)),"",INDIRECT(ADDRESS(MATCH(E1682,Код_КВР,0)+1,2,,,"КВР")))</f>
        <v>Субсидии бюджетным учреждениям на иные цели</v>
      </c>
      <c r="B1682" s="104" t="s">
        <v>371</v>
      </c>
      <c r="C1682" s="8" t="s">
        <v>195</v>
      </c>
      <c r="D1682" s="1" t="s">
        <v>213</v>
      </c>
      <c r="E1682" s="104">
        <v>612</v>
      </c>
      <c r="F1682" s="7"/>
      <c r="G1682" s="7"/>
      <c r="H1682" s="35"/>
      <c r="I1682" s="7">
        <f>прил.6!J623</f>
        <v>42345.1</v>
      </c>
      <c r="J1682" s="35">
        <f t="shared" si="376"/>
        <v>42345.1</v>
      </c>
      <c r="K1682" s="7">
        <f>прил.6!L623</f>
        <v>0</v>
      </c>
      <c r="L1682" s="35">
        <f t="shared" si="372"/>
        <v>42345.1</v>
      </c>
      <c r="M1682" s="7">
        <f>прил.6!N623</f>
        <v>0</v>
      </c>
      <c r="N1682" s="35">
        <f t="shared" si="359"/>
        <v>42345.1</v>
      </c>
      <c r="O1682" s="7">
        <f>прил.6!P623</f>
        <v>0</v>
      </c>
      <c r="P1682" s="35">
        <f t="shared" si="377"/>
        <v>42345.1</v>
      </c>
      <c r="Q1682" s="7">
        <f>прил.6!R623</f>
        <v>0</v>
      </c>
      <c r="R1682" s="35">
        <f t="shared" si="373"/>
        <v>42345.1</v>
      </c>
      <c r="S1682" s="7">
        <f>прил.6!T623</f>
        <v>0</v>
      </c>
      <c r="T1682" s="35">
        <f t="shared" si="365"/>
        <v>42345.1</v>
      </c>
    </row>
    <row r="1683" spans="1:20" ht="20.25" customHeight="1">
      <c r="A1683" s="61" t="str">
        <f ca="1">IF(ISERROR(MATCH(E1683,Код_КВР,0)),"",INDIRECT(ADDRESS(MATCH(E1683,Код_КВР,0)+1,2,,,"КВР")))</f>
        <v>Субсидии автономным учреждениям</v>
      </c>
      <c r="B1683" s="104" t="s">
        <v>371</v>
      </c>
      <c r="C1683" s="8" t="s">
        <v>195</v>
      </c>
      <c r="D1683" s="1" t="s">
        <v>213</v>
      </c>
      <c r="E1683" s="104">
        <v>620</v>
      </c>
      <c r="F1683" s="7"/>
      <c r="G1683" s="7"/>
      <c r="H1683" s="35"/>
      <c r="I1683" s="7">
        <f>I1684</f>
        <v>1884.2</v>
      </c>
      <c r="J1683" s="35">
        <f t="shared" si="376"/>
        <v>1884.2</v>
      </c>
      <c r="K1683" s="7">
        <f>K1684</f>
        <v>0</v>
      </c>
      <c r="L1683" s="35">
        <f t="shared" si="372"/>
        <v>1884.2</v>
      </c>
      <c r="M1683" s="7">
        <f>M1684</f>
        <v>0</v>
      </c>
      <c r="N1683" s="35">
        <f t="shared" si="359"/>
        <v>1884.2</v>
      </c>
      <c r="O1683" s="7">
        <f>O1684</f>
        <v>0</v>
      </c>
      <c r="P1683" s="35">
        <f t="shared" si="377"/>
        <v>1884.2</v>
      </c>
      <c r="Q1683" s="7">
        <f>Q1684</f>
        <v>0</v>
      </c>
      <c r="R1683" s="35">
        <f t="shared" si="373"/>
        <v>1884.2</v>
      </c>
      <c r="S1683" s="7">
        <f>S1684</f>
        <v>0</v>
      </c>
      <c r="T1683" s="35">
        <f t="shared" si="365"/>
        <v>1884.2</v>
      </c>
    </row>
    <row r="1684" spans="1:20" ht="16.7" customHeight="1">
      <c r="A1684" s="61" t="str">
        <f ca="1">IF(ISERROR(MATCH(E1684,Код_КВР,0)),"",INDIRECT(ADDRESS(MATCH(E1684,Код_КВР,0)+1,2,,,"КВР")))</f>
        <v>Субсидии автономным учреждениям на иные цели</v>
      </c>
      <c r="B1684" s="104" t="s">
        <v>371</v>
      </c>
      <c r="C1684" s="8" t="s">
        <v>195</v>
      </c>
      <c r="D1684" s="1" t="s">
        <v>213</v>
      </c>
      <c r="E1684" s="104">
        <v>622</v>
      </c>
      <c r="F1684" s="7"/>
      <c r="G1684" s="7"/>
      <c r="H1684" s="35"/>
      <c r="I1684" s="7">
        <f>прил.6!J625</f>
        <v>1884.2</v>
      </c>
      <c r="J1684" s="35">
        <f t="shared" si="376"/>
        <v>1884.2</v>
      </c>
      <c r="K1684" s="7">
        <f>прил.6!L625</f>
        <v>0</v>
      </c>
      <c r="L1684" s="35">
        <f t="shared" si="372"/>
        <v>1884.2</v>
      </c>
      <c r="M1684" s="7">
        <f>прил.6!N625</f>
        <v>0</v>
      </c>
      <c r="N1684" s="35">
        <f t="shared" si="359"/>
        <v>1884.2</v>
      </c>
      <c r="O1684" s="7">
        <f>прил.6!P625</f>
        <v>0</v>
      </c>
      <c r="P1684" s="35">
        <f t="shared" si="377"/>
        <v>1884.2</v>
      </c>
      <c r="Q1684" s="7">
        <f>прил.6!R625</f>
        <v>0</v>
      </c>
      <c r="R1684" s="35">
        <f t="shared" si="373"/>
        <v>1884.2</v>
      </c>
      <c r="S1684" s="7">
        <f>прил.6!T625</f>
        <v>0</v>
      </c>
      <c r="T1684" s="35">
        <f t="shared" si="365"/>
        <v>1884.2</v>
      </c>
    </row>
    <row r="1685" spans="1:20" ht="16.7" customHeight="1">
      <c r="A1685" s="12" t="s">
        <v>199</v>
      </c>
      <c r="B1685" s="105" t="s">
        <v>371</v>
      </c>
      <c r="C1685" s="8" t="s">
        <v>195</v>
      </c>
      <c r="D1685" s="1" t="s">
        <v>195</v>
      </c>
      <c r="E1685" s="104"/>
      <c r="F1685" s="7"/>
      <c r="G1685" s="7"/>
      <c r="H1685" s="35"/>
      <c r="I1685" s="7">
        <f>I1686</f>
        <v>0.7</v>
      </c>
      <c r="J1685" s="35">
        <f t="shared" si="376"/>
        <v>0.7</v>
      </c>
      <c r="K1685" s="7">
        <f>K1686</f>
        <v>0</v>
      </c>
      <c r="L1685" s="35">
        <f t="shared" si="372"/>
        <v>0.7</v>
      </c>
      <c r="M1685" s="7">
        <f>M1686</f>
        <v>0</v>
      </c>
      <c r="N1685" s="35">
        <f t="shared" si="359"/>
        <v>0.7</v>
      </c>
      <c r="O1685" s="7">
        <f>O1686</f>
        <v>0</v>
      </c>
      <c r="P1685" s="35">
        <f t="shared" si="377"/>
        <v>0.7</v>
      </c>
      <c r="Q1685" s="7">
        <f>Q1686</f>
        <v>0</v>
      </c>
      <c r="R1685" s="35">
        <f t="shared" si="373"/>
        <v>0.7</v>
      </c>
      <c r="S1685" s="7">
        <f>S1686</f>
        <v>0</v>
      </c>
      <c r="T1685" s="35">
        <f t="shared" si="365"/>
        <v>0.7</v>
      </c>
    </row>
    <row r="1686" spans="1:20" ht="16.7" customHeight="1">
      <c r="A1686" s="61" t="str">
        <f ca="1">IF(ISERROR(MATCH(E1686,Код_КВР,0)),"",INDIRECT(ADDRESS(MATCH(E1686,Код_КВР,0)+1,2,,,"КВР")))</f>
        <v>Предоставление субсидий бюджетным, автономным учреждениям и иным некоммерческим организациям</v>
      </c>
      <c r="B1686" s="104" t="s">
        <v>371</v>
      </c>
      <c r="C1686" s="8" t="s">
        <v>195</v>
      </c>
      <c r="D1686" s="1" t="s">
        <v>195</v>
      </c>
      <c r="E1686" s="104">
        <v>600</v>
      </c>
      <c r="F1686" s="7"/>
      <c r="G1686" s="7"/>
      <c r="H1686" s="35"/>
      <c r="I1686" s="7">
        <f>I1687</f>
        <v>0.7</v>
      </c>
      <c r="J1686" s="35">
        <f t="shared" si="376"/>
        <v>0.7</v>
      </c>
      <c r="K1686" s="7">
        <f>K1687</f>
        <v>0</v>
      </c>
      <c r="L1686" s="35">
        <f t="shared" si="372"/>
        <v>0.7</v>
      </c>
      <c r="M1686" s="7">
        <f>M1687</f>
        <v>0</v>
      </c>
      <c r="N1686" s="35">
        <f t="shared" si="359"/>
        <v>0.7</v>
      </c>
      <c r="O1686" s="7">
        <f>O1687</f>
        <v>0</v>
      </c>
      <c r="P1686" s="35">
        <f t="shared" si="377"/>
        <v>0.7</v>
      </c>
      <c r="Q1686" s="7">
        <f>Q1687</f>
        <v>0</v>
      </c>
      <c r="R1686" s="35">
        <f t="shared" si="373"/>
        <v>0.7</v>
      </c>
      <c r="S1686" s="7">
        <f>S1687</f>
        <v>0</v>
      </c>
      <c r="T1686" s="35">
        <f t="shared" si="365"/>
        <v>0.7</v>
      </c>
    </row>
    <row r="1687" spans="1:20" ht="16.7" customHeight="1">
      <c r="A1687" s="61" t="str">
        <f ca="1">IF(ISERROR(MATCH(E1687,Код_КВР,0)),"",INDIRECT(ADDRESS(MATCH(E1687,Код_КВР,0)+1,2,,,"КВР")))</f>
        <v>Субсидии бюджетным учреждениям</v>
      </c>
      <c r="B1687" s="104" t="s">
        <v>371</v>
      </c>
      <c r="C1687" s="8" t="s">
        <v>195</v>
      </c>
      <c r="D1687" s="1" t="s">
        <v>195</v>
      </c>
      <c r="E1687" s="104">
        <v>610</v>
      </c>
      <c r="F1687" s="7"/>
      <c r="G1687" s="7"/>
      <c r="H1687" s="35"/>
      <c r="I1687" s="7">
        <f>I1688</f>
        <v>0.7</v>
      </c>
      <c r="J1687" s="35">
        <f t="shared" si="376"/>
        <v>0.7</v>
      </c>
      <c r="K1687" s="7">
        <f>K1688</f>
        <v>0</v>
      </c>
      <c r="L1687" s="35">
        <f t="shared" si="372"/>
        <v>0.7</v>
      </c>
      <c r="M1687" s="7">
        <f>M1688</f>
        <v>0</v>
      </c>
      <c r="N1687" s="35">
        <f t="shared" si="359"/>
        <v>0.7</v>
      </c>
      <c r="O1687" s="7">
        <f>O1688</f>
        <v>0</v>
      </c>
      <c r="P1687" s="35">
        <f t="shared" si="377"/>
        <v>0.7</v>
      </c>
      <c r="Q1687" s="7">
        <f>Q1688</f>
        <v>0</v>
      </c>
      <c r="R1687" s="35">
        <f t="shared" si="373"/>
        <v>0.7</v>
      </c>
      <c r="S1687" s="7">
        <f>S1688</f>
        <v>0</v>
      </c>
      <c r="T1687" s="35">
        <f t="shared" si="365"/>
        <v>0.7</v>
      </c>
    </row>
    <row r="1688" spans="1:20" ht="16.7" customHeight="1">
      <c r="A1688" s="61" t="str">
        <f ca="1">IF(ISERROR(MATCH(E1688,Код_КВР,0)),"",INDIRECT(ADDRESS(MATCH(E1688,Код_КВР,0)+1,2,,,"КВР")))</f>
        <v>Субсидии бюджетным учреждениям на иные цели</v>
      </c>
      <c r="B1688" s="104" t="s">
        <v>371</v>
      </c>
      <c r="C1688" s="8" t="s">
        <v>195</v>
      </c>
      <c r="D1688" s="1" t="s">
        <v>195</v>
      </c>
      <c r="E1688" s="104">
        <v>612</v>
      </c>
      <c r="F1688" s="7"/>
      <c r="G1688" s="7"/>
      <c r="H1688" s="35"/>
      <c r="I1688" s="7">
        <f>прил.6!J332</f>
        <v>0.7</v>
      </c>
      <c r="J1688" s="35">
        <f t="shared" si="376"/>
        <v>0.7</v>
      </c>
      <c r="K1688" s="7">
        <f>прил.6!L332</f>
        <v>0</v>
      </c>
      <c r="L1688" s="35">
        <f t="shared" si="372"/>
        <v>0.7</v>
      </c>
      <c r="M1688" s="7">
        <f>прил.6!N332</f>
        <v>0</v>
      </c>
      <c r="N1688" s="35">
        <f t="shared" si="359"/>
        <v>0.7</v>
      </c>
      <c r="O1688" s="7">
        <f>прил.6!P332</f>
        <v>0</v>
      </c>
      <c r="P1688" s="35">
        <f t="shared" si="377"/>
        <v>0.7</v>
      </c>
      <c r="Q1688" s="7">
        <f>прил.6!R332</f>
        <v>0</v>
      </c>
      <c r="R1688" s="35">
        <f t="shared" si="373"/>
        <v>0.7</v>
      </c>
      <c r="S1688" s="7">
        <f>прил.6!T332</f>
        <v>0</v>
      </c>
      <c r="T1688" s="35">
        <f t="shared" si="365"/>
        <v>0.7</v>
      </c>
    </row>
    <row r="1689" spans="1:20">
      <c r="A1689" s="12" t="s">
        <v>251</v>
      </c>
      <c r="B1689" s="105" t="s">
        <v>371</v>
      </c>
      <c r="C1689" s="8" t="s">
        <v>195</v>
      </c>
      <c r="D1689" s="1" t="s">
        <v>219</v>
      </c>
      <c r="E1689" s="104"/>
      <c r="F1689" s="7"/>
      <c r="G1689" s="7"/>
      <c r="H1689" s="35"/>
      <c r="I1689" s="7">
        <f>I1690</f>
        <v>1458.3</v>
      </c>
      <c r="J1689" s="35">
        <f t="shared" si="376"/>
        <v>1458.3</v>
      </c>
      <c r="K1689" s="7">
        <f>K1690</f>
        <v>0</v>
      </c>
      <c r="L1689" s="35">
        <f t="shared" si="372"/>
        <v>1458.3</v>
      </c>
      <c r="M1689" s="7">
        <f>M1690</f>
        <v>0</v>
      </c>
      <c r="N1689" s="35">
        <f t="shared" si="359"/>
        <v>1458.3</v>
      </c>
      <c r="O1689" s="7">
        <f>O1690</f>
        <v>0</v>
      </c>
      <c r="P1689" s="35">
        <f t="shared" si="377"/>
        <v>1458.3</v>
      </c>
      <c r="Q1689" s="7">
        <f>Q1690</f>
        <v>0</v>
      </c>
      <c r="R1689" s="35">
        <f t="shared" si="373"/>
        <v>1458.3</v>
      </c>
      <c r="S1689" s="7">
        <f>S1690</f>
        <v>0</v>
      </c>
      <c r="T1689" s="35">
        <f t="shared" si="365"/>
        <v>1458.3</v>
      </c>
    </row>
    <row r="1690" spans="1:20" ht="33">
      <c r="A1690" s="61" t="str">
        <f ca="1">IF(ISERROR(MATCH(E1690,Код_КВР,0)),"",INDIRECT(ADDRESS(MATCH(E1690,Код_КВР,0)+1,2,,,"КВР")))</f>
        <v>Предоставление субсидий бюджетным, автономным учреждениям и иным некоммерческим организациям</v>
      </c>
      <c r="B1690" s="104" t="s">
        <v>371</v>
      </c>
      <c r="C1690" s="8" t="s">
        <v>195</v>
      </c>
      <c r="D1690" s="1" t="s">
        <v>219</v>
      </c>
      <c r="E1690" s="104">
        <v>600</v>
      </c>
      <c r="F1690" s="7"/>
      <c r="G1690" s="7"/>
      <c r="H1690" s="35"/>
      <c r="I1690" s="7">
        <f>I1691</f>
        <v>1458.3</v>
      </c>
      <c r="J1690" s="35">
        <f t="shared" si="376"/>
        <v>1458.3</v>
      </c>
      <c r="K1690" s="7">
        <f>K1691</f>
        <v>0</v>
      </c>
      <c r="L1690" s="35">
        <f t="shared" si="372"/>
        <v>1458.3</v>
      </c>
      <c r="M1690" s="7">
        <f>M1691</f>
        <v>0</v>
      </c>
      <c r="N1690" s="35">
        <f t="shared" si="359"/>
        <v>1458.3</v>
      </c>
      <c r="O1690" s="7">
        <f>O1691</f>
        <v>0</v>
      </c>
      <c r="P1690" s="35">
        <f t="shared" si="377"/>
        <v>1458.3</v>
      </c>
      <c r="Q1690" s="7">
        <f>Q1691</f>
        <v>0</v>
      </c>
      <c r="R1690" s="35">
        <f t="shared" si="373"/>
        <v>1458.3</v>
      </c>
      <c r="S1690" s="7">
        <f>S1691</f>
        <v>0</v>
      </c>
      <c r="T1690" s="35">
        <f t="shared" si="365"/>
        <v>1458.3</v>
      </c>
    </row>
    <row r="1691" spans="1:20">
      <c r="A1691" s="61" t="str">
        <f ca="1">IF(ISERROR(MATCH(E1691,Код_КВР,0)),"",INDIRECT(ADDRESS(MATCH(E1691,Код_КВР,0)+1,2,,,"КВР")))</f>
        <v>Субсидии бюджетным учреждениям</v>
      </c>
      <c r="B1691" s="104" t="s">
        <v>371</v>
      </c>
      <c r="C1691" s="8" t="s">
        <v>195</v>
      </c>
      <c r="D1691" s="1" t="s">
        <v>219</v>
      </c>
      <c r="E1691" s="104">
        <v>610</v>
      </c>
      <c r="F1691" s="7"/>
      <c r="G1691" s="7"/>
      <c r="H1691" s="35"/>
      <c r="I1691" s="7">
        <f>I1692</f>
        <v>1458.3</v>
      </c>
      <c r="J1691" s="35">
        <f t="shared" si="376"/>
        <v>1458.3</v>
      </c>
      <c r="K1691" s="7">
        <f>K1692</f>
        <v>0</v>
      </c>
      <c r="L1691" s="35">
        <f t="shared" si="372"/>
        <v>1458.3</v>
      </c>
      <c r="M1691" s="7">
        <f>M1692</f>
        <v>0</v>
      </c>
      <c r="N1691" s="35">
        <f t="shared" si="359"/>
        <v>1458.3</v>
      </c>
      <c r="O1691" s="7">
        <f>O1692</f>
        <v>0</v>
      </c>
      <c r="P1691" s="35">
        <f t="shared" si="377"/>
        <v>1458.3</v>
      </c>
      <c r="Q1691" s="7">
        <f>Q1692</f>
        <v>0</v>
      </c>
      <c r="R1691" s="35">
        <f t="shared" si="373"/>
        <v>1458.3</v>
      </c>
      <c r="S1691" s="7">
        <f>S1692</f>
        <v>0</v>
      </c>
      <c r="T1691" s="35">
        <f t="shared" si="365"/>
        <v>1458.3</v>
      </c>
    </row>
    <row r="1692" spans="1:20">
      <c r="A1692" s="61" t="str">
        <f ca="1">IF(ISERROR(MATCH(E1692,Код_КВР,0)),"",INDIRECT(ADDRESS(MATCH(E1692,Код_КВР,0)+1,2,,,"КВР")))</f>
        <v>Субсидии бюджетным учреждениям на иные цели</v>
      </c>
      <c r="B1692" s="104" t="s">
        <v>371</v>
      </c>
      <c r="C1692" s="8" t="s">
        <v>195</v>
      </c>
      <c r="D1692" s="1" t="s">
        <v>219</v>
      </c>
      <c r="E1692" s="104">
        <v>612</v>
      </c>
      <c r="F1692" s="7"/>
      <c r="G1692" s="7"/>
      <c r="H1692" s="35"/>
      <c r="I1692" s="7">
        <f>прил.6!J811</f>
        <v>1458.3</v>
      </c>
      <c r="J1692" s="35">
        <f t="shared" si="376"/>
        <v>1458.3</v>
      </c>
      <c r="K1692" s="7">
        <f>прил.6!L811</f>
        <v>0</v>
      </c>
      <c r="L1692" s="35">
        <f t="shared" si="372"/>
        <v>1458.3</v>
      </c>
      <c r="M1692" s="7">
        <f>прил.6!N811</f>
        <v>0</v>
      </c>
      <c r="N1692" s="35">
        <f t="shared" si="359"/>
        <v>1458.3</v>
      </c>
      <c r="O1692" s="7">
        <f>прил.6!P811</f>
        <v>0</v>
      </c>
      <c r="P1692" s="35">
        <f t="shared" si="377"/>
        <v>1458.3</v>
      </c>
      <c r="Q1692" s="7">
        <f>прил.6!R811</f>
        <v>0</v>
      </c>
      <c r="R1692" s="35">
        <f t="shared" si="373"/>
        <v>1458.3</v>
      </c>
      <c r="S1692" s="7">
        <f>прил.6!T811</f>
        <v>0</v>
      </c>
      <c r="T1692" s="35">
        <f t="shared" si="365"/>
        <v>1458.3</v>
      </c>
    </row>
    <row r="1693" spans="1:20">
      <c r="A1693" s="61" t="str">
        <f ca="1">IF(ISERROR(MATCH(C1693,Код_Раздел,0)),"",INDIRECT(ADDRESS(MATCH(C1693,Код_Раздел,0)+1,2,,,"Раздел")))</f>
        <v>Культура, кинематография</v>
      </c>
      <c r="B1693" s="105" t="s">
        <v>371</v>
      </c>
      <c r="C1693" s="8" t="s">
        <v>222</v>
      </c>
      <c r="D1693" s="1"/>
      <c r="E1693" s="104"/>
      <c r="F1693" s="7"/>
      <c r="G1693" s="7"/>
      <c r="H1693" s="35"/>
      <c r="I1693" s="7">
        <f>I1694+I1698</f>
        <v>69</v>
      </c>
      <c r="J1693" s="35">
        <f t="shared" ref="J1693:J1701" si="378">H1693+I1693</f>
        <v>69</v>
      </c>
      <c r="K1693" s="7">
        <f>K1694+K1698</f>
        <v>0</v>
      </c>
      <c r="L1693" s="35">
        <f t="shared" si="372"/>
        <v>69</v>
      </c>
      <c r="M1693" s="7">
        <f>M1694+M1698</f>
        <v>0</v>
      </c>
      <c r="N1693" s="35">
        <f t="shared" si="359"/>
        <v>69</v>
      </c>
      <c r="O1693" s="7">
        <f>O1694+O1698</f>
        <v>0</v>
      </c>
      <c r="P1693" s="35">
        <f t="shared" si="377"/>
        <v>69</v>
      </c>
      <c r="Q1693" s="7">
        <f>Q1694+Q1698</f>
        <v>0</v>
      </c>
      <c r="R1693" s="35">
        <f t="shared" si="373"/>
        <v>69</v>
      </c>
      <c r="S1693" s="7">
        <f>S1694+S1698</f>
        <v>0</v>
      </c>
      <c r="T1693" s="35">
        <f t="shared" si="365"/>
        <v>69</v>
      </c>
    </row>
    <row r="1694" spans="1:20">
      <c r="A1694" s="12" t="s">
        <v>184</v>
      </c>
      <c r="B1694" s="105" t="s">
        <v>371</v>
      </c>
      <c r="C1694" s="8" t="s">
        <v>222</v>
      </c>
      <c r="D1694" s="1" t="s">
        <v>213</v>
      </c>
      <c r="E1694" s="104"/>
      <c r="F1694" s="7"/>
      <c r="G1694" s="7"/>
      <c r="H1694" s="35"/>
      <c r="I1694" s="7">
        <f>I1695</f>
        <v>33</v>
      </c>
      <c r="J1694" s="35">
        <f t="shared" si="378"/>
        <v>33</v>
      </c>
      <c r="K1694" s="7">
        <f>K1695</f>
        <v>0</v>
      </c>
      <c r="L1694" s="35">
        <f t="shared" si="372"/>
        <v>33</v>
      </c>
      <c r="M1694" s="7">
        <f>M1695</f>
        <v>0</v>
      </c>
      <c r="N1694" s="35">
        <f t="shared" si="359"/>
        <v>33</v>
      </c>
      <c r="O1694" s="7">
        <f>O1695</f>
        <v>0</v>
      </c>
      <c r="P1694" s="35">
        <f t="shared" si="377"/>
        <v>33</v>
      </c>
      <c r="Q1694" s="7">
        <f>Q1695</f>
        <v>0</v>
      </c>
      <c r="R1694" s="35">
        <f t="shared" si="373"/>
        <v>33</v>
      </c>
      <c r="S1694" s="7">
        <f>S1695</f>
        <v>0</v>
      </c>
      <c r="T1694" s="35">
        <f t="shared" si="365"/>
        <v>33</v>
      </c>
    </row>
    <row r="1695" spans="1:20" ht="33">
      <c r="A1695" s="61" t="str">
        <f ca="1">IF(ISERROR(MATCH(E1695,Код_КВР,0)),"",INDIRECT(ADDRESS(MATCH(E1695,Код_КВР,0)+1,2,,,"КВР")))</f>
        <v>Предоставление субсидий бюджетным, автономным учреждениям и иным некоммерческим организациям</v>
      </c>
      <c r="B1695" s="104" t="s">
        <v>371</v>
      </c>
      <c r="C1695" s="8" t="s">
        <v>222</v>
      </c>
      <c r="D1695" s="1" t="s">
        <v>213</v>
      </c>
      <c r="E1695" s="104">
        <v>600</v>
      </c>
      <c r="F1695" s="7"/>
      <c r="G1695" s="7"/>
      <c r="H1695" s="35"/>
      <c r="I1695" s="7">
        <f>I1696</f>
        <v>33</v>
      </c>
      <c r="J1695" s="35">
        <f t="shared" si="378"/>
        <v>33</v>
      </c>
      <c r="K1695" s="7">
        <f>K1696</f>
        <v>0</v>
      </c>
      <c r="L1695" s="35">
        <f t="shared" si="372"/>
        <v>33</v>
      </c>
      <c r="M1695" s="7">
        <f>M1696</f>
        <v>0</v>
      </c>
      <c r="N1695" s="35">
        <f t="shared" si="359"/>
        <v>33</v>
      </c>
      <c r="O1695" s="7">
        <f>O1696</f>
        <v>0</v>
      </c>
      <c r="P1695" s="35">
        <f t="shared" si="377"/>
        <v>33</v>
      </c>
      <c r="Q1695" s="7">
        <f>Q1696</f>
        <v>0</v>
      </c>
      <c r="R1695" s="35">
        <f t="shared" si="373"/>
        <v>33</v>
      </c>
      <c r="S1695" s="7">
        <f>S1696</f>
        <v>0</v>
      </c>
      <c r="T1695" s="35">
        <f t="shared" si="365"/>
        <v>33</v>
      </c>
    </row>
    <row r="1696" spans="1:20">
      <c r="A1696" s="61" t="str">
        <f ca="1">IF(ISERROR(MATCH(E1696,Код_КВР,0)),"",INDIRECT(ADDRESS(MATCH(E1696,Код_КВР,0)+1,2,,,"КВР")))</f>
        <v>Субсидии бюджетным учреждениям</v>
      </c>
      <c r="B1696" s="104" t="s">
        <v>371</v>
      </c>
      <c r="C1696" s="8" t="s">
        <v>222</v>
      </c>
      <c r="D1696" s="1" t="s">
        <v>213</v>
      </c>
      <c r="E1696" s="104">
        <v>610</v>
      </c>
      <c r="F1696" s="7"/>
      <c r="G1696" s="7"/>
      <c r="H1696" s="35"/>
      <c r="I1696" s="7">
        <f>I1697</f>
        <v>33</v>
      </c>
      <c r="J1696" s="35">
        <f t="shared" si="378"/>
        <v>33</v>
      </c>
      <c r="K1696" s="7">
        <f>K1697</f>
        <v>0</v>
      </c>
      <c r="L1696" s="35">
        <f t="shared" si="372"/>
        <v>33</v>
      </c>
      <c r="M1696" s="7">
        <f>M1697</f>
        <v>0</v>
      </c>
      <c r="N1696" s="35">
        <f t="shared" si="359"/>
        <v>33</v>
      </c>
      <c r="O1696" s="7">
        <f>O1697</f>
        <v>0</v>
      </c>
      <c r="P1696" s="35">
        <f t="shared" si="377"/>
        <v>33</v>
      </c>
      <c r="Q1696" s="7">
        <f>Q1697</f>
        <v>0</v>
      </c>
      <c r="R1696" s="35">
        <f t="shared" si="373"/>
        <v>33</v>
      </c>
      <c r="S1696" s="7">
        <f>S1697</f>
        <v>0</v>
      </c>
      <c r="T1696" s="35">
        <f t="shared" si="365"/>
        <v>33</v>
      </c>
    </row>
    <row r="1697" spans="1:20">
      <c r="A1697" s="61" t="str">
        <f ca="1">IF(ISERROR(MATCH(E1697,Код_КВР,0)),"",INDIRECT(ADDRESS(MATCH(E1697,Код_КВР,0)+1,2,,,"КВР")))</f>
        <v>Субсидии бюджетным учреждениям на иные цели</v>
      </c>
      <c r="B1697" s="104" t="s">
        <v>371</v>
      </c>
      <c r="C1697" s="8" t="s">
        <v>222</v>
      </c>
      <c r="D1697" s="1" t="s">
        <v>213</v>
      </c>
      <c r="E1697" s="104">
        <v>612</v>
      </c>
      <c r="F1697" s="7"/>
      <c r="G1697" s="7"/>
      <c r="H1697" s="35"/>
      <c r="I1697" s="7">
        <f>прил.6!J1058</f>
        <v>33</v>
      </c>
      <c r="J1697" s="35">
        <f t="shared" si="378"/>
        <v>33</v>
      </c>
      <c r="K1697" s="7">
        <f>прил.6!L1058</f>
        <v>0</v>
      </c>
      <c r="L1697" s="35">
        <f t="shared" si="372"/>
        <v>33</v>
      </c>
      <c r="M1697" s="7">
        <f>прил.6!N1058</f>
        <v>0</v>
      </c>
      <c r="N1697" s="35">
        <f t="shared" ref="N1697:N1769" si="379">L1697+M1697</f>
        <v>33</v>
      </c>
      <c r="O1697" s="7">
        <f>прил.6!P1058</f>
        <v>0</v>
      </c>
      <c r="P1697" s="35">
        <f t="shared" si="377"/>
        <v>33</v>
      </c>
      <c r="Q1697" s="7">
        <f>прил.6!R1058</f>
        <v>0</v>
      </c>
      <c r="R1697" s="35">
        <f t="shared" si="373"/>
        <v>33</v>
      </c>
      <c r="S1697" s="7">
        <f>прил.6!T1058</f>
        <v>0</v>
      </c>
      <c r="T1697" s="35">
        <f t="shared" si="365"/>
        <v>33</v>
      </c>
    </row>
    <row r="1698" spans="1:20">
      <c r="A1698" s="12" t="s">
        <v>163</v>
      </c>
      <c r="B1698" s="105" t="s">
        <v>371</v>
      </c>
      <c r="C1698" s="8" t="s">
        <v>222</v>
      </c>
      <c r="D1698" s="1" t="s">
        <v>216</v>
      </c>
      <c r="E1698" s="104"/>
      <c r="F1698" s="7"/>
      <c r="G1698" s="7"/>
      <c r="H1698" s="35"/>
      <c r="I1698" s="7">
        <f>I1699</f>
        <v>36</v>
      </c>
      <c r="J1698" s="35">
        <f t="shared" si="378"/>
        <v>36</v>
      </c>
      <c r="K1698" s="7">
        <f>K1699</f>
        <v>0</v>
      </c>
      <c r="L1698" s="35">
        <f t="shared" si="372"/>
        <v>36</v>
      </c>
      <c r="M1698" s="7">
        <f>M1699</f>
        <v>0</v>
      </c>
      <c r="N1698" s="35">
        <f t="shared" si="379"/>
        <v>36</v>
      </c>
      <c r="O1698" s="7">
        <f>O1699</f>
        <v>0</v>
      </c>
      <c r="P1698" s="35">
        <f t="shared" si="377"/>
        <v>36</v>
      </c>
      <c r="Q1698" s="7">
        <f>Q1699</f>
        <v>0</v>
      </c>
      <c r="R1698" s="35">
        <f t="shared" si="373"/>
        <v>36</v>
      </c>
      <c r="S1698" s="7">
        <f>S1699</f>
        <v>0</v>
      </c>
      <c r="T1698" s="35">
        <f t="shared" si="365"/>
        <v>36</v>
      </c>
    </row>
    <row r="1699" spans="1:20" ht="33">
      <c r="A1699" s="61" t="str">
        <f ca="1">IF(ISERROR(MATCH(E1699,Код_КВР,0)),"",INDIRECT(ADDRESS(MATCH(E1699,Код_КВР,0)+1,2,,,"КВР")))</f>
        <v>Предоставление субсидий бюджетным, автономным учреждениям и иным некоммерческим организациям</v>
      </c>
      <c r="B1699" s="104" t="s">
        <v>371</v>
      </c>
      <c r="C1699" s="8" t="s">
        <v>222</v>
      </c>
      <c r="D1699" s="1" t="s">
        <v>216</v>
      </c>
      <c r="E1699" s="104">
        <v>600</v>
      </c>
      <c r="F1699" s="7"/>
      <c r="G1699" s="7"/>
      <c r="H1699" s="35"/>
      <c r="I1699" s="7">
        <f>I1700</f>
        <v>36</v>
      </c>
      <c r="J1699" s="35">
        <f t="shared" si="378"/>
        <v>36</v>
      </c>
      <c r="K1699" s="7">
        <f>K1700</f>
        <v>0</v>
      </c>
      <c r="L1699" s="35">
        <f t="shared" si="372"/>
        <v>36</v>
      </c>
      <c r="M1699" s="7">
        <f>M1700</f>
        <v>0</v>
      </c>
      <c r="N1699" s="35">
        <f t="shared" si="379"/>
        <v>36</v>
      </c>
      <c r="O1699" s="7">
        <f>O1700</f>
        <v>0</v>
      </c>
      <c r="P1699" s="35">
        <f t="shared" si="377"/>
        <v>36</v>
      </c>
      <c r="Q1699" s="7">
        <f>Q1700</f>
        <v>0</v>
      </c>
      <c r="R1699" s="35">
        <f t="shared" si="373"/>
        <v>36</v>
      </c>
      <c r="S1699" s="7">
        <f>S1700</f>
        <v>0</v>
      </c>
      <c r="T1699" s="35">
        <f t="shared" si="365"/>
        <v>36</v>
      </c>
    </row>
    <row r="1700" spans="1:20">
      <c r="A1700" s="61" t="str">
        <f ca="1">IF(ISERROR(MATCH(E1700,Код_КВР,0)),"",INDIRECT(ADDRESS(MATCH(E1700,Код_КВР,0)+1,2,,,"КВР")))</f>
        <v>Субсидии бюджетным учреждениям</v>
      </c>
      <c r="B1700" s="104" t="s">
        <v>371</v>
      </c>
      <c r="C1700" s="8" t="s">
        <v>222</v>
      </c>
      <c r="D1700" s="1" t="s">
        <v>216</v>
      </c>
      <c r="E1700" s="104">
        <v>610</v>
      </c>
      <c r="F1700" s="7"/>
      <c r="G1700" s="7"/>
      <c r="H1700" s="35"/>
      <c r="I1700" s="7">
        <f>I1701</f>
        <v>36</v>
      </c>
      <c r="J1700" s="35">
        <f t="shared" si="378"/>
        <v>36</v>
      </c>
      <c r="K1700" s="7">
        <f>K1701</f>
        <v>0</v>
      </c>
      <c r="L1700" s="35">
        <f t="shared" si="372"/>
        <v>36</v>
      </c>
      <c r="M1700" s="7">
        <f>M1701</f>
        <v>0</v>
      </c>
      <c r="N1700" s="35">
        <f t="shared" si="379"/>
        <v>36</v>
      </c>
      <c r="O1700" s="7">
        <f>O1701</f>
        <v>0</v>
      </c>
      <c r="P1700" s="35">
        <f t="shared" si="377"/>
        <v>36</v>
      </c>
      <c r="Q1700" s="7">
        <f>Q1701</f>
        <v>0</v>
      </c>
      <c r="R1700" s="35">
        <f t="shared" si="373"/>
        <v>36</v>
      </c>
      <c r="S1700" s="7">
        <f>S1701</f>
        <v>0</v>
      </c>
      <c r="T1700" s="35">
        <f t="shared" si="365"/>
        <v>36</v>
      </c>
    </row>
    <row r="1701" spans="1:20">
      <c r="A1701" s="61" t="str">
        <f ca="1">IF(ISERROR(MATCH(E1701,Код_КВР,0)),"",INDIRECT(ADDRESS(MATCH(E1701,Код_КВР,0)+1,2,,,"КВР")))</f>
        <v>Субсидии бюджетным учреждениям на иные цели</v>
      </c>
      <c r="B1701" s="104" t="s">
        <v>371</v>
      </c>
      <c r="C1701" s="8" t="s">
        <v>222</v>
      </c>
      <c r="D1701" s="1" t="s">
        <v>216</v>
      </c>
      <c r="E1701" s="104">
        <v>612</v>
      </c>
      <c r="F1701" s="7"/>
      <c r="G1701" s="7"/>
      <c r="H1701" s="35"/>
      <c r="I1701" s="7">
        <f>прил.6!J1193</f>
        <v>36</v>
      </c>
      <c r="J1701" s="35">
        <f t="shared" si="378"/>
        <v>36</v>
      </c>
      <c r="K1701" s="7">
        <f>прил.6!L1193</f>
        <v>0</v>
      </c>
      <c r="L1701" s="35">
        <f t="shared" si="372"/>
        <v>36</v>
      </c>
      <c r="M1701" s="7">
        <f>прил.6!N1193</f>
        <v>0</v>
      </c>
      <c r="N1701" s="35">
        <f t="shared" si="379"/>
        <v>36</v>
      </c>
      <c r="O1701" s="7">
        <f>прил.6!P1193</f>
        <v>0</v>
      </c>
      <c r="P1701" s="35">
        <f t="shared" si="377"/>
        <v>36</v>
      </c>
      <c r="Q1701" s="7">
        <f>прил.6!R1193</f>
        <v>0</v>
      </c>
      <c r="R1701" s="35">
        <f t="shared" si="373"/>
        <v>36</v>
      </c>
      <c r="S1701" s="7">
        <f>прил.6!T1193</f>
        <v>0</v>
      </c>
      <c r="T1701" s="35">
        <f t="shared" si="365"/>
        <v>36</v>
      </c>
    </row>
    <row r="1702" spans="1:20">
      <c r="A1702" s="61" t="str">
        <f ca="1">IF(ISERROR(MATCH(C1702,Код_Раздел,0)),"",INDIRECT(ADDRESS(MATCH(C1702,Код_Раздел,0)+1,2,,,"Раздел")))</f>
        <v>Физическая культура и спорт</v>
      </c>
      <c r="B1702" s="105" t="s">
        <v>371</v>
      </c>
      <c r="C1702" s="8" t="s">
        <v>224</v>
      </c>
      <c r="D1702" s="1"/>
      <c r="E1702" s="104"/>
      <c r="F1702" s="7"/>
      <c r="G1702" s="7"/>
      <c r="H1702" s="35"/>
      <c r="I1702" s="7">
        <f>I1703+I1706</f>
        <v>4413.8999999999996</v>
      </c>
      <c r="J1702" s="35">
        <f t="shared" ref="J1702:J1709" si="380">H1702+I1702</f>
        <v>4413.8999999999996</v>
      </c>
      <c r="K1702" s="7">
        <f>K1703+K1706</f>
        <v>0</v>
      </c>
      <c r="L1702" s="35">
        <f t="shared" si="372"/>
        <v>4413.8999999999996</v>
      </c>
      <c r="M1702" s="7">
        <f>M1703+M1706</f>
        <v>0</v>
      </c>
      <c r="N1702" s="35">
        <f t="shared" si="379"/>
        <v>4413.8999999999996</v>
      </c>
      <c r="O1702" s="7">
        <f>O1703+O1706</f>
        <v>0</v>
      </c>
      <c r="P1702" s="35">
        <f t="shared" si="377"/>
        <v>4413.8999999999996</v>
      </c>
      <c r="Q1702" s="7">
        <f>Q1703+Q1706</f>
        <v>0</v>
      </c>
      <c r="R1702" s="35">
        <f t="shared" si="373"/>
        <v>4413.8999999999996</v>
      </c>
      <c r="S1702" s="7">
        <f>S1703+S1706</f>
        <v>0</v>
      </c>
      <c r="T1702" s="35">
        <f t="shared" si="365"/>
        <v>4413.8999999999996</v>
      </c>
    </row>
    <row r="1703" spans="1:20">
      <c r="A1703" s="12" t="s">
        <v>267</v>
      </c>
      <c r="B1703" s="105" t="s">
        <v>371</v>
      </c>
      <c r="C1703" s="8" t="s">
        <v>224</v>
      </c>
      <c r="D1703" s="1" t="s">
        <v>214</v>
      </c>
      <c r="E1703" s="104"/>
      <c r="F1703" s="7"/>
      <c r="G1703" s="7"/>
      <c r="H1703" s="35"/>
      <c r="I1703" s="7">
        <f>I1704</f>
        <v>1600</v>
      </c>
      <c r="J1703" s="35">
        <f t="shared" si="380"/>
        <v>1600</v>
      </c>
      <c r="K1703" s="7">
        <f>K1704</f>
        <v>0</v>
      </c>
      <c r="L1703" s="35">
        <f t="shared" si="372"/>
        <v>1600</v>
      </c>
      <c r="M1703" s="7">
        <f>M1704</f>
        <v>0</v>
      </c>
      <c r="N1703" s="35">
        <f t="shared" si="379"/>
        <v>1600</v>
      </c>
      <c r="O1703" s="7">
        <f>O1704</f>
        <v>0</v>
      </c>
      <c r="P1703" s="35">
        <f t="shared" si="377"/>
        <v>1600</v>
      </c>
      <c r="Q1703" s="7">
        <f>Q1704</f>
        <v>0</v>
      </c>
      <c r="R1703" s="35">
        <f t="shared" si="373"/>
        <v>1600</v>
      </c>
      <c r="S1703" s="7">
        <f>S1704</f>
        <v>0</v>
      </c>
      <c r="T1703" s="35">
        <f t="shared" si="365"/>
        <v>1600</v>
      </c>
    </row>
    <row r="1704" spans="1:20" ht="23.25" customHeight="1">
      <c r="A1704" s="61" t="str">
        <f ca="1">IF(ISERROR(MATCH(E1704,Код_КВР,0)),"",INDIRECT(ADDRESS(MATCH(E1704,Код_КВР,0)+1,2,,,"КВР")))</f>
        <v>Иные бюджетные ассигнования</v>
      </c>
      <c r="B1704" s="104" t="s">
        <v>371</v>
      </c>
      <c r="C1704" s="8" t="s">
        <v>224</v>
      </c>
      <c r="D1704" s="1" t="s">
        <v>214</v>
      </c>
      <c r="E1704" s="104">
        <v>800</v>
      </c>
      <c r="F1704" s="7"/>
      <c r="G1704" s="7"/>
      <c r="H1704" s="35"/>
      <c r="I1704" s="7">
        <f>I1705</f>
        <v>1600</v>
      </c>
      <c r="J1704" s="35">
        <f t="shared" si="380"/>
        <v>1600</v>
      </c>
      <c r="K1704" s="7">
        <f>K1705</f>
        <v>0</v>
      </c>
      <c r="L1704" s="35">
        <f t="shared" si="372"/>
        <v>1600</v>
      </c>
      <c r="M1704" s="7">
        <f>M1705</f>
        <v>0</v>
      </c>
      <c r="N1704" s="35">
        <f t="shared" si="379"/>
        <v>1600</v>
      </c>
      <c r="O1704" s="7">
        <f>O1705</f>
        <v>0</v>
      </c>
      <c r="P1704" s="35">
        <f t="shared" si="377"/>
        <v>1600</v>
      </c>
      <c r="Q1704" s="7">
        <f>Q1705</f>
        <v>0</v>
      </c>
      <c r="R1704" s="35">
        <f t="shared" si="373"/>
        <v>1600</v>
      </c>
      <c r="S1704" s="7">
        <f>S1705</f>
        <v>0</v>
      </c>
      <c r="T1704" s="35">
        <f t="shared" si="365"/>
        <v>1600</v>
      </c>
    </row>
    <row r="1705" spans="1:20" ht="49.5">
      <c r="A1705" s="61" t="str">
        <f ca="1">IF(ISERROR(MATCH(E1705,Код_КВР,0)),"",INDIRECT(ADDRESS(MATCH(E1705,Код_КВР,0)+1,2,,,"КВР")))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705" s="104" t="s">
        <v>371</v>
      </c>
      <c r="C1705" s="8" t="s">
        <v>224</v>
      </c>
      <c r="D1705" s="1" t="s">
        <v>214</v>
      </c>
      <c r="E1705" s="104">
        <v>810</v>
      </c>
      <c r="F1705" s="7"/>
      <c r="G1705" s="7"/>
      <c r="H1705" s="35"/>
      <c r="I1705" s="7">
        <f>прил.6!J1272</f>
        <v>1600</v>
      </c>
      <c r="J1705" s="35">
        <f t="shared" si="380"/>
        <v>1600</v>
      </c>
      <c r="K1705" s="7">
        <f>прил.6!L1272</f>
        <v>0</v>
      </c>
      <c r="L1705" s="35">
        <f t="shared" si="372"/>
        <v>1600</v>
      </c>
      <c r="M1705" s="7">
        <f>прил.6!N1272</f>
        <v>0</v>
      </c>
      <c r="N1705" s="35">
        <f t="shared" si="379"/>
        <v>1600</v>
      </c>
      <c r="O1705" s="7">
        <f>прил.6!P1272</f>
        <v>0</v>
      </c>
      <c r="P1705" s="35">
        <f t="shared" si="377"/>
        <v>1600</v>
      </c>
      <c r="Q1705" s="7">
        <f>прил.6!R1272</f>
        <v>0</v>
      </c>
      <c r="R1705" s="35">
        <f t="shared" si="373"/>
        <v>1600</v>
      </c>
      <c r="S1705" s="7">
        <f>прил.6!T1272</f>
        <v>0</v>
      </c>
      <c r="T1705" s="35">
        <f t="shared" si="365"/>
        <v>1600</v>
      </c>
    </row>
    <row r="1706" spans="1:20">
      <c r="A1706" s="12" t="s">
        <v>192</v>
      </c>
      <c r="B1706" s="105" t="s">
        <v>371</v>
      </c>
      <c r="C1706" s="8" t="s">
        <v>224</v>
      </c>
      <c r="D1706" s="1" t="s">
        <v>221</v>
      </c>
      <c r="E1706" s="104"/>
      <c r="F1706" s="7"/>
      <c r="G1706" s="7"/>
      <c r="H1706" s="35"/>
      <c r="I1706" s="7">
        <f>I1707</f>
        <v>2813.9</v>
      </c>
      <c r="J1706" s="35">
        <f t="shared" si="380"/>
        <v>2813.9</v>
      </c>
      <c r="K1706" s="7">
        <f>K1707</f>
        <v>0</v>
      </c>
      <c r="L1706" s="35">
        <f t="shared" si="372"/>
        <v>2813.9</v>
      </c>
      <c r="M1706" s="7">
        <f>M1707</f>
        <v>0</v>
      </c>
      <c r="N1706" s="35">
        <f t="shared" si="379"/>
        <v>2813.9</v>
      </c>
      <c r="O1706" s="7">
        <f>O1707</f>
        <v>0</v>
      </c>
      <c r="P1706" s="35">
        <f t="shared" si="377"/>
        <v>2813.9</v>
      </c>
      <c r="Q1706" s="7">
        <f>Q1707</f>
        <v>0</v>
      </c>
      <c r="R1706" s="35">
        <f t="shared" si="373"/>
        <v>2813.9</v>
      </c>
      <c r="S1706" s="7">
        <f>S1707</f>
        <v>0</v>
      </c>
      <c r="T1706" s="35">
        <f t="shared" si="365"/>
        <v>2813.9</v>
      </c>
    </row>
    <row r="1707" spans="1:20" ht="33">
      <c r="A1707" s="61" t="str">
        <f ca="1">IF(ISERROR(MATCH(E1707,Код_КВР,0)),"",INDIRECT(ADDRESS(MATCH(E1707,Код_КВР,0)+1,2,,,"КВР")))</f>
        <v>Капитальные вложения в объекты недвижимого имущества муниципальной собственности</v>
      </c>
      <c r="B1707" s="104" t="s">
        <v>371</v>
      </c>
      <c r="C1707" s="8" t="s">
        <v>224</v>
      </c>
      <c r="D1707" s="1" t="s">
        <v>221</v>
      </c>
      <c r="E1707" s="104">
        <v>400</v>
      </c>
      <c r="F1707" s="7"/>
      <c r="G1707" s="7"/>
      <c r="H1707" s="35"/>
      <c r="I1707" s="7">
        <f>I1708</f>
        <v>2813.9</v>
      </c>
      <c r="J1707" s="35">
        <f t="shared" si="380"/>
        <v>2813.9</v>
      </c>
      <c r="K1707" s="7">
        <f>K1708</f>
        <v>0</v>
      </c>
      <c r="L1707" s="35">
        <f t="shared" si="372"/>
        <v>2813.9</v>
      </c>
      <c r="M1707" s="7">
        <f>M1708</f>
        <v>0</v>
      </c>
      <c r="N1707" s="35">
        <f t="shared" si="379"/>
        <v>2813.9</v>
      </c>
      <c r="O1707" s="7">
        <f>O1708</f>
        <v>0</v>
      </c>
      <c r="P1707" s="35">
        <f t="shared" si="377"/>
        <v>2813.9</v>
      </c>
      <c r="Q1707" s="7">
        <f>Q1708</f>
        <v>0</v>
      </c>
      <c r="R1707" s="35">
        <f t="shared" si="373"/>
        <v>2813.9</v>
      </c>
      <c r="S1707" s="7">
        <f>S1708</f>
        <v>0</v>
      </c>
      <c r="T1707" s="35">
        <f t="shared" si="365"/>
        <v>2813.9</v>
      </c>
    </row>
    <row r="1708" spans="1:20" ht="20.25" customHeight="1">
      <c r="A1708" s="61" t="str">
        <f ca="1">IF(ISERROR(MATCH(E1708,Код_КВР,0)),"",INDIRECT(ADDRESS(MATCH(E1708,Код_КВР,0)+1,2,,,"КВР")))</f>
        <v>Бюджетные инвестиции</v>
      </c>
      <c r="B1708" s="104" t="s">
        <v>371</v>
      </c>
      <c r="C1708" s="8" t="s">
        <v>224</v>
      </c>
      <c r="D1708" s="1" t="s">
        <v>221</v>
      </c>
      <c r="E1708" s="104">
        <v>410</v>
      </c>
      <c r="F1708" s="7"/>
      <c r="G1708" s="7"/>
      <c r="H1708" s="35"/>
      <c r="I1708" s="7">
        <f>I1709</f>
        <v>2813.9</v>
      </c>
      <c r="J1708" s="35">
        <f t="shared" si="380"/>
        <v>2813.9</v>
      </c>
      <c r="K1708" s="7">
        <f>K1709</f>
        <v>0</v>
      </c>
      <c r="L1708" s="35">
        <f t="shared" si="372"/>
        <v>2813.9</v>
      </c>
      <c r="M1708" s="7">
        <f>M1709</f>
        <v>0</v>
      </c>
      <c r="N1708" s="35">
        <f t="shared" si="379"/>
        <v>2813.9</v>
      </c>
      <c r="O1708" s="7">
        <f>O1709</f>
        <v>0</v>
      </c>
      <c r="P1708" s="35">
        <f t="shared" si="377"/>
        <v>2813.9</v>
      </c>
      <c r="Q1708" s="7">
        <f>Q1709</f>
        <v>0</v>
      </c>
      <c r="R1708" s="35">
        <f t="shared" si="373"/>
        <v>2813.9</v>
      </c>
      <c r="S1708" s="7">
        <f>S1709</f>
        <v>0</v>
      </c>
      <c r="T1708" s="35">
        <f t="shared" si="365"/>
        <v>2813.9</v>
      </c>
    </row>
    <row r="1709" spans="1:20" ht="35.25" customHeight="1">
      <c r="A1709" s="61" t="str">
        <f ca="1">IF(ISERROR(MATCH(E1709,Код_КВР,0)),"",INDIRECT(ADDRESS(MATCH(E1709,Код_КВР,0)+1,2,,,"КВР")))</f>
        <v>Бюджетные инвестиции в объекты капитального строительства муниципальной собственности</v>
      </c>
      <c r="B1709" s="104" t="s">
        <v>371</v>
      </c>
      <c r="C1709" s="8" t="s">
        <v>224</v>
      </c>
      <c r="D1709" s="1" t="s">
        <v>221</v>
      </c>
      <c r="E1709" s="104">
        <v>414</v>
      </c>
      <c r="F1709" s="7"/>
      <c r="G1709" s="7"/>
      <c r="H1709" s="35"/>
      <c r="I1709" s="7">
        <f>прил.6!J1697</f>
        <v>2813.9</v>
      </c>
      <c r="J1709" s="35">
        <f t="shared" si="380"/>
        <v>2813.9</v>
      </c>
      <c r="K1709" s="7">
        <f>прил.6!L1697</f>
        <v>0</v>
      </c>
      <c r="L1709" s="35">
        <f t="shared" si="372"/>
        <v>2813.9</v>
      </c>
      <c r="M1709" s="7">
        <f>прил.6!N1697</f>
        <v>0</v>
      </c>
      <c r="N1709" s="35">
        <f t="shared" si="379"/>
        <v>2813.9</v>
      </c>
      <c r="O1709" s="7">
        <f>прил.6!P1697</f>
        <v>0</v>
      </c>
      <c r="P1709" s="35">
        <f t="shared" si="377"/>
        <v>2813.9</v>
      </c>
      <c r="Q1709" s="7">
        <f>прил.6!R1697</f>
        <v>0</v>
      </c>
      <c r="R1709" s="35">
        <f t="shared" si="373"/>
        <v>2813.9</v>
      </c>
      <c r="S1709" s="7">
        <f>прил.6!T1697</f>
        <v>0</v>
      </c>
      <c r="T1709" s="35">
        <f t="shared" si="365"/>
        <v>2813.9</v>
      </c>
    </row>
    <row r="1710" spans="1:20" ht="135.75" customHeight="1">
      <c r="A1710" s="61" t="str">
        <f ca="1">IF(ISERROR(MATCH(B1710,Код_КЦСР,0)),"",INDIRECT(ADDRESS(MATCH(B1710,Код_КЦСР,0)+1,2,,,"КЦСР")))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несовершеннолетних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1710" s="105" t="s">
        <v>390</v>
      </c>
      <c r="C1710" s="8"/>
      <c r="D1710" s="1"/>
      <c r="E1710" s="104"/>
      <c r="F1710" s="7">
        <f>F1711</f>
        <v>6969.8</v>
      </c>
      <c r="G1710" s="7">
        <f>G1711</f>
        <v>0</v>
      </c>
      <c r="H1710" s="35">
        <f t="shared" si="361"/>
        <v>6969.8</v>
      </c>
      <c r="I1710" s="7">
        <f>I1711</f>
        <v>0</v>
      </c>
      <c r="J1710" s="35">
        <f t="shared" si="358"/>
        <v>6969.8</v>
      </c>
      <c r="K1710" s="7">
        <f>K1711</f>
        <v>0</v>
      </c>
      <c r="L1710" s="35">
        <f t="shared" si="372"/>
        <v>6969.8</v>
      </c>
      <c r="M1710" s="7">
        <f>M1711</f>
        <v>0</v>
      </c>
      <c r="N1710" s="35">
        <f t="shared" si="379"/>
        <v>6969.8</v>
      </c>
      <c r="O1710" s="7">
        <f>O1711</f>
        <v>0</v>
      </c>
      <c r="P1710" s="35">
        <f t="shared" si="377"/>
        <v>6969.8</v>
      </c>
      <c r="Q1710" s="7">
        <f>Q1711</f>
        <v>0</v>
      </c>
      <c r="R1710" s="35">
        <f t="shared" si="373"/>
        <v>6969.8</v>
      </c>
      <c r="S1710" s="7">
        <f>S1711</f>
        <v>496</v>
      </c>
      <c r="T1710" s="35">
        <f t="shared" si="365"/>
        <v>7465.8</v>
      </c>
    </row>
    <row r="1711" spans="1:20">
      <c r="A1711" s="61" t="str">
        <f ca="1">IF(ISERROR(MATCH(C1711,Код_Раздел,0)),"",INDIRECT(ADDRESS(MATCH(C1711,Код_Раздел,0)+1,2,,,"Раздел")))</f>
        <v>Образование</v>
      </c>
      <c r="B1711" s="105" t="s">
        <v>390</v>
      </c>
      <c r="C1711" s="8" t="s">
        <v>195</v>
      </c>
      <c r="D1711" s="1"/>
      <c r="E1711" s="104"/>
      <c r="F1711" s="7">
        <f>F1712</f>
        <v>6969.8</v>
      </c>
      <c r="G1711" s="7">
        <f>G1712</f>
        <v>0</v>
      </c>
      <c r="H1711" s="35">
        <f t="shared" si="361"/>
        <v>6969.8</v>
      </c>
      <c r="I1711" s="7">
        <f>I1712</f>
        <v>0</v>
      </c>
      <c r="J1711" s="35">
        <f t="shared" si="358"/>
        <v>6969.8</v>
      </c>
      <c r="K1711" s="7">
        <f>K1712</f>
        <v>0</v>
      </c>
      <c r="L1711" s="35">
        <f t="shared" si="372"/>
        <v>6969.8</v>
      </c>
      <c r="M1711" s="7">
        <f>M1712</f>
        <v>0</v>
      </c>
      <c r="N1711" s="35">
        <f t="shared" si="379"/>
        <v>6969.8</v>
      </c>
      <c r="O1711" s="7">
        <f>O1712</f>
        <v>0</v>
      </c>
      <c r="P1711" s="35">
        <f t="shared" si="377"/>
        <v>6969.8</v>
      </c>
      <c r="Q1711" s="7">
        <f>Q1712</f>
        <v>0</v>
      </c>
      <c r="R1711" s="35">
        <f t="shared" si="373"/>
        <v>6969.8</v>
      </c>
      <c r="S1711" s="7">
        <f>S1712</f>
        <v>496</v>
      </c>
      <c r="T1711" s="35">
        <f t="shared" si="365"/>
        <v>7465.8</v>
      </c>
    </row>
    <row r="1712" spans="1:20">
      <c r="A1712" s="12" t="s">
        <v>251</v>
      </c>
      <c r="B1712" s="105" t="s">
        <v>390</v>
      </c>
      <c r="C1712" s="8" t="s">
        <v>195</v>
      </c>
      <c r="D1712" s="1" t="s">
        <v>219</v>
      </c>
      <c r="E1712" s="104"/>
      <c r="F1712" s="7">
        <f>F1713+F1715</f>
        <v>6969.8</v>
      </c>
      <c r="G1712" s="7">
        <f>G1713+G1715</f>
        <v>0</v>
      </c>
      <c r="H1712" s="35">
        <f t="shared" si="361"/>
        <v>6969.8</v>
      </c>
      <c r="I1712" s="7">
        <f>I1713+I1715</f>
        <v>0</v>
      </c>
      <c r="J1712" s="35">
        <f t="shared" si="358"/>
        <v>6969.8</v>
      </c>
      <c r="K1712" s="7">
        <f>K1713+K1715</f>
        <v>0</v>
      </c>
      <c r="L1712" s="35">
        <f t="shared" si="372"/>
        <v>6969.8</v>
      </c>
      <c r="M1712" s="7">
        <f>M1713+M1715</f>
        <v>0</v>
      </c>
      <c r="N1712" s="35">
        <f t="shared" si="379"/>
        <v>6969.8</v>
      </c>
      <c r="O1712" s="7">
        <f>O1713+O1715</f>
        <v>0</v>
      </c>
      <c r="P1712" s="35">
        <f t="shared" si="377"/>
        <v>6969.8</v>
      </c>
      <c r="Q1712" s="7">
        <f>Q1713+Q1715</f>
        <v>0</v>
      </c>
      <c r="R1712" s="35">
        <f t="shared" si="373"/>
        <v>6969.8</v>
      </c>
      <c r="S1712" s="7">
        <f>S1713+S1715</f>
        <v>496</v>
      </c>
      <c r="T1712" s="35">
        <f t="shared" si="365"/>
        <v>7465.8</v>
      </c>
    </row>
    <row r="1713" spans="1:20" ht="33">
      <c r="A1713" s="61" t="str">
        <f ca="1">IF(ISERROR(MATCH(E1713,Код_КВР,0)),"",INDIRECT(ADDRESS(MATCH(E1713,Код_КВР,0)+1,2,,,"КВР")))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13" s="105" t="s">
        <v>390</v>
      </c>
      <c r="C1713" s="8" t="s">
        <v>195</v>
      </c>
      <c r="D1713" s="1" t="s">
        <v>219</v>
      </c>
      <c r="E1713" s="104">
        <v>100</v>
      </c>
      <c r="F1713" s="7">
        <f>F1714</f>
        <v>6501.2</v>
      </c>
      <c r="G1713" s="7">
        <f>G1714</f>
        <v>0</v>
      </c>
      <c r="H1713" s="35">
        <f t="shared" si="361"/>
        <v>6501.2</v>
      </c>
      <c r="I1713" s="7">
        <f>I1714</f>
        <v>0</v>
      </c>
      <c r="J1713" s="35">
        <f t="shared" si="358"/>
        <v>6501.2</v>
      </c>
      <c r="K1713" s="7">
        <f>K1714</f>
        <v>0</v>
      </c>
      <c r="L1713" s="35">
        <f t="shared" si="372"/>
        <v>6501.2</v>
      </c>
      <c r="M1713" s="7">
        <f>M1714</f>
        <v>0</v>
      </c>
      <c r="N1713" s="35">
        <f t="shared" si="379"/>
        <v>6501.2</v>
      </c>
      <c r="O1713" s="7">
        <f>O1714</f>
        <v>-2</v>
      </c>
      <c r="P1713" s="35">
        <f t="shared" si="377"/>
        <v>6499.2</v>
      </c>
      <c r="Q1713" s="7">
        <f>Q1714</f>
        <v>167</v>
      </c>
      <c r="R1713" s="35">
        <f t="shared" si="373"/>
        <v>6666.2</v>
      </c>
      <c r="S1713" s="7">
        <f>S1714</f>
        <v>496</v>
      </c>
      <c r="T1713" s="35">
        <f t="shared" ref="T1713:T1776" si="381">R1713+S1713</f>
        <v>7162.2</v>
      </c>
    </row>
    <row r="1714" spans="1:20">
      <c r="A1714" s="61" t="str">
        <f ca="1">IF(ISERROR(MATCH(E1714,Код_КВР,0)),"",INDIRECT(ADDRESS(MATCH(E1714,Код_КВР,0)+1,2,,,"КВР")))</f>
        <v>Расходы на выплаты персоналу муниципальных органов</v>
      </c>
      <c r="B1714" s="105" t="s">
        <v>390</v>
      </c>
      <c r="C1714" s="8" t="s">
        <v>195</v>
      </c>
      <c r="D1714" s="1" t="s">
        <v>219</v>
      </c>
      <c r="E1714" s="104">
        <v>120</v>
      </c>
      <c r="F1714" s="7">
        <f>прил.6!G814</f>
        <v>6501.2</v>
      </c>
      <c r="G1714" s="7">
        <f>прил.6!H814</f>
        <v>0</v>
      </c>
      <c r="H1714" s="35">
        <f t="shared" si="361"/>
        <v>6501.2</v>
      </c>
      <c r="I1714" s="7">
        <f>прил.6!J814</f>
        <v>0</v>
      </c>
      <c r="J1714" s="35">
        <f t="shared" si="358"/>
        <v>6501.2</v>
      </c>
      <c r="K1714" s="7">
        <f>прил.6!L814</f>
        <v>0</v>
      </c>
      <c r="L1714" s="35">
        <f t="shared" si="372"/>
        <v>6501.2</v>
      </c>
      <c r="M1714" s="7">
        <f>прил.6!N814</f>
        <v>0</v>
      </c>
      <c r="N1714" s="35">
        <f t="shared" si="379"/>
        <v>6501.2</v>
      </c>
      <c r="O1714" s="7">
        <f>прил.6!P814</f>
        <v>-2</v>
      </c>
      <c r="P1714" s="35">
        <f t="shared" si="377"/>
        <v>6499.2</v>
      </c>
      <c r="Q1714" s="7">
        <f>прил.6!R814</f>
        <v>167</v>
      </c>
      <c r="R1714" s="35">
        <f t="shared" si="373"/>
        <v>6666.2</v>
      </c>
      <c r="S1714" s="7">
        <f>прил.6!T814</f>
        <v>496</v>
      </c>
      <c r="T1714" s="35">
        <f t="shared" si="381"/>
        <v>7162.2</v>
      </c>
    </row>
    <row r="1715" spans="1:20">
      <c r="A1715" s="61" t="str">
        <f ca="1">IF(ISERROR(MATCH(E1715,Код_КВР,0)),"",INDIRECT(ADDRESS(MATCH(E1715,Код_КВР,0)+1,2,,,"КВР")))</f>
        <v>Закупка товаров, работ и услуг для муниципальных нужд</v>
      </c>
      <c r="B1715" s="105" t="s">
        <v>390</v>
      </c>
      <c r="C1715" s="8" t="s">
        <v>195</v>
      </c>
      <c r="D1715" s="1" t="s">
        <v>219</v>
      </c>
      <c r="E1715" s="104">
        <v>200</v>
      </c>
      <c r="F1715" s="7">
        <f>F1716</f>
        <v>468.6</v>
      </c>
      <c r="G1715" s="7">
        <f>G1716</f>
        <v>0</v>
      </c>
      <c r="H1715" s="35">
        <f t="shared" si="361"/>
        <v>468.6</v>
      </c>
      <c r="I1715" s="7">
        <f>I1716</f>
        <v>0</v>
      </c>
      <c r="J1715" s="35">
        <f t="shared" si="358"/>
        <v>468.6</v>
      </c>
      <c r="K1715" s="7">
        <f>K1716</f>
        <v>0</v>
      </c>
      <c r="L1715" s="35">
        <f t="shared" si="372"/>
        <v>468.6</v>
      </c>
      <c r="M1715" s="7">
        <f>M1716</f>
        <v>0</v>
      </c>
      <c r="N1715" s="35">
        <f t="shared" si="379"/>
        <v>468.6</v>
      </c>
      <c r="O1715" s="7">
        <f>O1716</f>
        <v>2</v>
      </c>
      <c r="P1715" s="35">
        <f t="shared" si="377"/>
        <v>470.6</v>
      </c>
      <c r="Q1715" s="7">
        <f>Q1716</f>
        <v>-167</v>
      </c>
      <c r="R1715" s="35">
        <f t="shared" si="373"/>
        <v>303.60000000000002</v>
      </c>
      <c r="S1715" s="7">
        <f>S1716</f>
        <v>0</v>
      </c>
      <c r="T1715" s="35">
        <f t="shared" si="381"/>
        <v>303.60000000000002</v>
      </c>
    </row>
    <row r="1716" spans="1:20" ht="33">
      <c r="A1716" s="61" t="str">
        <f ca="1">IF(ISERROR(MATCH(E1716,Код_КВР,0)),"",INDIRECT(ADDRESS(MATCH(E1716,Код_КВР,0)+1,2,,,"КВР")))</f>
        <v>Иные закупки товаров, работ и услуг для обеспечения муниципальных нужд</v>
      </c>
      <c r="B1716" s="105" t="s">
        <v>390</v>
      </c>
      <c r="C1716" s="8" t="s">
        <v>195</v>
      </c>
      <c r="D1716" s="1" t="s">
        <v>219</v>
      </c>
      <c r="E1716" s="104">
        <v>240</v>
      </c>
      <c r="F1716" s="7">
        <f>F1717</f>
        <v>468.6</v>
      </c>
      <c r="G1716" s="7">
        <f>G1717</f>
        <v>0</v>
      </c>
      <c r="H1716" s="35">
        <f t="shared" si="361"/>
        <v>468.6</v>
      </c>
      <c r="I1716" s="7">
        <f>I1717</f>
        <v>0</v>
      </c>
      <c r="J1716" s="35">
        <f t="shared" si="358"/>
        <v>468.6</v>
      </c>
      <c r="K1716" s="7">
        <f>K1717</f>
        <v>0</v>
      </c>
      <c r="L1716" s="35">
        <f t="shared" si="372"/>
        <v>468.6</v>
      </c>
      <c r="M1716" s="7">
        <f>M1717</f>
        <v>0</v>
      </c>
      <c r="N1716" s="35">
        <f t="shared" si="379"/>
        <v>468.6</v>
      </c>
      <c r="O1716" s="7">
        <f>O1717</f>
        <v>2</v>
      </c>
      <c r="P1716" s="35">
        <f t="shared" si="377"/>
        <v>470.6</v>
      </c>
      <c r="Q1716" s="7">
        <f>Q1717</f>
        <v>-167</v>
      </c>
      <c r="R1716" s="35">
        <f t="shared" si="373"/>
        <v>303.60000000000002</v>
      </c>
      <c r="S1716" s="7">
        <f>S1717</f>
        <v>0</v>
      </c>
      <c r="T1716" s="35">
        <f t="shared" si="381"/>
        <v>303.60000000000002</v>
      </c>
    </row>
    <row r="1717" spans="1:20" ht="33">
      <c r="A1717" s="61" t="str">
        <f ca="1">IF(ISERROR(MATCH(E1717,Код_КВР,0)),"",INDIRECT(ADDRESS(MATCH(E1717,Код_КВР,0)+1,2,,,"КВР")))</f>
        <v xml:space="preserve">Прочая закупка товаров, работ и услуг для обеспечения муниципальных нужд         </v>
      </c>
      <c r="B1717" s="105" t="s">
        <v>390</v>
      </c>
      <c r="C1717" s="8" t="s">
        <v>195</v>
      </c>
      <c r="D1717" s="1" t="s">
        <v>219</v>
      </c>
      <c r="E1717" s="104">
        <v>244</v>
      </c>
      <c r="F1717" s="7">
        <f>прил.6!G817</f>
        <v>468.6</v>
      </c>
      <c r="G1717" s="7">
        <f>прил.6!H817</f>
        <v>0</v>
      </c>
      <c r="H1717" s="35">
        <f t="shared" si="361"/>
        <v>468.6</v>
      </c>
      <c r="I1717" s="7">
        <f>прил.6!J817</f>
        <v>0</v>
      </c>
      <c r="J1717" s="35">
        <f t="shared" si="358"/>
        <v>468.6</v>
      </c>
      <c r="K1717" s="7">
        <f>прил.6!L817</f>
        <v>0</v>
      </c>
      <c r="L1717" s="35">
        <f t="shared" si="372"/>
        <v>468.6</v>
      </c>
      <c r="M1717" s="7">
        <f>прил.6!N817</f>
        <v>0</v>
      </c>
      <c r="N1717" s="35">
        <f t="shared" si="379"/>
        <v>468.6</v>
      </c>
      <c r="O1717" s="7">
        <f>прил.6!P817</f>
        <v>2</v>
      </c>
      <c r="P1717" s="35">
        <f t="shared" si="377"/>
        <v>470.6</v>
      </c>
      <c r="Q1717" s="7">
        <f>прил.6!R817</f>
        <v>-167</v>
      </c>
      <c r="R1717" s="35">
        <f t="shared" si="373"/>
        <v>303.60000000000002</v>
      </c>
      <c r="S1717" s="7">
        <f>прил.6!T817</f>
        <v>0</v>
      </c>
      <c r="T1717" s="35">
        <f t="shared" si="381"/>
        <v>303.60000000000002</v>
      </c>
    </row>
    <row r="1718" spans="1:20" ht="86.25" customHeight="1">
      <c r="A1718" s="61" t="str">
        <f ca="1">IF(ISERROR(MATCH(B1718,Код_КЦСР,0)),"",INDIRECT(ADDRESS(MATCH(B1718,Код_КЦСР,0)+1,2,,,"КЦСР")))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718" s="105" t="s">
        <v>399</v>
      </c>
      <c r="C1718" s="8"/>
      <c r="D1718" s="1"/>
      <c r="E1718" s="104"/>
      <c r="F1718" s="7">
        <f>F1719</f>
        <v>21882.500000000004</v>
      </c>
      <c r="G1718" s="7">
        <f>G1719</f>
        <v>0</v>
      </c>
      <c r="H1718" s="35">
        <f t="shared" si="361"/>
        <v>21882.500000000004</v>
      </c>
      <c r="I1718" s="7">
        <f>I1719</f>
        <v>0</v>
      </c>
      <c r="J1718" s="35">
        <f t="shared" si="358"/>
        <v>21882.500000000004</v>
      </c>
      <c r="K1718" s="7">
        <f>K1719</f>
        <v>0</v>
      </c>
      <c r="L1718" s="35">
        <f t="shared" si="372"/>
        <v>21882.500000000004</v>
      </c>
      <c r="M1718" s="7">
        <f>M1719</f>
        <v>0</v>
      </c>
      <c r="N1718" s="35">
        <f t="shared" si="379"/>
        <v>21882.500000000004</v>
      </c>
      <c r="O1718" s="7">
        <f>O1719</f>
        <v>0</v>
      </c>
      <c r="P1718" s="35">
        <f t="shared" si="377"/>
        <v>21882.500000000004</v>
      </c>
      <c r="Q1718" s="7">
        <f>Q1719</f>
        <v>4672.6000000000004</v>
      </c>
      <c r="R1718" s="35">
        <f t="shared" si="373"/>
        <v>26555.100000000006</v>
      </c>
      <c r="S1718" s="7">
        <f>S1719</f>
        <v>0</v>
      </c>
      <c r="T1718" s="35">
        <f t="shared" si="381"/>
        <v>26555.100000000006</v>
      </c>
    </row>
    <row r="1719" spans="1:20">
      <c r="A1719" s="61" t="str">
        <f ca="1">IF(ISERROR(MATCH(C1719,Код_Раздел,0)),"",INDIRECT(ADDRESS(MATCH(C1719,Код_Раздел,0)+1,2,,,"Раздел")))</f>
        <v>Социальная политика</v>
      </c>
      <c r="B1719" s="105" t="s">
        <v>399</v>
      </c>
      <c r="C1719" s="8" t="s">
        <v>188</v>
      </c>
      <c r="D1719" s="1"/>
      <c r="E1719" s="104"/>
      <c r="F1719" s="7">
        <f>F1720</f>
        <v>21882.500000000004</v>
      </c>
      <c r="G1719" s="7">
        <f>G1720</f>
        <v>0</v>
      </c>
      <c r="H1719" s="35">
        <f t="shared" si="361"/>
        <v>21882.500000000004</v>
      </c>
      <c r="I1719" s="7">
        <f>I1720</f>
        <v>0</v>
      </c>
      <c r="J1719" s="35">
        <f t="shared" si="358"/>
        <v>21882.500000000004</v>
      </c>
      <c r="K1719" s="7">
        <f>K1720</f>
        <v>0</v>
      </c>
      <c r="L1719" s="35">
        <f t="shared" si="372"/>
        <v>21882.500000000004</v>
      </c>
      <c r="M1719" s="7">
        <f>M1720</f>
        <v>0</v>
      </c>
      <c r="N1719" s="35">
        <f t="shared" si="379"/>
        <v>21882.500000000004</v>
      </c>
      <c r="O1719" s="7">
        <f>O1720</f>
        <v>0</v>
      </c>
      <c r="P1719" s="35">
        <f t="shared" si="377"/>
        <v>21882.500000000004</v>
      </c>
      <c r="Q1719" s="7">
        <f>Q1720</f>
        <v>4672.6000000000004</v>
      </c>
      <c r="R1719" s="35">
        <f t="shared" si="373"/>
        <v>26555.100000000006</v>
      </c>
      <c r="S1719" s="7">
        <f>S1720</f>
        <v>0</v>
      </c>
      <c r="T1719" s="35">
        <f t="shared" si="381"/>
        <v>26555.100000000006</v>
      </c>
    </row>
    <row r="1720" spans="1:20">
      <c r="A1720" s="12" t="s">
        <v>189</v>
      </c>
      <c r="B1720" s="105" t="s">
        <v>399</v>
      </c>
      <c r="C1720" s="8" t="s">
        <v>188</v>
      </c>
      <c r="D1720" s="1" t="s">
        <v>217</v>
      </c>
      <c r="E1720" s="104"/>
      <c r="F1720" s="7">
        <f>F1721+F1723</f>
        <v>21882.500000000004</v>
      </c>
      <c r="G1720" s="7">
        <f>G1721+G1723</f>
        <v>0</v>
      </c>
      <c r="H1720" s="35">
        <f t="shared" si="361"/>
        <v>21882.500000000004</v>
      </c>
      <c r="I1720" s="7">
        <f>I1721+I1723+I1726</f>
        <v>0</v>
      </c>
      <c r="J1720" s="35">
        <f t="shared" si="358"/>
        <v>21882.500000000004</v>
      </c>
      <c r="K1720" s="7">
        <f>K1721+K1723+K1726</f>
        <v>0</v>
      </c>
      <c r="L1720" s="35">
        <f t="shared" si="372"/>
        <v>21882.500000000004</v>
      </c>
      <c r="M1720" s="7">
        <f>M1721+M1723+M1726</f>
        <v>0</v>
      </c>
      <c r="N1720" s="35">
        <f t="shared" si="379"/>
        <v>21882.500000000004</v>
      </c>
      <c r="O1720" s="7">
        <f>O1721+O1723+O1726</f>
        <v>0</v>
      </c>
      <c r="P1720" s="35">
        <f t="shared" si="377"/>
        <v>21882.500000000004</v>
      </c>
      <c r="Q1720" s="7">
        <f>Q1721+Q1723+Q1726</f>
        <v>4672.6000000000004</v>
      </c>
      <c r="R1720" s="35">
        <f t="shared" si="373"/>
        <v>26555.100000000006</v>
      </c>
      <c r="S1720" s="7">
        <f>S1721+S1723+S1726</f>
        <v>0</v>
      </c>
      <c r="T1720" s="35">
        <f t="shared" si="381"/>
        <v>26555.100000000006</v>
      </c>
    </row>
    <row r="1721" spans="1:20" ht="33">
      <c r="A1721" s="61" t="str">
        <f ca="1">IF(ISERROR(MATCH(E1721,Код_КВР,0)),"",INDIRECT(ADDRESS(MATCH(E1721,Код_КВР,0)+1,2,,,"КВР")))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21" s="105" t="s">
        <v>399</v>
      </c>
      <c r="C1721" s="8" t="s">
        <v>188</v>
      </c>
      <c r="D1721" s="1" t="s">
        <v>217</v>
      </c>
      <c r="E1721" s="104">
        <v>100</v>
      </c>
      <c r="F1721" s="7">
        <f>F1722</f>
        <v>20191.300000000003</v>
      </c>
      <c r="G1721" s="7">
        <f>G1722</f>
        <v>0</v>
      </c>
      <c r="H1721" s="35">
        <f t="shared" si="361"/>
        <v>20191.300000000003</v>
      </c>
      <c r="I1721" s="7">
        <f>I1722</f>
        <v>7.5</v>
      </c>
      <c r="J1721" s="35">
        <f t="shared" si="358"/>
        <v>20198.800000000003</v>
      </c>
      <c r="K1721" s="7">
        <f>K1722</f>
        <v>0</v>
      </c>
      <c r="L1721" s="35">
        <f t="shared" si="372"/>
        <v>20198.800000000003</v>
      </c>
      <c r="M1721" s="7">
        <f>M1722</f>
        <v>0</v>
      </c>
      <c r="N1721" s="35">
        <f t="shared" si="379"/>
        <v>20198.800000000003</v>
      </c>
      <c r="O1721" s="7">
        <f>O1722</f>
        <v>0</v>
      </c>
      <c r="P1721" s="35">
        <f t="shared" si="377"/>
        <v>20198.800000000003</v>
      </c>
      <c r="Q1721" s="7">
        <f>Q1722</f>
        <v>3240.9</v>
      </c>
      <c r="R1721" s="35">
        <f t="shared" si="373"/>
        <v>23439.700000000004</v>
      </c>
      <c r="S1721" s="7">
        <f>S1722</f>
        <v>0</v>
      </c>
      <c r="T1721" s="35">
        <f t="shared" si="381"/>
        <v>23439.700000000004</v>
      </c>
    </row>
    <row r="1722" spans="1:20">
      <c r="A1722" s="61" t="str">
        <f ca="1">IF(ISERROR(MATCH(E1722,Код_КВР,0)),"",INDIRECT(ADDRESS(MATCH(E1722,Код_КВР,0)+1,2,,,"КВР")))</f>
        <v>Расходы на выплаты персоналу муниципальных органов</v>
      </c>
      <c r="B1722" s="105" t="s">
        <v>399</v>
      </c>
      <c r="C1722" s="8" t="s">
        <v>188</v>
      </c>
      <c r="D1722" s="1" t="s">
        <v>217</v>
      </c>
      <c r="E1722" s="104">
        <v>120</v>
      </c>
      <c r="F1722" s="7">
        <f>прил.6!G1461</f>
        <v>20191.300000000003</v>
      </c>
      <c r="G1722" s="7">
        <f>прил.6!H1461</f>
        <v>0</v>
      </c>
      <c r="H1722" s="35">
        <f t="shared" si="361"/>
        <v>20191.300000000003</v>
      </c>
      <c r="I1722" s="7">
        <f>прил.6!J1461</f>
        <v>7.5</v>
      </c>
      <c r="J1722" s="35">
        <f t="shared" si="358"/>
        <v>20198.800000000003</v>
      </c>
      <c r="K1722" s="7">
        <f>прил.6!L1461</f>
        <v>0</v>
      </c>
      <c r="L1722" s="35">
        <f t="shared" si="372"/>
        <v>20198.800000000003</v>
      </c>
      <c r="M1722" s="7">
        <f>прил.6!N1461</f>
        <v>0</v>
      </c>
      <c r="N1722" s="35">
        <f t="shared" si="379"/>
        <v>20198.800000000003</v>
      </c>
      <c r="O1722" s="7">
        <f>прил.6!P1461</f>
        <v>0</v>
      </c>
      <c r="P1722" s="35">
        <f t="shared" si="377"/>
        <v>20198.800000000003</v>
      </c>
      <c r="Q1722" s="7">
        <f>прил.6!R1461</f>
        <v>3240.9</v>
      </c>
      <c r="R1722" s="35">
        <f t="shared" si="373"/>
        <v>23439.700000000004</v>
      </c>
      <c r="S1722" s="7">
        <f>прил.6!T1461</f>
        <v>0</v>
      </c>
      <c r="T1722" s="35">
        <f t="shared" si="381"/>
        <v>23439.700000000004</v>
      </c>
    </row>
    <row r="1723" spans="1:20">
      <c r="A1723" s="61" t="str">
        <f ca="1">IF(ISERROR(MATCH(E1723,Код_КВР,0)),"",INDIRECT(ADDRESS(MATCH(E1723,Код_КВР,0)+1,2,,,"КВР")))</f>
        <v>Закупка товаров, работ и услуг для муниципальных нужд</v>
      </c>
      <c r="B1723" s="105" t="s">
        <v>399</v>
      </c>
      <c r="C1723" s="8" t="s">
        <v>188</v>
      </c>
      <c r="D1723" s="1" t="s">
        <v>217</v>
      </c>
      <c r="E1723" s="104">
        <v>200</v>
      </c>
      <c r="F1723" s="7">
        <f>F1724</f>
        <v>1691.1999999999998</v>
      </c>
      <c r="G1723" s="7">
        <f>G1724</f>
        <v>0</v>
      </c>
      <c r="H1723" s="35">
        <f t="shared" si="361"/>
        <v>1691.1999999999998</v>
      </c>
      <c r="I1723" s="7">
        <f>I1724</f>
        <v>-24.9</v>
      </c>
      <c r="J1723" s="35">
        <f t="shared" si="358"/>
        <v>1666.2999999999997</v>
      </c>
      <c r="K1723" s="7">
        <f>K1724</f>
        <v>0</v>
      </c>
      <c r="L1723" s="35">
        <f t="shared" ref="L1723:L1795" si="382">J1723+K1723</f>
        <v>1666.2999999999997</v>
      </c>
      <c r="M1723" s="7">
        <f>M1724</f>
        <v>0</v>
      </c>
      <c r="N1723" s="35">
        <f t="shared" si="379"/>
        <v>1666.2999999999997</v>
      </c>
      <c r="O1723" s="7">
        <f>O1724</f>
        <v>0</v>
      </c>
      <c r="P1723" s="35">
        <f t="shared" si="377"/>
        <v>1666.2999999999997</v>
      </c>
      <c r="Q1723" s="7">
        <f>Q1724</f>
        <v>1431.4</v>
      </c>
      <c r="R1723" s="35">
        <f t="shared" si="373"/>
        <v>3097.7</v>
      </c>
      <c r="S1723" s="7">
        <f>S1724</f>
        <v>-0.8</v>
      </c>
      <c r="T1723" s="35">
        <f t="shared" si="381"/>
        <v>3096.8999999999996</v>
      </c>
    </row>
    <row r="1724" spans="1:20" ht="33">
      <c r="A1724" s="61" t="str">
        <f ca="1">IF(ISERROR(MATCH(E1724,Код_КВР,0)),"",INDIRECT(ADDRESS(MATCH(E1724,Код_КВР,0)+1,2,,,"КВР")))</f>
        <v>Иные закупки товаров, работ и услуг для обеспечения муниципальных нужд</v>
      </c>
      <c r="B1724" s="105" t="s">
        <v>399</v>
      </c>
      <c r="C1724" s="8" t="s">
        <v>188</v>
      </c>
      <c r="D1724" s="1" t="s">
        <v>217</v>
      </c>
      <c r="E1724" s="104">
        <v>240</v>
      </c>
      <c r="F1724" s="7">
        <f>F1725</f>
        <v>1691.1999999999998</v>
      </c>
      <c r="G1724" s="7">
        <f>G1725</f>
        <v>0</v>
      </c>
      <c r="H1724" s="35">
        <f t="shared" si="361"/>
        <v>1691.1999999999998</v>
      </c>
      <c r="I1724" s="7">
        <f>I1725</f>
        <v>-24.9</v>
      </c>
      <c r="J1724" s="35">
        <f t="shared" si="358"/>
        <v>1666.2999999999997</v>
      </c>
      <c r="K1724" s="7">
        <f>K1725</f>
        <v>0</v>
      </c>
      <c r="L1724" s="35">
        <f t="shared" si="382"/>
        <v>1666.2999999999997</v>
      </c>
      <c r="M1724" s="7">
        <f>M1725</f>
        <v>0</v>
      </c>
      <c r="N1724" s="35">
        <f t="shared" si="379"/>
        <v>1666.2999999999997</v>
      </c>
      <c r="O1724" s="7">
        <f>O1725</f>
        <v>0</v>
      </c>
      <c r="P1724" s="35">
        <f t="shared" si="377"/>
        <v>1666.2999999999997</v>
      </c>
      <c r="Q1724" s="7">
        <f>Q1725</f>
        <v>1431.4</v>
      </c>
      <c r="R1724" s="35">
        <f t="shared" si="373"/>
        <v>3097.7</v>
      </c>
      <c r="S1724" s="7">
        <f>S1725</f>
        <v>-0.8</v>
      </c>
      <c r="T1724" s="35">
        <f t="shared" si="381"/>
        <v>3096.8999999999996</v>
      </c>
    </row>
    <row r="1725" spans="1:20" ht="33">
      <c r="A1725" s="61" t="str">
        <f ca="1">IF(ISERROR(MATCH(E1725,Код_КВР,0)),"",INDIRECT(ADDRESS(MATCH(E1725,Код_КВР,0)+1,2,,,"КВР")))</f>
        <v xml:space="preserve">Прочая закупка товаров, работ и услуг для обеспечения муниципальных нужд         </v>
      </c>
      <c r="B1725" s="105" t="s">
        <v>399</v>
      </c>
      <c r="C1725" s="8" t="s">
        <v>188</v>
      </c>
      <c r="D1725" s="1" t="s">
        <v>217</v>
      </c>
      <c r="E1725" s="104">
        <v>244</v>
      </c>
      <c r="F1725" s="7">
        <f>прил.6!G1464</f>
        <v>1691.1999999999998</v>
      </c>
      <c r="G1725" s="7">
        <f>прил.6!H1464</f>
        <v>0</v>
      </c>
      <c r="H1725" s="35">
        <f t="shared" si="361"/>
        <v>1691.1999999999998</v>
      </c>
      <c r="I1725" s="7">
        <f>прил.6!J1464</f>
        <v>-24.9</v>
      </c>
      <c r="J1725" s="35">
        <f t="shared" si="358"/>
        <v>1666.2999999999997</v>
      </c>
      <c r="K1725" s="7">
        <f>прил.6!L1464</f>
        <v>0</v>
      </c>
      <c r="L1725" s="35">
        <f t="shared" si="382"/>
        <v>1666.2999999999997</v>
      </c>
      <c r="M1725" s="7">
        <f>прил.6!N1464</f>
        <v>0</v>
      </c>
      <c r="N1725" s="35">
        <f t="shared" si="379"/>
        <v>1666.2999999999997</v>
      </c>
      <c r="O1725" s="7">
        <f>прил.6!P1464</f>
        <v>0</v>
      </c>
      <c r="P1725" s="35">
        <f t="shared" si="377"/>
        <v>1666.2999999999997</v>
      </c>
      <c r="Q1725" s="7">
        <f>прил.6!R1464</f>
        <v>1431.4</v>
      </c>
      <c r="R1725" s="35">
        <f t="shared" si="373"/>
        <v>3097.7</v>
      </c>
      <c r="S1725" s="7">
        <f>прил.6!T1464</f>
        <v>-0.8</v>
      </c>
      <c r="T1725" s="35">
        <f t="shared" si="381"/>
        <v>3096.8999999999996</v>
      </c>
    </row>
    <row r="1726" spans="1:20">
      <c r="A1726" s="61" t="str">
        <f t="shared" ref="A1726:A1731" ca="1" si="383">IF(ISERROR(MATCH(E1726,Код_КВР,0)),"",INDIRECT(ADDRESS(MATCH(E1726,Код_КВР,0)+1,2,,,"КВР")))</f>
        <v>Иные бюджетные ассигнования</v>
      </c>
      <c r="B1726" s="105" t="s">
        <v>399</v>
      </c>
      <c r="C1726" s="8" t="s">
        <v>188</v>
      </c>
      <c r="D1726" s="1" t="s">
        <v>217</v>
      </c>
      <c r="E1726" s="104">
        <v>800</v>
      </c>
      <c r="F1726" s="7"/>
      <c r="G1726" s="7"/>
      <c r="H1726" s="35"/>
      <c r="I1726" s="7">
        <f>I1729</f>
        <v>17.399999999999999</v>
      </c>
      <c r="J1726" s="35">
        <f t="shared" si="358"/>
        <v>17.399999999999999</v>
      </c>
      <c r="K1726" s="7">
        <f>K1729</f>
        <v>0</v>
      </c>
      <c r="L1726" s="35">
        <f t="shared" si="382"/>
        <v>17.399999999999999</v>
      </c>
      <c r="M1726" s="7">
        <f>M1729</f>
        <v>0</v>
      </c>
      <c r="N1726" s="35">
        <f t="shared" si="379"/>
        <v>17.399999999999999</v>
      </c>
      <c r="O1726" s="7">
        <f>O1729</f>
        <v>0</v>
      </c>
      <c r="P1726" s="35">
        <f t="shared" si="377"/>
        <v>17.399999999999999</v>
      </c>
      <c r="Q1726" s="7">
        <f>Q1729+Q1727</f>
        <v>0.29999999999999982</v>
      </c>
      <c r="R1726" s="35">
        <f t="shared" si="373"/>
        <v>17.7</v>
      </c>
      <c r="S1726" s="7">
        <f>S1729+S1727</f>
        <v>0.8</v>
      </c>
      <c r="T1726" s="35">
        <f t="shared" si="381"/>
        <v>18.5</v>
      </c>
    </row>
    <row r="1727" spans="1:20">
      <c r="A1727" s="61" t="str">
        <f t="shared" ref="A1727:A1728" ca="1" si="384">IF(ISERROR(MATCH(E1727,Код_КВР,0)),"",INDIRECT(ADDRESS(MATCH(E1727,Код_КВР,0)+1,2,,,"КВР")))</f>
        <v>Исполнение судебных актов</v>
      </c>
      <c r="B1727" s="129" t="s">
        <v>399</v>
      </c>
      <c r="C1727" s="8" t="s">
        <v>188</v>
      </c>
      <c r="D1727" s="1" t="s">
        <v>217</v>
      </c>
      <c r="E1727" s="128">
        <v>830</v>
      </c>
      <c r="F1727" s="7"/>
      <c r="G1727" s="7"/>
      <c r="H1727" s="35"/>
      <c r="I1727" s="7"/>
      <c r="J1727" s="35"/>
      <c r="K1727" s="7"/>
      <c r="L1727" s="35"/>
      <c r="M1727" s="7"/>
      <c r="N1727" s="35"/>
      <c r="O1727" s="7"/>
      <c r="P1727" s="35"/>
      <c r="Q1727" s="7">
        <f>Q1728</f>
        <v>4.0999999999999996</v>
      </c>
      <c r="R1727" s="35">
        <f t="shared" si="373"/>
        <v>4.0999999999999996</v>
      </c>
      <c r="S1727" s="7">
        <f>S1728</f>
        <v>0.9</v>
      </c>
      <c r="T1727" s="35">
        <f t="shared" si="381"/>
        <v>5</v>
      </c>
    </row>
    <row r="1728" spans="1:20" ht="82.5">
      <c r="A1728" s="61" t="str">
        <f t="shared" ca="1" si="384"/>
        <v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v>
      </c>
      <c r="B1728" s="129" t="s">
        <v>399</v>
      </c>
      <c r="C1728" s="8" t="s">
        <v>188</v>
      </c>
      <c r="D1728" s="1" t="s">
        <v>217</v>
      </c>
      <c r="E1728" s="128">
        <v>831</v>
      </c>
      <c r="F1728" s="7"/>
      <c r="G1728" s="7"/>
      <c r="H1728" s="35"/>
      <c r="I1728" s="7"/>
      <c r="J1728" s="35"/>
      <c r="K1728" s="7"/>
      <c r="L1728" s="35"/>
      <c r="M1728" s="7"/>
      <c r="N1728" s="35"/>
      <c r="O1728" s="7"/>
      <c r="P1728" s="35"/>
      <c r="Q1728" s="7">
        <f>прил.6!R1467</f>
        <v>4.0999999999999996</v>
      </c>
      <c r="R1728" s="35">
        <f t="shared" si="373"/>
        <v>4.0999999999999996</v>
      </c>
      <c r="S1728" s="7">
        <f>прил.6!T1467</f>
        <v>0.9</v>
      </c>
      <c r="T1728" s="35">
        <f t="shared" si="381"/>
        <v>5</v>
      </c>
    </row>
    <row r="1729" spans="1:20">
      <c r="A1729" s="61" t="str">
        <f t="shared" ca="1" si="383"/>
        <v>Уплата налогов, сборов и иных платежей</v>
      </c>
      <c r="B1729" s="105" t="s">
        <v>399</v>
      </c>
      <c r="C1729" s="8" t="s">
        <v>188</v>
      </c>
      <c r="D1729" s="1" t="s">
        <v>217</v>
      </c>
      <c r="E1729" s="104">
        <v>850</v>
      </c>
      <c r="F1729" s="7"/>
      <c r="G1729" s="7"/>
      <c r="H1729" s="35"/>
      <c r="I1729" s="7">
        <f>I1730+I1731</f>
        <v>17.399999999999999</v>
      </c>
      <c r="J1729" s="35">
        <f t="shared" si="358"/>
        <v>17.399999999999999</v>
      </c>
      <c r="K1729" s="7">
        <f>K1730+K1731</f>
        <v>0</v>
      </c>
      <c r="L1729" s="35">
        <f t="shared" si="382"/>
        <v>17.399999999999999</v>
      </c>
      <c r="M1729" s="7">
        <f>M1730+M1731</f>
        <v>0</v>
      </c>
      <c r="N1729" s="35">
        <f t="shared" si="379"/>
        <v>17.399999999999999</v>
      </c>
      <c r="O1729" s="7">
        <f>O1730+O1731</f>
        <v>0</v>
      </c>
      <c r="P1729" s="35">
        <f t="shared" si="377"/>
        <v>17.399999999999999</v>
      </c>
      <c r="Q1729" s="7">
        <f>Q1730+Q1731</f>
        <v>-3.8</v>
      </c>
      <c r="R1729" s="35">
        <f t="shared" si="373"/>
        <v>13.599999999999998</v>
      </c>
      <c r="S1729" s="7">
        <f>S1730+S1731</f>
        <v>-0.1</v>
      </c>
      <c r="T1729" s="35">
        <f t="shared" si="381"/>
        <v>13.499999999999998</v>
      </c>
    </row>
    <row r="1730" spans="1:20">
      <c r="A1730" s="61" t="str">
        <f t="shared" ca="1" si="383"/>
        <v>Уплата налога на имущество организаций и земельного налога</v>
      </c>
      <c r="B1730" s="105" t="s">
        <v>399</v>
      </c>
      <c r="C1730" s="8" t="s">
        <v>188</v>
      </c>
      <c r="D1730" s="1" t="s">
        <v>217</v>
      </c>
      <c r="E1730" s="104">
        <v>851</v>
      </c>
      <c r="F1730" s="7"/>
      <c r="G1730" s="7"/>
      <c r="H1730" s="35"/>
      <c r="I1730" s="7">
        <f>прил.6!J1469</f>
        <v>7.4</v>
      </c>
      <c r="J1730" s="35">
        <f t="shared" si="358"/>
        <v>7.4</v>
      </c>
      <c r="K1730" s="7">
        <f>прил.6!L1469</f>
        <v>0</v>
      </c>
      <c r="L1730" s="35">
        <f t="shared" si="382"/>
        <v>7.4</v>
      </c>
      <c r="M1730" s="7">
        <f>прил.6!N1469</f>
        <v>0</v>
      </c>
      <c r="N1730" s="35">
        <f t="shared" si="379"/>
        <v>7.4</v>
      </c>
      <c r="O1730" s="7">
        <f>прил.6!P1469</f>
        <v>0</v>
      </c>
      <c r="P1730" s="35">
        <f t="shared" si="377"/>
        <v>7.4</v>
      </c>
      <c r="Q1730" s="7">
        <f>прил.6!R1469</f>
        <v>-3</v>
      </c>
      <c r="R1730" s="35">
        <f t="shared" si="373"/>
        <v>4.4000000000000004</v>
      </c>
      <c r="S1730" s="7">
        <f>прил.6!T1469</f>
        <v>-0.1</v>
      </c>
      <c r="T1730" s="35">
        <f t="shared" si="381"/>
        <v>4.3000000000000007</v>
      </c>
    </row>
    <row r="1731" spans="1:20">
      <c r="A1731" s="61" t="str">
        <f t="shared" ca="1" si="383"/>
        <v>Уплата прочих налогов, сборов и иных платежей</v>
      </c>
      <c r="B1731" s="105" t="s">
        <v>399</v>
      </c>
      <c r="C1731" s="8" t="s">
        <v>188</v>
      </c>
      <c r="D1731" s="1" t="s">
        <v>217</v>
      </c>
      <c r="E1731" s="104">
        <v>852</v>
      </c>
      <c r="F1731" s="7"/>
      <c r="G1731" s="7"/>
      <c r="H1731" s="35"/>
      <c r="I1731" s="7">
        <f>прил.6!J1470</f>
        <v>10</v>
      </c>
      <c r="J1731" s="35">
        <f t="shared" si="358"/>
        <v>10</v>
      </c>
      <c r="K1731" s="7">
        <f>прил.6!L1470</f>
        <v>0</v>
      </c>
      <c r="L1731" s="35">
        <f t="shared" si="382"/>
        <v>10</v>
      </c>
      <c r="M1731" s="7">
        <f>прил.6!N1470</f>
        <v>0</v>
      </c>
      <c r="N1731" s="35">
        <f t="shared" si="379"/>
        <v>10</v>
      </c>
      <c r="O1731" s="7">
        <f>прил.6!P1470</f>
        <v>0</v>
      </c>
      <c r="P1731" s="35">
        <f t="shared" si="377"/>
        <v>10</v>
      </c>
      <c r="Q1731" s="7">
        <f>прил.6!R1470</f>
        <v>-0.8</v>
      </c>
      <c r="R1731" s="35">
        <f t="shared" si="373"/>
        <v>9.1999999999999993</v>
      </c>
      <c r="S1731" s="7">
        <f>прил.6!T1470</f>
        <v>0</v>
      </c>
      <c r="T1731" s="35">
        <f t="shared" si="381"/>
        <v>9.1999999999999993</v>
      </c>
    </row>
    <row r="1732" spans="1:20" ht="150.75" customHeight="1">
      <c r="A1732" s="61" t="str">
        <f ca="1">IF(ISERROR(MATCH(B1732,Код_КЦСР,0)),"",INDIRECT(ADDRESS(MATCH(B1732,Код_КЦСР,0)+1,2,,,"КЦСР")))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совершеннолетних граждан, нуждающихся в опеке или попечительстве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1732" s="105" t="s">
        <v>394</v>
      </c>
      <c r="C1732" s="8"/>
      <c r="D1732" s="1"/>
      <c r="E1732" s="104"/>
      <c r="F1732" s="7">
        <f>F1733</f>
        <v>2682.5</v>
      </c>
      <c r="G1732" s="7">
        <f>G1733</f>
        <v>0</v>
      </c>
      <c r="H1732" s="35">
        <f t="shared" si="361"/>
        <v>2682.5</v>
      </c>
      <c r="I1732" s="7">
        <f>I1733</f>
        <v>0</v>
      </c>
      <c r="J1732" s="35">
        <f t="shared" si="358"/>
        <v>2682.5</v>
      </c>
      <c r="K1732" s="7">
        <f>K1733</f>
        <v>0</v>
      </c>
      <c r="L1732" s="35">
        <f t="shared" si="382"/>
        <v>2682.5</v>
      </c>
      <c r="M1732" s="7">
        <f>M1733</f>
        <v>0</v>
      </c>
      <c r="N1732" s="35">
        <f t="shared" si="379"/>
        <v>2682.5</v>
      </c>
      <c r="O1732" s="7">
        <f>O1733</f>
        <v>0</v>
      </c>
      <c r="P1732" s="35">
        <f t="shared" si="377"/>
        <v>2682.5</v>
      </c>
      <c r="Q1732" s="7">
        <f>Q1733</f>
        <v>0</v>
      </c>
      <c r="R1732" s="35">
        <f t="shared" si="373"/>
        <v>2682.5</v>
      </c>
      <c r="S1732" s="7">
        <f>S1733</f>
        <v>0</v>
      </c>
      <c r="T1732" s="35">
        <f t="shared" si="381"/>
        <v>2682.5</v>
      </c>
    </row>
    <row r="1733" spans="1:20">
      <c r="A1733" s="61" t="str">
        <f ca="1">IF(ISERROR(MATCH(C1733,Код_Раздел,0)),"",INDIRECT(ADDRESS(MATCH(C1733,Код_Раздел,0)+1,2,,,"Раздел")))</f>
        <v>Социальная политика</v>
      </c>
      <c r="B1733" s="105" t="s">
        <v>394</v>
      </c>
      <c r="C1733" s="8" t="s">
        <v>188</v>
      </c>
      <c r="D1733" s="1"/>
      <c r="E1733" s="104"/>
      <c r="F1733" s="7">
        <f>F1734</f>
        <v>2682.5</v>
      </c>
      <c r="G1733" s="7">
        <f>G1734</f>
        <v>0</v>
      </c>
      <c r="H1733" s="35">
        <f t="shared" si="361"/>
        <v>2682.5</v>
      </c>
      <c r="I1733" s="7">
        <f>I1734</f>
        <v>0</v>
      </c>
      <c r="J1733" s="35">
        <f t="shared" si="358"/>
        <v>2682.5</v>
      </c>
      <c r="K1733" s="7">
        <f>K1734</f>
        <v>0</v>
      </c>
      <c r="L1733" s="35">
        <f t="shared" si="382"/>
        <v>2682.5</v>
      </c>
      <c r="M1733" s="7">
        <f>M1734</f>
        <v>0</v>
      </c>
      <c r="N1733" s="35">
        <f t="shared" si="379"/>
        <v>2682.5</v>
      </c>
      <c r="O1733" s="7">
        <f>O1734</f>
        <v>0</v>
      </c>
      <c r="P1733" s="35">
        <f t="shared" si="377"/>
        <v>2682.5</v>
      </c>
      <c r="Q1733" s="7">
        <f>Q1734</f>
        <v>0</v>
      </c>
      <c r="R1733" s="35">
        <f t="shared" ref="R1733:R1808" si="385">P1733+Q1733</f>
        <v>2682.5</v>
      </c>
      <c r="S1733" s="7">
        <f>S1734</f>
        <v>0</v>
      </c>
      <c r="T1733" s="35">
        <f t="shared" si="381"/>
        <v>2682.5</v>
      </c>
    </row>
    <row r="1734" spans="1:20">
      <c r="A1734" s="12" t="s">
        <v>189</v>
      </c>
      <c r="B1734" s="105" t="s">
        <v>394</v>
      </c>
      <c r="C1734" s="8" t="s">
        <v>188</v>
      </c>
      <c r="D1734" s="1" t="s">
        <v>217</v>
      </c>
      <c r="E1734" s="104"/>
      <c r="F1734" s="7">
        <f>F1735+F1737</f>
        <v>2682.5</v>
      </c>
      <c r="G1734" s="7">
        <f>G1735+G1737</f>
        <v>0</v>
      </c>
      <c r="H1734" s="35">
        <f t="shared" si="361"/>
        <v>2682.5</v>
      </c>
      <c r="I1734" s="7">
        <f>I1735+I1737</f>
        <v>0</v>
      </c>
      <c r="J1734" s="35">
        <f t="shared" si="358"/>
        <v>2682.5</v>
      </c>
      <c r="K1734" s="7">
        <f>K1735+K1737</f>
        <v>0</v>
      </c>
      <c r="L1734" s="35">
        <f t="shared" si="382"/>
        <v>2682.5</v>
      </c>
      <c r="M1734" s="7">
        <f>M1735+M1737</f>
        <v>0</v>
      </c>
      <c r="N1734" s="35">
        <f t="shared" si="379"/>
        <v>2682.5</v>
      </c>
      <c r="O1734" s="7">
        <f>O1735+O1737</f>
        <v>0</v>
      </c>
      <c r="P1734" s="35">
        <f t="shared" si="377"/>
        <v>2682.5</v>
      </c>
      <c r="Q1734" s="7">
        <f>Q1735+Q1737</f>
        <v>0</v>
      </c>
      <c r="R1734" s="35">
        <f t="shared" si="385"/>
        <v>2682.5</v>
      </c>
      <c r="S1734" s="7">
        <f>S1735+S1737</f>
        <v>0</v>
      </c>
      <c r="T1734" s="35">
        <f t="shared" si="381"/>
        <v>2682.5</v>
      </c>
    </row>
    <row r="1735" spans="1:20" ht="33">
      <c r="A1735" s="61" t="str">
        <f ca="1">IF(ISERROR(MATCH(E1735,Код_КВР,0)),"",INDIRECT(ADDRESS(MATCH(E1735,Код_КВР,0)+1,2,,,"КВР")))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35" s="105" t="s">
        <v>394</v>
      </c>
      <c r="C1735" s="8" t="s">
        <v>188</v>
      </c>
      <c r="D1735" s="1" t="s">
        <v>217</v>
      </c>
      <c r="E1735" s="104">
        <v>100</v>
      </c>
      <c r="F1735" s="7">
        <f>F1736</f>
        <v>2180.9</v>
      </c>
      <c r="G1735" s="7">
        <f>G1736</f>
        <v>0</v>
      </c>
      <c r="H1735" s="35">
        <f t="shared" si="361"/>
        <v>2180.9</v>
      </c>
      <c r="I1735" s="7">
        <f>I1736</f>
        <v>0</v>
      </c>
      <c r="J1735" s="35">
        <f t="shared" si="358"/>
        <v>2180.9</v>
      </c>
      <c r="K1735" s="7">
        <f>K1736</f>
        <v>0</v>
      </c>
      <c r="L1735" s="35">
        <f t="shared" si="382"/>
        <v>2180.9</v>
      </c>
      <c r="M1735" s="7">
        <f>M1736</f>
        <v>0</v>
      </c>
      <c r="N1735" s="35">
        <f t="shared" si="379"/>
        <v>2180.9</v>
      </c>
      <c r="O1735" s="7">
        <f>O1736</f>
        <v>0</v>
      </c>
      <c r="P1735" s="35">
        <f t="shared" si="377"/>
        <v>2180.9</v>
      </c>
      <c r="Q1735" s="7">
        <f>Q1736</f>
        <v>0</v>
      </c>
      <c r="R1735" s="35">
        <f t="shared" si="385"/>
        <v>2180.9</v>
      </c>
      <c r="S1735" s="7">
        <f>S1736</f>
        <v>0</v>
      </c>
      <c r="T1735" s="35">
        <f t="shared" si="381"/>
        <v>2180.9</v>
      </c>
    </row>
    <row r="1736" spans="1:20">
      <c r="A1736" s="61" t="str">
        <f ca="1">IF(ISERROR(MATCH(E1736,Код_КВР,0)),"",INDIRECT(ADDRESS(MATCH(E1736,Код_КВР,0)+1,2,,,"КВР")))</f>
        <v>Расходы на выплаты персоналу муниципальных органов</v>
      </c>
      <c r="B1736" s="105" t="s">
        <v>394</v>
      </c>
      <c r="C1736" s="8" t="s">
        <v>188</v>
      </c>
      <c r="D1736" s="1" t="s">
        <v>217</v>
      </c>
      <c r="E1736" s="104">
        <v>120</v>
      </c>
      <c r="F1736" s="7">
        <f>прил.6!G1473</f>
        <v>2180.9</v>
      </c>
      <c r="G1736" s="7">
        <f>прил.6!H1473</f>
        <v>0</v>
      </c>
      <c r="H1736" s="35">
        <f t="shared" si="361"/>
        <v>2180.9</v>
      </c>
      <c r="I1736" s="7">
        <f>прил.6!J1473</f>
        <v>0</v>
      </c>
      <c r="J1736" s="35">
        <f t="shared" ref="J1736:J1811" si="386">H1736+I1736</f>
        <v>2180.9</v>
      </c>
      <c r="K1736" s="7">
        <f>прил.6!L1473</f>
        <v>0</v>
      </c>
      <c r="L1736" s="35">
        <f t="shared" si="382"/>
        <v>2180.9</v>
      </c>
      <c r="M1736" s="7">
        <f>прил.6!N1473</f>
        <v>0</v>
      </c>
      <c r="N1736" s="35">
        <f t="shared" si="379"/>
        <v>2180.9</v>
      </c>
      <c r="O1736" s="7">
        <f>прил.6!P1473</f>
        <v>0</v>
      </c>
      <c r="P1736" s="35">
        <f t="shared" si="377"/>
        <v>2180.9</v>
      </c>
      <c r="Q1736" s="7">
        <f>прил.6!R1473</f>
        <v>0</v>
      </c>
      <c r="R1736" s="35">
        <f t="shared" si="385"/>
        <v>2180.9</v>
      </c>
      <c r="S1736" s="7">
        <f>прил.6!T1473</f>
        <v>0</v>
      </c>
      <c r="T1736" s="35">
        <f t="shared" si="381"/>
        <v>2180.9</v>
      </c>
    </row>
    <row r="1737" spans="1:20">
      <c r="A1737" s="61" t="str">
        <f ca="1">IF(ISERROR(MATCH(E1737,Код_КВР,0)),"",INDIRECT(ADDRESS(MATCH(E1737,Код_КВР,0)+1,2,,,"КВР")))</f>
        <v>Закупка товаров, работ и услуг для муниципальных нужд</v>
      </c>
      <c r="B1737" s="105" t="s">
        <v>394</v>
      </c>
      <c r="C1737" s="8" t="s">
        <v>188</v>
      </c>
      <c r="D1737" s="1" t="s">
        <v>217</v>
      </c>
      <c r="E1737" s="104">
        <v>200</v>
      </c>
      <c r="F1737" s="7">
        <f>F1738</f>
        <v>501.6</v>
      </c>
      <c r="G1737" s="7">
        <f>G1738</f>
        <v>0</v>
      </c>
      <c r="H1737" s="35">
        <f t="shared" si="361"/>
        <v>501.6</v>
      </c>
      <c r="I1737" s="7">
        <f>I1738</f>
        <v>0</v>
      </c>
      <c r="J1737" s="35">
        <f t="shared" si="386"/>
        <v>501.6</v>
      </c>
      <c r="K1737" s="7">
        <f>K1738</f>
        <v>0</v>
      </c>
      <c r="L1737" s="35">
        <f t="shared" si="382"/>
        <v>501.6</v>
      </c>
      <c r="M1737" s="7">
        <f>M1738</f>
        <v>0</v>
      </c>
      <c r="N1737" s="35">
        <f t="shared" si="379"/>
        <v>501.6</v>
      </c>
      <c r="O1737" s="7">
        <f>O1738</f>
        <v>0</v>
      </c>
      <c r="P1737" s="35">
        <f t="shared" si="377"/>
        <v>501.6</v>
      </c>
      <c r="Q1737" s="7">
        <f>Q1738</f>
        <v>0</v>
      </c>
      <c r="R1737" s="35">
        <f t="shared" si="385"/>
        <v>501.6</v>
      </c>
      <c r="S1737" s="7">
        <f>S1738</f>
        <v>0</v>
      </c>
      <c r="T1737" s="35">
        <f t="shared" si="381"/>
        <v>501.6</v>
      </c>
    </row>
    <row r="1738" spans="1:20" ht="33">
      <c r="A1738" s="61" t="str">
        <f ca="1">IF(ISERROR(MATCH(E1738,Код_КВР,0)),"",INDIRECT(ADDRESS(MATCH(E1738,Код_КВР,0)+1,2,,,"КВР")))</f>
        <v>Иные закупки товаров, работ и услуг для обеспечения муниципальных нужд</v>
      </c>
      <c r="B1738" s="105" t="s">
        <v>394</v>
      </c>
      <c r="C1738" s="8" t="s">
        <v>188</v>
      </c>
      <c r="D1738" s="1" t="s">
        <v>217</v>
      </c>
      <c r="E1738" s="104">
        <v>240</v>
      </c>
      <c r="F1738" s="7">
        <f>F1739</f>
        <v>501.6</v>
      </c>
      <c r="G1738" s="7">
        <f>G1739</f>
        <v>0</v>
      </c>
      <c r="H1738" s="35">
        <f t="shared" si="361"/>
        <v>501.6</v>
      </c>
      <c r="I1738" s="7">
        <f>I1739</f>
        <v>0</v>
      </c>
      <c r="J1738" s="35">
        <f t="shared" si="386"/>
        <v>501.6</v>
      </c>
      <c r="K1738" s="7">
        <f>K1739</f>
        <v>0</v>
      </c>
      <c r="L1738" s="35">
        <f t="shared" si="382"/>
        <v>501.6</v>
      </c>
      <c r="M1738" s="7">
        <f>M1739</f>
        <v>0</v>
      </c>
      <c r="N1738" s="35">
        <f t="shared" si="379"/>
        <v>501.6</v>
      </c>
      <c r="O1738" s="7">
        <f>O1739</f>
        <v>0</v>
      </c>
      <c r="P1738" s="35">
        <f t="shared" si="377"/>
        <v>501.6</v>
      </c>
      <c r="Q1738" s="7">
        <f>Q1739</f>
        <v>0</v>
      </c>
      <c r="R1738" s="35">
        <f t="shared" si="385"/>
        <v>501.6</v>
      </c>
      <c r="S1738" s="7">
        <f>S1739</f>
        <v>0</v>
      </c>
      <c r="T1738" s="35">
        <f t="shared" si="381"/>
        <v>501.6</v>
      </c>
    </row>
    <row r="1739" spans="1:20" ht="33">
      <c r="A1739" s="61" t="str">
        <f ca="1">IF(ISERROR(MATCH(E1739,Код_КВР,0)),"",INDIRECT(ADDRESS(MATCH(E1739,Код_КВР,0)+1,2,,,"КВР")))</f>
        <v xml:space="preserve">Прочая закупка товаров, работ и услуг для обеспечения муниципальных нужд         </v>
      </c>
      <c r="B1739" s="105" t="s">
        <v>394</v>
      </c>
      <c r="C1739" s="8" t="s">
        <v>188</v>
      </c>
      <c r="D1739" s="1" t="s">
        <v>217</v>
      </c>
      <c r="E1739" s="104">
        <v>244</v>
      </c>
      <c r="F1739" s="7">
        <f>прил.6!G1476</f>
        <v>501.6</v>
      </c>
      <c r="G1739" s="7">
        <f>прил.6!H1476</f>
        <v>0</v>
      </c>
      <c r="H1739" s="35">
        <f t="shared" si="361"/>
        <v>501.6</v>
      </c>
      <c r="I1739" s="7">
        <f>прил.6!J1476</f>
        <v>0</v>
      </c>
      <c r="J1739" s="35">
        <f t="shared" si="386"/>
        <v>501.6</v>
      </c>
      <c r="K1739" s="7">
        <f>прил.6!L1476</f>
        <v>0</v>
      </c>
      <c r="L1739" s="35">
        <f t="shared" si="382"/>
        <v>501.6</v>
      </c>
      <c r="M1739" s="7">
        <f>прил.6!N1476</f>
        <v>0</v>
      </c>
      <c r="N1739" s="35">
        <f t="shared" si="379"/>
        <v>501.6</v>
      </c>
      <c r="O1739" s="7">
        <f>прил.6!P1476</f>
        <v>0</v>
      </c>
      <c r="P1739" s="35">
        <f t="shared" si="377"/>
        <v>501.6</v>
      </c>
      <c r="Q1739" s="7">
        <f>прил.6!R1476</f>
        <v>0</v>
      </c>
      <c r="R1739" s="35">
        <f t="shared" si="385"/>
        <v>501.6</v>
      </c>
      <c r="S1739" s="7">
        <f>прил.6!T1476</f>
        <v>0</v>
      </c>
      <c r="T1739" s="35">
        <f t="shared" si="381"/>
        <v>501.6</v>
      </c>
    </row>
    <row r="1740" spans="1:20" ht="120" customHeight="1">
      <c r="A1740" s="61" t="str">
        <f ca="1">IF(ISERROR(MATCH(B1740,Код_КЦСР,0)),"",INDIRECT(ADDRESS(MATCH(B1740,Код_КЦСР,0)+1,2,,,"КЦСР")))</f>
        <v>Осуществление отдельных государственных полномочий по созданию в муниципальных районах и городских округах области комиссий по делам несовершеннолетних и защите их прав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1740" s="105" t="s">
        <v>376</v>
      </c>
      <c r="C1740" s="8"/>
      <c r="D1740" s="1"/>
      <c r="E1740" s="104"/>
      <c r="F1740" s="7">
        <f>F1741</f>
        <v>1026.5999999999999</v>
      </c>
      <c r="G1740" s="7">
        <f>G1741</f>
        <v>0</v>
      </c>
      <c r="H1740" s="35">
        <f t="shared" si="361"/>
        <v>1026.5999999999999</v>
      </c>
      <c r="I1740" s="7">
        <f>I1741</f>
        <v>0</v>
      </c>
      <c r="J1740" s="35">
        <f t="shared" si="386"/>
        <v>1026.5999999999999</v>
      </c>
      <c r="K1740" s="7">
        <f>K1741</f>
        <v>0</v>
      </c>
      <c r="L1740" s="35">
        <f t="shared" si="382"/>
        <v>1026.5999999999999</v>
      </c>
      <c r="M1740" s="7">
        <f>M1741</f>
        <v>0</v>
      </c>
      <c r="N1740" s="35">
        <f t="shared" si="379"/>
        <v>1026.5999999999999</v>
      </c>
      <c r="O1740" s="7">
        <f>O1741</f>
        <v>0</v>
      </c>
      <c r="P1740" s="35">
        <f t="shared" si="377"/>
        <v>1026.5999999999999</v>
      </c>
      <c r="Q1740" s="7">
        <f>Q1741</f>
        <v>0</v>
      </c>
      <c r="R1740" s="35">
        <f t="shared" si="385"/>
        <v>1026.5999999999999</v>
      </c>
      <c r="S1740" s="7">
        <f>S1741</f>
        <v>0</v>
      </c>
      <c r="T1740" s="35">
        <f t="shared" si="381"/>
        <v>1026.5999999999999</v>
      </c>
    </row>
    <row r="1741" spans="1:20" ht="19.5" customHeight="1">
      <c r="A1741" s="61" t="str">
        <f ca="1">IF(ISERROR(MATCH(C1741,Код_Раздел,0)),"",INDIRECT(ADDRESS(MATCH(C1741,Код_Раздел,0)+1,2,,,"Раздел")))</f>
        <v>Общегосударственные  вопросы</v>
      </c>
      <c r="B1741" s="105" t="s">
        <v>376</v>
      </c>
      <c r="C1741" s="8" t="s">
        <v>213</v>
      </c>
      <c r="D1741" s="1"/>
      <c r="E1741" s="104"/>
      <c r="F1741" s="7">
        <f>F1742</f>
        <v>1026.5999999999999</v>
      </c>
      <c r="G1741" s="7">
        <f>G1742</f>
        <v>0</v>
      </c>
      <c r="H1741" s="35">
        <f t="shared" si="361"/>
        <v>1026.5999999999999</v>
      </c>
      <c r="I1741" s="7">
        <f>I1742</f>
        <v>0</v>
      </c>
      <c r="J1741" s="35">
        <f t="shared" si="386"/>
        <v>1026.5999999999999</v>
      </c>
      <c r="K1741" s="7">
        <f>K1742</f>
        <v>0</v>
      </c>
      <c r="L1741" s="35">
        <f t="shared" si="382"/>
        <v>1026.5999999999999</v>
      </c>
      <c r="M1741" s="7">
        <f>M1742</f>
        <v>0</v>
      </c>
      <c r="N1741" s="35">
        <f t="shared" si="379"/>
        <v>1026.5999999999999</v>
      </c>
      <c r="O1741" s="7">
        <f>O1742</f>
        <v>0</v>
      </c>
      <c r="P1741" s="35">
        <f t="shared" si="377"/>
        <v>1026.5999999999999</v>
      </c>
      <c r="Q1741" s="7">
        <f>Q1742</f>
        <v>0</v>
      </c>
      <c r="R1741" s="35">
        <f t="shared" si="385"/>
        <v>1026.5999999999999</v>
      </c>
      <c r="S1741" s="7">
        <f>S1742</f>
        <v>0</v>
      </c>
      <c r="T1741" s="35">
        <f t="shared" si="381"/>
        <v>1026.5999999999999</v>
      </c>
    </row>
    <row r="1742" spans="1:20" ht="55.5" customHeight="1">
      <c r="A1742" s="76" t="s">
        <v>235</v>
      </c>
      <c r="B1742" s="105" t="s">
        <v>376</v>
      </c>
      <c r="C1742" s="8" t="s">
        <v>213</v>
      </c>
      <c r="D1742" s="1" t="s">
        <v>216</v>
      </c>
      <c r="E1742" s="104"/>
      <c r="F1742" s="7">
        <f>F1743+F1745</f>
        <v>1026.5999999999999</v>
      </c>
      <c r="G1742" s="7">
        <f>G1743+G1745</f>
        <v>0</v>
      </c>
      <c r="H1742" s="35">
        <f t="shared" si="361"/>
        <v>1026.5999999999999</v>
      </c>
      <c r="I1742" s="7">
        <f>I1743+I1745</f>
        <v>0</v>
      </c>
      <c r="J1742" s="35">
        <f t="shared" si="386"/>
        <v>1026.5999999999999</v>
      </c>
      <c r="K1742" s="7">
        <f>K1743+K1745</f>
        <v>0</v>
      </c>
      <c r="L1742" s="35">
        <f t="shared" si="382"/>
        <v>1026.5999999999999</v>
      </c>
      <c r="M1742" s="7">
        <f>M1743+M1745</f>
        <v>0</v>
      </c>
      <c r="N1742" s="35">
        <f t="shared" si="379"/>
        <v>1026.5999999999999</v>
      </c>
      <c r="O1742" s="7">
        <f>O1743+O1745</f>
        <v>0</v>
      </c>
      <c r="P1742" s="35">
        <f t="shared" ref="P1742:P1812" si="387">N1742+O1742</f>
        <v>1026.5999999999999</v>
      </c>
      <c r="Q1742" s="7">
        <f>Q1743+Q1745</f>
        <v>0</v>
      </c>
      <c r="R1742" s="35">
        <f t="shared" si="385"/>
        <v>1026.5999999999999</v>
      </c>
      <c r="S1742" s="7">
        <f>S1743+S1745</f>
        <v>0</v>
      </c>
      <c r="T1742" s="35">
        <f t="shared" si="381"/>
        <v>1026.5999999999999</v>
      </c>
    </row>
    <row r="1743" spans="1:20" ht="33">
      <c r="A1743" s="61" t="str">
        <f ca="1">IF(ISERROR(MATCH(E1743,Код_КВР,0)),"",INDIRECT(ADDRESS(MATCH(E1743,Код_КВР,0)+1,2,,,"КВР")))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43" s="105" t="s">
        <v>376</v>
      </c>
      <c r="C1743" s="8" t="s">
        <v>213</v>
      </c>
      <c r="D1743" s="1" t="s">
        <v>216</v>
      </c>
      <c r="E1743" s="104">
        <v>100</v>
      </c>
      <c r="F1743" s="7">
        <f>F1744</f>
        <v>1016.6</v>
      </c>
      <c r="G1743" s="7">
        <f>G1744</f>
        <v>0</v>
      </c>
      <c r="H1743" s="35">
        <f t="shared" si="361"/>
        <v>1016.6</v>
      </c>
      <c r="I1743" s="7">
        <f>I1744</f>
        <v>0</v>
      </c>
      <c r="J1743" s="35">
        <f t="shared" si="386"/>
        <v>1016.6</v>
      </c>
      <c r="K1743" s="7">
        <f>K1744</f>
        <v>0</v>
      </c>
      <c r="L1743" s="35">
        <f t="shared" si="382"/>
        <v>1016.6</v>
      </c>
      <c r="M1743" s="7">
        <f>M1744</f>
        <v>0</v>
      </c>
      <c r="N1743" s="35">
        <f t="shared" si="379"/>
        <v>1016.6</v>
      </c>
      <c r="O1743" s="7">
        <f>O1744</f>
        <v>0</v>
      </c>
      <c r="P1743" s="35">
        <f t="shared" si="387"/>
        <v>1016.6</v>
      </c>
      <c r="Q1743" s="7">
        <f>Q1744</f>
        <v>0</v>
      </c>
      <c r="R1743" s="35">
        <f t="shared" si="385"/>
        <v>1016.6</v>
      </c>
      <c r="S1743" s="7">
        <f>S1744</f>
        <v>2.2999999999999998</v>
      </c>
      <c r="T1743" s="35">
        <f t="shared" si="381"/>
        <v>1018.9</v>
      </c>
    </row>
    <row r="1744" spans="1:20">
      <c r="A1744" s="61" t="str">
        <f ca="1">IF(ISERROR(MATCH(E1744,Код_КВР,0)),"",INDIRECT(ADDRESS(MATCH(E1744,Код_КВР,0)+1,2,,,"КВР")))</f>
        <v>Расходы на выплаты персоналу муниципальных органов</v>
      </c>
      <c r="B1744" s="105" t="s">
        <v>376</v>
      </c>
      <c r="C1744" s="8" t="s">
        <v>213</v>
      </c>
      <c r="D1744" s="1" t="s">
        <v>216</v>
      </c>
      <c r="E1744" s="104">
        <v>120</v>
      </c>
      <c r="F1744" s="7">
        <f>прил.6!G45</f>
        <v>1016.6</v>
      </c>
      <c r="G1744" s="7">
        <f>прил.6!H45</f>
        <v>0</v>
      </c>
      <c r="H1744" s="35">
        <f t="shared" ref="H1744:H1812" si="388">F1744+G1744</f>
        <v>1016.6</v>
      </c>
      <c r="I1744" s="7">
        <f>прил.6!J45</f>
        <v>0</v>
      </c>
      <c r="J1744" s="35">
        <f t="shared" si="386"/>
        <v>1016.6</v>
      </c>
      <c r="K1744" s="7">
        <f>прил.6!L45</f>
        <v>0</v>
      </c>
      <c r="L1744" s="35">
        <f t="shared" si="382"/>
        <v>1016.6</v>
      </c>
      <c r="M1744" s="7">
        <f>прил.6!N45</f>
        <v>0</v>
      </c>
      <c r="N1744" s="35">
        <f t="shared" si="379"/>
        <v>1016.6</v>
      </c>
      <c r="O1744" s="7">
        <f>прил.6!P45</f>
        <v>0</v>
      </c>
      <c r="P1744" s="35">
        <f t="shared" si="387"/>
        <v>1016.6</v>
      </c>
      <c r="Q1744" s="7">
        <f>прил.6!R45</f>
        <v>0</v>
      </c>
      <c r="R1744" s="35">
        <f t="shared" si="385"/>
        <v>1016.6</v>
      </c>
      <c r="S1744" s="7">
        <f>прил.6!T45</f>
        <v>2.2999999999999998</v>
      </c>
      <c r="T1744" s="35">
        <f t="shared" si="381"/>
        <v>1018.9</v>
      </c>
    </row>
    <row r="1745" spans="1:20">
      <c r="A1745" s="61" t="str">
        <f ca="1">IF(ISERROR(MATCH(E1745,Код_КВР,0)),"",INDIRECT(ADDRESS(MATCH(E1745,Код_КВР,0)+1,2,,,"КВР")))</f>
        <v>Закупка товаров, работ и услуг для муниципальных нужд</v>
      </c>
      <c r="B1745" s="105" t="s">
        <v>376</v>
      </c>
      <c r="C1745" s="8" t="s">
        <v>213</v>
      </c>
      <c r="D1745" s="1" t="s">
        <v>216</v>
      </c>
      <c r="E1745" s="104">
        <v>200</v>
      </c>
      <c r="F1745" s="7">
        <f>F1746</f>
        <v>10</v>
      </c>
      <c r="G1745" s="7">
        <f>G1746</f>
        <v>0</v>
      </c>
      <c r="H1745" s="35">
        <f t="shared" si="388"/>
        <v>10</v>
      </c>
      <c r="I1745" s="7">
        <f>I1746</f>
        <v>0</v>
      </c>
      <c r="J1745" s="35">
        <f t="shared" si="386"/>
        <v>10</v>
      </c>
      <c r="K1745" s="7">
        <f>K1746</f>
        <v>0</v>
      </c>
      <c r="L1745" s="35">
        <f t="shared" si="382"/>
        <v>10</v>
      </c>
      <c r="M1745" s="7">
        <f>M1746</f>
        <v>0</v>
      </c>
      <c r="N1745" s="35">
        <f t="shared" si="379"/>
        <v>10</v>
      </c>
      <c r="O1745" s="7">
        <f>O1746</f>
        <v>0</v>
      </c>
      <c r="P1745" s="35">
        <f t="shared" si="387"/>
        <v>10</v>
      </c>
      <c r="Q1745" s="7">
        <f>Q1746</f>
        <v>0</v>
      </c>
      <c r="R1745" s="35">
        <f t="shared" si="385"/>
        <v>10</v>
      </c>
      <c r="S1745" s="7">
        <f>S1746</f>
        <v>-2.2999999999999998</v>
      </c>
      <c r="T1745" s="35">
        <f t="shared" si="381"/>
        <v>7.7</v>
      </c>
    </row>
    <row r="1746" spans="1:20" ht="33">
      <c r="A1746" s="61" t="str">
        <f ca="1">IF(ISERROR(MATCH(E1746,Код_КВР,0)),"",INDIRECT(ADDRESS(MATCH(E1746,Код_КВР,0)+1,2,,,"КВР")))</f>
        <v>Иные закупки товаров, работ и услуг для обеспечения муниципальных нужд</v>
      </c>
      <c r="B1746" s="105" t="s">
        <v>376</v>
      </c>
      <c r="C1746" s="8" t="s">
        <v>213</v>
      </c>
      <c r="D1746" s="1" t="s">
        <v>216</v>
      </c>
      <c r="E1746" s="104">
        <v>240</v>
      </c>
      <c r="F1746" s="7">
        <f>F1747</f>
        <v>10</v>
      </c>
      <c r="G1746" s="7">
        <f>G1747</f>
        <v>0</v>
      </c>
      <c r="H1746" s="35">
        <f t="shared" si="388"/>
        <v>10</v>
      </c>
      <c r="I1746" s="7">
        <f>I1747</f>
        <v>0</v>
      </c>
      <c r="J1746" s="35">
        <f t="shared" si="386"/>
        <v>10</v>
      </c>
      <c r="K1746" s="7">
        <f>K1747</f>
        <v>0</v>
      </c>
      <c r="L1746" s="35">
        <f t="shared" si="382"/>
        <v>10</v>
      </c>
      <c r="M1746" s="7">
        <f>M1747</f>
        <v>0</v>
      </c>
      <c r="N1746" s="35">
        <f t="shared" si="379"/>
        <v>10</v>
      </c>
      <c r="O1746" s="7">
        <f>O1747</f>
        <v>0</v>
      </c>
      <c r="P1746" s="35">
        <f t="shared" si="387"/>
        <v>10</v>
      </c>
      <c r="Q1746" s="7">
        <f>Q1747</f>
        <v>0</v>
      </c>
      <c r="R1746" s="35">
        <f t="shared" si="385"/>
        <v>10</v>
      </c>
      <c r="S1746" s="7">
        <f>S1747</f>
        <v>-2.2999999999999998</v>
      </c>
      <c r="T1746" s="35">
        <f t="shared" si="381"/>
        <v>7.7</v>
      </c>
    </row>
    <row r="1747" spans="1:20" ht="33">
      <c r="A1747" s="61" t="str">
        <f ca="1">IF(ISERROR(MATCH(E1747,Код_КВР,0)),"",INDIRECT(ADDRESS(MATCH(E1747,Код_КВР,0)+1,2,,,"КВР")))</f>
        <v xml:space="preserve">Прочая закупка товаров, работ и услуг для обеспечения муниципальных нужд         </v>
      </c>
      <c r="B1747" s="105" t="s">
        <v>376</v>
      </c>
      <c r="C1747" s="8" t="s">
        <v>213</v>
      </c>
      <c r="D1747" s="1" t="s">
        <v>216</v>
      </c>
      <c r="E1747" s="104">
        <v>244</v>
      </c>
      <c r="F1747" s="7">
        <f>прил.6!G48</f>
        <v>10</v>
      </c>
      <c r="G1747" s="7">
        <f>прил.6!H48</f>
        <v>0</v>
      </c>
      <c r="H1747" s="35">
        <f t="shared" si="388"/>
        <v>10</v>
      </c>
      <c r="I1747" s="7">
        <f>прил.6!J48</f>
        <v>0</v>
      </c>
      <c r="J1747" s="35">
        <f t="shared" si="386"/>
        <v>10</v>
      </c>
      <c r="K1747" s="7">
        <f>прил.6!L48</f>
        <v>0</v>
      </c>
      <c r="L1747" s="35">
        <f t="shared" si="382"/>
        <v>10</v>
      </c>
      <c r="M1747" s="7">
        <f>прил.6!N48</f>
        <v>0</v>
      </c>
      <c r="N1747" s="35">
        <f t="shared" si="379"/>
        <v>10</v>
      </c>
      <c r="O1747" s="7">
        <f>прил.6!P48</f>
        <v>0</v>
      </c>
      <c r="P1747" s="35">
        <f t="shared" si="387"/>
        <v>10</v>
      </c>
      <c r="Q1747" s="7">
        <f>прил.6!R48</f>
        <v>0</v>
      </c>
      <c r="R1747" s="35">
        <f t="shared" si="385"/>
        <v>10</v>
      </c>
      <c r="S1747" s="7">
        <f>прил.6!T48</f>
        <v>-2.2999999999999998</v>
      </c>
      <c r="T1747" s="35">
        <f t="shared" si="381"/>
        <v>7.7</v>
      </c>
    </row>
    <row r="1748" spans="1:20" ht="121.5" customHeight="1">
      <c r="A1748" s="61" t="str">
        <f ca="1">IF(ISERROR(MATCH(B1748,Код_КЦСР,0)),"",INDIRECT(ADDRESS(MATCH(B1748,Код_КЦСР,0)+1,2,,,"КЦСР")))</f>
        <v>Осуществление отдельных государственных полномочий по созданию в муниципальных районах и городских округах области административных комиссий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1748" s="105" t="s">
        <v>377</v>
      </c>
      <c r="C1748" s="8"/>
      <c r="D1748" s="1"/>
      <c r="E1748" s="104"/>
      <c r="F1748" s="7">
        <f t="shared" ref="F1748:S1751" si="389">F1749</f>
        <v>495</v>
      </c>
      <c r="G1748" s="7">
        <f t="shared" si="389"/>
        <v>0</v>
      </c>
      <c r="H1748" s="35">
        <f t="shared" si="388"/>
        <v>495</v>
      </c>
      <c r="I1748" s="7">
        <f t="shared" si="389"/>
        <v>0</v>
      </c>
      <c r="J1748" s="35">
        <f t="shared" si="386"/>
        <v>495</v>
      </c>
      <c r="K1748" s="7">
        <f t="shared" si="389"/>
        <v>0</v>
      </c>
      <c r="L1748" s="35">
        <f t="shared" si="382"/>
        <v>495</v>
      </c>
      <c r="M1748" s="7">
        <f t="shared" si="389"/>
        <v>0</v>
      </c>
      <c r="N1748" s="35">
        <f t="shared" si="379"/>
        <v>495</v>
      </c>
      <c r="O1748" s="7">
        <f t="shared" si="389"/>
        <v>0</v>
      </c>
      <c r="P1748" s="35">
        <f t="shared" si="387"/>
        <v>495</v>
      </c>
      <c r="Q1748" s="7">
        <f t="shared" si="389"/>
        <v>0</v>
      </c>
      <c r="R1748" s="35">
        <f t="shared" si="385"/>
        <v>495</v>
      </c>
      <c r="S1748" s="7">
        <f t="shared" si="389"/>
        <v>0</v>
      </c>
      <c r="T1748" s="35">
        <f t="shared" si="381"/>
        <v>495</v>
      </c>
    </row>
    <row r="1749" spans="1:20">
      <c r="A1749" s="61" t="str">
        <f ca="1">IF(ISERROR(MATCH(C1749,Код_Раздел,0)),"",INDIRECT(ADDRESS(MATCH(C1749,Код_Раздел,0)+1,2,,,"Раздел")))</f>
        <v>Общегосударственные  вопросы</v>
      </c>
      <c r="B1749" s="105" t="s">
        <v>377</v>
      </c>
      <c r="C1749" s="8" t="s">
        <v>213</v>
      </c>
      <c r="D1749" s="1"/>
      <c r="E1749" s="104"/>
      <c r="F1749" s="7">
        <f t="shared" si="389"/>
        <v>495</v>
      </c>
      <c r="G1749" s="7">
        <f t="shared" si="389"/>
        <v>0</v>
      </c>
      <c r="H1749" s="35">
        <f t="shared" si="388"/>
        <v>495</v>
      </c>
      <c r="I1749" s="7">
        <f t="shared" si="389"/>
        <v>0</v>
      </c>
      <c r="J1749" s="35">
        <f t="shared" si="386"/>
        <v>495</v>
      </c>
      <c r="K1749" s="7">
        <f t="shared" si="389"/>
        <v>0</v>
      </c>
      <c r="L1749" s="35">
        <f t="shared" si="382"/>
        <v>495</v>
      </c>
      <c r="M1749" s="7">
        <f t="shared" si="389"/>
        <v>0</v>
      </c>
      <c r="N1749" s="35">
        <f t="shared" si="379"/>
        <v>495</v>
      </c>
      <c r="O1749" s="7">
        <f t="shared" si="389"/>
        <v>0</v>
      </c>
      <c r="P1749" s="35">
        <f t="shared" si="387"/>
        <v>495</v>
      </c>
      <c r="Q1749" s="7">
        <f t="shared" si="389"/>
        <v>0</v>
      </c>
      <c r="R1749" s="35">
        <f t="shared" si="385"/>
        <v>495</v>
      </c>
      <c r="S1749" s="7">
        <f t="shared" si="389"/>
        <v>0</v>
      </c>
      <c r="T1749" s="35">
        <f t="shared" si="381"/>
        <v>495</v>
      </c>
    </row>
    <row r="1750" spans="1:20" ht="49.5">
      <c r="A1750" s="76" t="s">
        <v>235</v>
      </c>
      <c r="B1750" s="105" t="s">
        <v>377</v>
      </c>
      <c r="C1750" s="8" t="s">
        <v>213</v>
      </c>
      <c r="D1750" s="1" t="s">
        <v>216</v>
      </c>
      <c r="E1750" s="104"/>
      <c r="F1750" s="7">
        <f t="shared" si="389"/>
        <v>495</v>
      </c>
      <c r="G1750" s="7">
        <f t="shared" si="389"/>
        <v>0</v>
      </c>
      <c r="H1750" s="35">
        <f t="shared" si="388"/>
        <v>495</v>
      </c>
      <c r="I1750" s="7">
        <f t="shared" si="389"/>
        <v>0</v>
      </c>
      <c r="J1750" s="35">
        <f t="shared" si="386"/>
        <v>495</v>
      </c>
      <c r="K1750" s="7">
        <f t="shared" si="389"/>
        <v>0</v>
      </c>
      <c r="L1750" s="35">
        <f t="shared" si="382"/>
        <v>495</v>
      </c>
      <c r="M1750" s="7">
        <f t="shared" si="389"/>
        <v>0</v>
      </c>
      <c r="N1750" s="35">
        <f t="shared" si="379"/>
        <v>495</v>
      </c>
      <c r="O1750" s="7">
        <f t="shared" si="389"/>
        <v>0</v>
      </c>
      <c r="P1750" s="35">
        <f t="shared" si="387"/>
        <v>495</v>
      </c>
      <c r="Q1750" s="7">
        <f t="shared" si="389"/>
        <v>0</v>
      </c>
      <c r="R1750" s="35">
        <f t="shared" si="385"/>
        <v>495</v>
      </c>
      <c r="S1750" s="7">
        <f t="shared" si="389"/>
        <v>0</v>
      </c>
      <c r="T1750" s="35">
        <f t="shared" si="381"/>
        <v>495</v>
      </c>
    </row>
    <row r="1751" spans="1:20" ht="39" customHeight="1">
      <c r="A1751" s="61" t="str">
        <f ca="1">IF(ISERROR(MATCH(E1751,Код_КВР,0)),"",INDIRECT(ADDRESS(MATCH(E1751,Код_КВР,0)+1,2,,,"КВР")))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51" s="105" t="s">
        <v>377</v>
      </c>
      <c r="C1751" s="8" t="s">
        <v>213</v>
      </c>
      <c r="D1751" s="1" t="s">
        <v>216</v>
      </c>
      <c r="E1751" s="104">
        <v>100</v>
      </c>
      <c r="F1751" s="7">
        <f t="shared" si="389"/>
        <v>495</v>
      </c>
      <c r="G1751" s="7">
        <f t="shared" si="389"/>
        <v>0</v>
      </c>
      <c r="H1751" s="35">
        <f t="shared" si="388"/>
        <v>495</v>
      </c>
      <c r="I1751" s="7">
        <f t="shared" si="389"/>
        <v>0</v>
      </c>
      <c r="J1751" s="35">
        <f t="shared" si="386"/>
        <v>495</v>
      </c>
      <c r="K1751" s="7">
        <f t="shared" si="389"/>
        <v>0</v>
      </c>
      <c r="L1751" s="35">
        <f t="shared" si="382"/>
        <v>495</v>
      </c>
      <c r="M1751" s="7">
        <f t="shared" si="389"/>
        <v>0</v>
      </c>
      <c r="N1751" s="35">
        <f t="shared" si="379"/>
        <v>495</v>
      </c>
      <c r="O1751" s="7">
        <f t="shared" si="389"/>
        <v>0</v>
      </c>
      <c r="P1751" s="35">
        <f t="shared" si="387"/>
        <v>495</v>
      </c>
      <c r="Q1751" s="7">
        <f t="shared" si="389"/>
        <v>0</v>
      </c>
      <c r="R1751" s="35">
        <f t="shared" si="385"/>
        <v>495</v>
      </c>
      <c r="S1751" s="7">
        <f t="shared" si="389"/>
        <v>0</v>
      </c>
      <c r="T1751" s="35">
        <f t="shared" si="381"/>
        <v>495</v>
      </c>
    </row>
    <row r="1752" spans="1:20">
      <c r="A1752" s="61" t="str">
        <f ca="1">IF(ISERROR(MATCH(E1752,Код_КВР,0)),"",INDIRECT(ADDRESS(MATCH(E1752,Код_КВР,0)+1,2,,,"КВР")))</f>
        <v>Расходы на выплаты персоналу муниципальных органов</v>
      </c>
      <c r="B1752" s="105" t="s">
        <v>377</v>
      </c>
      <c r="C1752" s="8" t="s">
        <v>213</v>
      </c>
      <c r="D1752" s="1" t="s">
        <v>216</v>
      </c>
      <c r="E1752" s="104">
        <v>120</v>
      </c>
      <c r="F1752" s="7">
        <f>прил.6!G51</f>
        <v>495</v>
      </c>
      <c r="G1752" s="7">
        <f>прил.6!H51</f>
        <v>0</v>
      </c>
      <c r="H1752" s="35">
        <f t="shared" si="388"/>
        <v>495</v>
      </c>
      <c r="I1752" s="7">
        <f>прил.6!J51</f>
        <v>0</v>
      </c>
      <c r="J1752" s="35">
        <f t="shared" si="386"/>
        <v>495</v>
      </c>
      <c r="K1752" s="7">
        <f>прил.6!L51</f>
        <v>0</v>
      </c>
      <c r="L1752" s="35">
        <f t="shared" si="382"/>
        <v>495</v>
      </c>
      <c r="M1752" s="7">
        <f>прил.6!N51</f>
        <v>0</v>
      </c>
      <c r="N1752" s="35">
        <f t="shared" si="379"/>
        <v>495</v>
      </c>
      <c r="O1752" s="7">
        <f>прил.6!P51</f>
        <v>0</v>
      </c>
      <c r="P1752" s="35">
        <f t="shared" si="387"/>
        <v>495</v>
      </c>
      <c r="Q1752" s="7">
        <f>прил.6!R51</f>
        <v>0</v>
      </c>
      <c r="R1752" s="35">
        <f t="shared" si="385"/>
        <v>495</v>
      </c>
      <c r="S1752" s="7">
        <f>прил.6!T51</f>
        <v>0</v>
      </c>
      <c r="T1752" s="35">
        <f t="shared" si="381"/>
        <v>495</v>
      </c>
    </row>
    <row r="1753" spans="1:20" ht="169.5" customHeight="1">
      <c r="A1753" s="61" t="str">
        <f ca="1">IF(ISERROR(MATCH(B1753,Код_КЦСР,0)),"",INDIRECT(ADDRESS(MATCH(B1753,Код_КЦСР,0)+1,2,,,"КЦСР")))</f>
        <v>Осуществление отдельных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соответствующими статьями закона области от 8 декабря 2010 года № 2429-ОЗ «Об административных правонарушениях в Вологодской области»,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1753" s="105" t="s">
        <v>378</v>
      </c>
      <c r="C1753" s="8"/>
      <c r="D1753" s="1"/>
      <c r="E1753" s="104"/>
      <c r="F1753" s="7">
        <f t="shared" ref="F1753:S1756" si="390">F1754</f>
        <v>0.7</v>
      </c>
      <c r="G1753" s="7">
        <f t="shared" si="390"/>
        <v>0</v>
      </c>
      <c r="H1753" s="35">
        <f t="shared" si="388"/>
        <v>0.7</v>
      </c>
      <c r="I1753" s="7">
        <f t="shared" si="390"/>
        <v>0</v>
      </c>
      <c r="J1753" s="35">
        <f t="shared" si="386"/>
        <v>0.7</v>
      </c>
      <c r="K1753" s="7">
        <f t="shared" si="390"/>
        <v>0</v>
      </c>
      <c r="L1753" s="35">
        <f t="shared" si="382"/>
        <v>0.7</v>
      </c>
      <c r="M1753" s="7">
        <f t="shared" si="390"/>
        <v>0</v>
      </c>
      <c r="N1753" s="35">
        <f t="shared" si="379"/>
        <v>0.7</v>
      </c>
      <c r="O1753" s="7">
        <f t="shared" si="390"/>
        <v>0</v>
      </c>
      <c r="P1753" s="35">
        <f t="shared" si="387"/>
        <v>0.7</v>
      </c>
      <c r="Q1753" s="7">
        <f t="shared" si="390"/>
        <v>0</v>
      </c>
      <c r="R1753" s="35">
        <f t="shared" si="385"/>
        <v>0.7</v>
      </c>
      <c r="S1753" s="7">
        <f t="shared" si="390"/>
        <v>0</v>
      </c>
      <c r="T1753" s="35">
        <f t="shared" si="381"/>
        <v>0.7</v>
      </c>
    </row>
    <row r="1754" spans="1:20">
      <c r="A1754" s="61" t="str">
        <f ca="1">IF(ISERROR(MATCH(C1754,Код_Раздел,0)),"",INDIRECT(ADDRESS(MATCH(C1754,Код_Раздел,0)+1,2,,,"Раздел")))</f>
        <v>Общегосударственные  вопросы</v>
      </c>
      <c r="B1754" s="105" t="s">
        <v>378</v>
      </c>
      <c r="C1754" s="8" t="s">
        <v>213</v>
      </c>
      <c r="D1754" s="1"/>
      <c r="E1754" s="104"/>
      <c r="F1754" s="7">
        <f t="shared" si="390"/>
        <v>0.7</v>
      </c>
      <c r="G1754" s="7">
        <f t="shared" si="390"/>
        <v>0</v>
      </c>
      <c r="H1754" s="35">
        <f t="shared" si="388"/>
        <v>0.7</v>
      </c>
      <c r="I1754" s="7">
        <f t="shared" si="390"/>
        <v>0</v>
      </c>
      <c r="J1754" s="35">
        <f t="shared" si="386"/>
        <v>0.7</v>
      </c>
      <c r="K1754" s="7">
        <f t="shared" si="390"/>
        <v>0</v>
      </c>
      <c r="L1754" s="35">
        <f t="shared" si="382"/>
        <v>0.7</v>
      </c>
      <c r="M1754" s="7">
        <f t="shared" si="390"/>
        <v>0</v>
      </c>
      <c r="N1754" s="35">
        <f t="shared" si="379"/>
        <v>0.7</v>
      </c>
      <c r="O1754" s="7">
        <f t="shared" si="390"/>
        <v>0</v>
      </c>
      <c r="P1754" s="35">
        <f t="shared" si="387"/>
        <v>0.7</v>
      </c>
      <c r="Q1754" s="7">
        <f t="shared" si="390"/>
        <v>0</v>
      </c>
      <c r="R1754" s="35">
        <f t="shared" si="385"/>
        <v>0.7</v>
      </c>
      <c r="S1754" s="7">
        <f t="shared" si="390"/>
        <v>0</v>
      </c>
      <c r="T1754" s="35">
        <f t="shared" si="381"/>
        <v>0.7</v>
      </c>
    </row>
    <row r="1755" spans="1:20" ht="49.5">
      <c r="A1755" s="76" t="s">
        <v>235</v>
      </c>
      <c r="B1755" s="105" t="s">
        <v>378</v>
      </c>
      <c r="C1755" s="8" t="s">
        <v>213</v>
      </c>
      <c r="D1755" s="1" t="s">
        <v>216</v>
      </c>
      <c r="E1755" s="104"/>
      <c r="F1755" s="7">
        <f t="shared" si="390"/>
        <v>0.7</v>
      </c>
      <c r="G1755" s="7">
        <f t="shared" si="390"/>
        <v>0</v>
      </c>
      <c r="H1755" s="35">
        <f t="shared" si="388"/>
        <v>0.7</v>
      </c>
      <c r="I1755" s="7">
        <f t="shared" si="390"/>
        <v>0</v>
      </c>
      <c r="J1755" s="35">
        <f t="shared" si="386"/>
        <v>0.7</v>
      </c>
      <c r="K1755" s="7">
        <f t="shared" si="390"/>
        <v>0</v>
      </c>
      <c r="L1755" s="35">
        <f t="shared" si="382"/>
        <v>0.7</v>
      </c>
      <c r="M1755" s="7">
        <f t="shared" si="390"/>
        <v>0</v>
      </c>
      <c r="N1755" s="35">
        <f t="shared" si="379"/>
        <v>0.7</v>
      </c>
      <c r="O1755" s="7">
        <f t="shared" si="390"/>
        <v>0</v>
      </c>
      <c r="P1755" s="35">
        <f t="shared" si="387"/>
        <v>0.7</v>
      </c>
      <c r="Q1755" s="7">
        <f t="shared" si="390"/>
        <v>0</v>
      </c>
      <c r="R1755" s="35">
        <f t="shared" si="385"/>
        <v>0.7</v>
      </c>
      <c r="S1755" s="7">
        <f t="shared" si="390"/>
        <v>0</v>
      </c>
      <c r="T1755" s="35">
        <f t="shared" si="381"/>
        <v>0.7</v>
      </c>
    </row>
    <row r="1756" spans="1:20" ht="33">
      <c r="A1756" s="61" t="str">
        <f ca="1">IF(ISERROR(MATCH(E1756,Код_КВР,0)),"",INDIRECT(ADDRESS(MATCH(E1756,Код_КВР,0)+1,2,,,"КВР")))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56" s="105" t="s">
        <v>378</v>
      </c>
      <c r="C1756" s="8" t="s">
        <v>213</v>
      </c>
      <c r="D1756" s="1" t="s">
        <v>216</v>
      </c>
      <c r="E1756" s="104">
        <v>100</v>
      </c>
      <c r="F1756" s="7">
        <f t="shared" si="390"/>
        <v>0.7</v>
      </c>
      <c r="G1756" s="7">
        <f t="shared" si="390"/>
        <v>0</v>
      </c>
      <c r="H1756" s="35">
        <f t="shared" si="388"/>
        <v>0.7</v>
      </c>
      <c r="I1756" s="7">
        <f t="shared" si="390"/>
        <v>0</v>
      </c>
      <c r="J1756" s="35">
        <f t="shared" si="386"/>
        <v>0.7</v>
      </c>
      <c r="K1756" s="7">
        <f t="shared" si="390"/>
        <v>0</v>
      </c>
      <c r="L1756" s="35">
        <f t="shared" si="382"/>
        <v>0.7</v>
      </c>
      <c r="M1756" s="7">
        <f t="shared" si="390"/>
        <v>0</v>
      </c>
      <c r="N1756" s="35">
        <f t="shared" si="379"/>
        <v>0.7</v>
      </c>
      <c r="O1756" s="7">
        <f t="shared" si="390"/>
        <v>0</v>
      </c>
      <c r="P1756" s="35">
        <f t="shared" si="387"/>
        <v>0.7</v>
      </c>
      <c r="Q1756" s="7">
        <f t="shared" si="390"/>
        <v>0</v>
      </c>
      <c r="R1756" s="35">
        <f t="shared" si="385"/>
        <v>0.7</v>
      </c>
      <c r="S1756" s="7">
        <f t="shared" si="390"/>
        <v>0</v>
      </c>
      <c r="T1756" s="35">
        <f t="shared" si="381"/>
        <v>0.7</v>
      </c>
    </row>
    <row r="1757" spans="1:20">
      <c r="A1757" s="61" t="str">
        <f ca="1">IF(ISERROR(MATCH(E1757,Код_КВР,0)),"",INDIRECT(ADDRESS(MATCH(E1757,Код_КВР,0)+1,2,,,"КВР")))</f>
        <v>Расходы на выплаты персоналу муниципальных органов</v>
      </c>
      <c r="B1757" s="105" t="s">
        <v>378</v>
      </c>
      <c r="C1757" s="8" t="s">
        <v>213</v>
      </c>
      <c r="D1757" s="1" t="s">
        <v>216</v>
      </c>
      <c r="E1757" s="104">
        <v>120</v>
      </c>
      <c r="F1757" s="7">
        <f>прил.6!G55</f>
        <v>0.7</v>
      </c>
      <c r="G1757" s="7">
        <f>прил.6!H55</f>
        <v>0</v>
      </c>
      <c r="H1757" s="35">
        <f t="shared" si="388"/>
        <v>0.7</v>
      </c>
      <c r="I1757" s="7">
        <f>прил.6!J55</f>
        <v>0</v>
      </c>
      <c r="J1757" s="35">
        <f t="shared" si="386"/>
        <v>0.7</v>
      </c>
      <c r="K1757" s="7">
        <f>прил.6!L55</f>
        <v>0</v>
      </c>
      <c r="L1757" s="35">
        <f t="shared" si="382"/>
        <v>0.7</v>
      </c>
      <c r="M1757" s="7">
        <f>прил.6!N55</f>
        <v>0</v>
      </c>
      <c r="N1757" s="35">
        <f t="shared" si="379"/>
        <v>0.7</v>
      </c>
      <c r="O1757" s="7">
        <f>прил.6!P55</f>
        <v>0</v>
      </c>
      <c r="P1757" s="35">
        <f t="shared" si="387"/>
        <v>0.7</v>
      </c>
      <c r="Q1757" s="7">
        <f>прил.6!R55</f>
        <v>0</v>
      </c>
      <c r="R1757" s="35">
        <f t="shared" si="385"/>
        <v>0.7</v>
      </c>
      <c r="S1757" s="7">
        <f>прил.6!T55</f>
        <v>0</v>
      </c>
      <c r="T1757" s="35">
        <f t="shared" si="381"/>
        <v>0.7</v>
      </c>
    </row>
    <row r="1758" spans="1:20" ht="99">
      <c r="A1758" s="61" t="str">
        <f ca="1">IF(ISERROR(MATCH(B1758,Код_КЦСР,0)),"",INDIRECT(ADDRESS(MATCH(B1758,Код_КЦСР,0)+1,2,,,"КЦСР")))</f>
        <v>Осуществление отдельных государственных полномочий в соответствии с законом области от 8 ноября 2011 года № 2642-ОЗ «О наделении органов местного самоуправления городского округа «город Череповец» отдельными государственными полномочиями в сфере труда» за счет субвенций из областного бюджета</v>
      </c>
      <c r="B1758" s="105" t="s">
        <v>403</v>
      </c>
      <c r="C1758" s="8"/>
      <c r="D1758" s="1"/>
      <c r="E1758" s="104"/>
      <c r="F1758" s="7">
        <f>F1766</f>
        <v>902.7</v>
      </c>
      <c r="G1758" s="7">
        <f>G1766</f>
        <v>0</v>
      </c>
      <c r="H1758" s="35">
        <f t="shared" si="388"/>
        <v>902.7</v>
      </c>
      <c r="I1758" s="7">
        <f>I1766</f>
        <v>0</v>
      </c>
      <c r="J1758" s="35">
        <f t="shared" si="386"/>
        <v>902.7</v>
      </c>
      <c r="K1758" s="7">
        <f>K1766</f>
        <v>0</v>
      </c>
      <c r="L1758" s="35">
        <f t="shared" si="382"/>
        <v>902.7</v>
      </c>
      <c r="M1758" s="7">
        <f>M1766</f>
        <v>0</v>
      </c>
      <c r="N1758" s="35">
        <f t="shared" si="379"/>
        <v>902.7</v>
      </c>
      <c r="O1758" s="7">
        <f>O1766</f>
        <v>0</v>
      </c>
      <c r="P1758" s="35">
        <f t="shared" si="387"/>
        <v>902.7</v>
      </c>
      <c r="Q1758" s="7">
        <f>Q1766+Q1759</f>
        <v>0</v>
      </c>
      <c r="R1758" s="35">
        <f t="shared" si="385"/>
        <v>902.7</v>
      </c>
      <c r="S1758" s="7">
        <f>S1766+S1759</f>
        <v>0</v>
      </c>
      <c r="T1758" s="35">
        <f t="shared" si="381"/>
        <v>902.7</v>
      </c>
    </row>
    <row r="1759" spans="1:20" ht="24.75" customHeight="1">
      <c r="A1759" s="61" t="str">
        <f ca="1">IF(ISERROR(MATCH(C1759,Код_Раздел,0)),"",INDIRECT(ADDRESS(MATCH(C1759,Код_Раздел,0)+1,2,,,"Раздел")))</f>
        <v>Общегосударственные  вопросы</v>
      </c>
      <c r="B1759" s="114" t="s">
        <v>403</v>
      </c>
      <c r="C1759" s="8" t="s">
        <v>213</v>
      </c>
      <c r="D1759" s="1"/>
      <c r="E1759" s="115"/>
      <c r="F1759" s="7"/>
      <c r="G1759" s="7"/>
      <c r="H1759" s="35"/>
      <c r="I1759" s="7"/>
      <c r="J1759" s="35"/>
      <c r="K1759" s="7"/>
      <c r="L1759" s="35"/>
      <c r="M1759" s="7"/>
      <c r="N1759" s="35"/>
      <c r="O1759" s="7"/>
      <c r="P1759" s="35"/>
      <c r="Q1759" s="7">
        <f>Q1760</f>
        <v>676.7</v>
      </c>
      <c r="R1759" s="35">
        <f t="shared" si="385"/>
        <v>676.7</v>
      </c>
      <c r="S1759" s="7">
        <f>S1760</f>
        <v>0</v>
      </c>
      <c r="T1759" s="35">
        <f t="shared" si="381"/>
        <v>676.7</v>
      </c>
    </row>
    <row r="1760" spans="1:20" ht="67.5" customHeight="1">
      <c r="A1760" s="76" t="s">
        <v>235</v>
      </c>
      <c r="B1760" s="114" t="s">
        <v>403</v>
      </c>
      <c r="C1760" s="8" t="s">
        <v>213</v>
      </c>
      <c r="D1760" s="1" t="s">
        <v>216</v>
      </c>
      <c r="E1760" s="115"/>
      <c r="F1760" s="7"/>
      <c r="G1760" s="7"/>
      <c r="H1760" s="35"/>
      <c r="I1760" s="7"/>
      <c r="J1760" s="35"/>
      <c r="K1760" s="7"/>
      <c r="L1760" s="35"/>
      <c r="M1760" s="7"/>
      <c r="N1760" s="35"/>
      <c r="O1760" s="7"/>
      <c r="P1760" s="35"/>
      <c r="Q1760" s="7">
        <f>Q1761+Q1763</f>
        <v>676.7</v>
      </c>
      <c r="R1760" s="35">
        <f t="shared" si="385"/>
        <v>676.7</v>
      </c>
      <c r="S1760" s="7">
        <f>S1761+S1763</f>
        <v>0</v>
      </c>
      <c r="T1760" s="35">
        <f t="shared" si="381"/>
        <v>676.7</v>
      </c>
    </row>
    <row r="1761" spans="1:20" ht="33">
      <c r="A1761" s="61" t="str">
        <f ca="1">IF(ISERROR(MATCH(E1761,Код_КВР,0)),"",INDIRECT(ADDRESS(MATCH(E1761,Код_КВР,0)+1,2,,,"КВР")))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61" s="114" t="s">
        <v>403</v>
      </c>
      <c r="C1761" s="8" t="s">
        <v>213</v>
      </c>
      <c r="D1761" s="1" t="s">
        <v>216</v>
      </c>
      <c r="E1761" s="115">
        <v>100</v>
      </c>
      <c r="F1761" s="7"/>
      <c r="G1761" s="7"/>
      <c r="H1761" s="35"/>
      <c r="I1761" s="7"/>
      <c r="J1761" s="35"/>
      <c r="K1761" s="7"/>
      <c r="L1761" s="35"/>
      <c r="M1761" s="7"/>
      <c r="N1761" s="35"/>
      <c r="O1761" s="7"/>
      <c r="P1761" s="35"/>
      <c r="Q1761" s="7">
        <f>Q1762</f>
        <v>662.7</v>
      </c>
      <c r="R1761" s="35">
        <f t="shared" si="385"/>
        <v>662.7</v>
      </c>
      <c r="S1761" s="7">
        <f>S1762</f>
        <v>0</v>
      </c>
      <c r="T1761" s="35">
        <f t="shared" si="381"/>
        <v>662.7</v>
      </c>
    </row>
    <row r="1762" spans="1:20">
      <c r="A1762" s="61" t="str">
        <f ca="1">IF(ISERROR(MATCH(E1762,Код_КВР,0)),"",INDIRECT(ADDRESS(MATCH(E1762,Код_КВР,0)+1,2,,,"КВР")))</f>
        <v>Расходы на выплаты персоналу муниципальных органов</v>
      </c>
      <c r="B1762" s="114" t="s">
        <v>403</v>
      </c>
      <c r="C1762" s="8" t="s">
        <v>213</v>
      </c>
      <c r="D1762" s="1" t="s">
        <v>216</v>
      </c>
      <c r="E1762" s="115">
        <v>120</v>
      </c>
      <c r="F1762" s="7"/>
      <c r="G1762" s="7"/>
      <c r="H1762" s="35"/>
      <c r="I1762" s="7"/>
      <c r="J1762" s="35"/>
      <c r="K1762" s="7"/>
      <c r="L1762" s="35"/>
      <c r="M1762" s="7"/>
      <c r="N1762" s="35"/>
      <c r="O1762" s="7"/>
      <c r="P1762" s="35"/>
      <c r="Q1762" s="7">
        <f>прил.6!R58</f>
        <v>662.7</v>
      </c>
      <c r="R1762" s="35">
        <f t="shared" si="385"/>
        <v>662.7</v>
      </c>
      <c r="S1762" s="7">
        <f>прил.6!T58</f>
        <v>0</v>
      </c>
      <c r="T1762" s="35">
        <f t="shared" si="381"/>
        <v>662.7</v>
      </c>
    </row>
    <row r="1763" spans="1:20" ht="23.25" customHeight="1">
      <c r="A1763" s="61" t="str">
        <f ca="1">IF(ISERROR(MATCH(E1763,Код_КВР,0)),"",INDIRECT(ADDRESS(MATCH(E1763,Код_КВР,0)+1,2,,,"КВР")))</f>
        <v>Закупка товаров, работ и услуг для муниципальных нужд</v>
      </c>
      <c r="B1763" s="129" t="s">
        <v>403</v>
      </c>
      <c r="C1763" s="8" t="s">
        <v>213</v>
      </c>
      <c r="D1763" s="1" t="s">
        <v>216</v>
      </c>
      <c r="E1763" s="128">
        <v>200</v>
      </c>
      <c r="F1763" s="7"/>
      <c r="G1763" s="7"/>
      <c r="H1763" s="35"/>
      <c r="I1763" s="7"/>
      <c r="J1763" s="35"/>
      <c r="K1763" s="7"/>
      <c r="L1763" s="35"/>
      <c r="M1763" s="7"/>
      <c r="N1763" s="35"/>
      <c r="O1763" s="7"/>
      <c r="P1763" s="35"/>
      <c r="Q1763" s="7">
        <f>Q1764</f>
        <v>14</v>
      </c>
      <c r="R1763" s="35">
        <f t="shared" si="385"/>
        <v>14</v>
      </c>
      <c r="S1763" s="7">
        <f>S1764</f>
        <v>0</v>
      </c>
      <c r="T1763" s="35">
        <f t="shared" si="381"/>
        <v>14</v>
      </c>
    </row>
    <row r="1764" spans="1:20" ht="33">
      <c r="A1764" s="61" t="str">
        <f ca="1">IF(ISERROR(MATCH(E1764,Код_КВР,0)),"",INDIRECT(ADDRESS(MATCH(E1764,Код_КВР,0)+1,2,,,"КВР")))</f>
        <v>Иные закупки товаров, работ и услуг для обеспечения муниципальных нужд</v>
      </c>
      <c r="B1764" s="129" t="s">
        <v>403</v>
      </c>
      <c r="C1764" s="8" t="s">
        <v>213</v>
      </c>
      <c r="D1764" s="1" t="s">
        <v>216</v>
      </c>
      <c r="E1764" s="128">
        <v>240</v>
      </c>
      <c r="F1764" s="7"/>
      <c r="G1764" s="7"/>
      <c r="H1764" s="35"/>
      <c r="I1764" s="7"/>
      <c r="J1764" s="35"/>
      <c r="K1764" s="7"/>
      <c r="L1764" s="35"/>
      <c r="M1764" s="7"/>
      <c r="N1764" s="35"/>
      <c r="O1764" s="7"/>
      <c r="P1764" s="35"/>
      <c r="Q1764" s="7">
        <f>Q1765</f>
        <v>14</v>
      </c>
      <c r="R1764" s="35">
        <f t="shared" si="385"/>
        <v>14</v>
      </c>
      <c r="S1764" s="7">
        <f>S1765</f>
        <v>0</v>
      </c>
      <c r="T1764" s="35">
        <f t="shared" si="381"/>
        <v>14</v>
      </c>
    </row>
    <row r="1765" spans="1:20" ht="33">
      <c r="A1765" s="61" t="str">
        <f ca="1">IF(ISERROR(MATCH(E1765,Код_КВР,0)),"",INDIRECT(ADDRESS(MATCH(E1765,Код_КВР,0)+1,2,,,"КВР")))</f>
        <v xml:space="preserve">Прочая закупка товаров, работ и услуг для обеспечения муниципальных нужд         </v>
      </c>
      <c r="B1765" s="129" t="s">
        <v>403</v>
      </c>
      <c r="C1765" s="8" t="s">
        <v>213</v>
      </c>
      <c r="D1765" s="1" t="s">
        <v>216</v>
      </c>
      <c r="E1765" s="128">
        <v>244</v>
      </c>
      <c r="F1765" s="7"/>
      <c r="G1765" s="7"/>
      <c r="H1765" s="35"/>
      <c r="I1765" s="7"/>
      <c r="J1765" s="35"/>
      <c r="K1765" s="7"/>
      <c r="L1765" s="35"/>
      <c r="M1765" s="7"/>
      <c r="N1765" s="35"/>
      <c r="O1765" s="7"/>
      <c r="P1765" s="35"/>
      <c r="Q1765" s="7">
        <f>прил.6!R61</f>
        <v>14</v>
      </c>
      <c r="R1765" s="35">
        <f t="shared" si="385"/>
        <v>14</v>
      </c>
      <c r="S1765" s="7">
        <f>прил.6!T61</f>
        <v>0</v>
      </c>
      <c r="T1765" s="35">
        <f t="shared" si="381"/>
        <v>14</v>
      </c>
    </row>
    <row r="1766" spans="1:20">
      <c r="A1766" s="61" t="str">
        <f ca="1">IF(ISERROR(MATCH(C1766,Код_Раздел,0)),"",INDIRECT(ADDRESS(MATCH(C1766,Код_Раздел,0)+1,2,,,"Раздел")))</f>
        <v>Социальная политика</v>
      </c>
      <c r="B1766" s="105" t="s">
        <v>403</v>
      </c>
      <c r="C1766" s="8" t="s">
        <v>188</v>
      </c>
      <c r="D1766" s="1"/>
      <c r="E1766" s="104"/>
      <c r="F1766" s="7">
        <f>F1767</f>
        <v>902.7</v>
      </c>
      <c r="G1766" s="7">
        <f>G1767</f>
        <v>0</v>
      </c>
      <c r="H1766" s="35">
        <f t="shared" si="388"/>
        <v>902.7</v>
      </c>
      <c r="I1766" s="7">
        <f>I1767</f>
        <v>0</v>
      </c>
      <c r="J1766" s="35">
        <f t="shared" si="386"/>
        <v>902.7</v>
      </c>
      <c r="K1766" s="7">
        <f>K1767</f>
        <v>0</v>
      </c>
      <c r="L1766" s="35">
        <f t="shared" si="382"/>
        <v>902.7</v>
      </c>
      <c r="M1766" s="7">
        <f>M1767</f>
        <v>0</v>
      </c>
      <c r="N1766" s="35">
        <f t="shared" si="379"/>
        <v>902.7</v>
      </c>
      <c r="O1766" s="7">
        <f>O1767</f>
        <v>0</v>
      </c>
      <c r="P1766" s="35">
        <f t="shared" si="387"/>
        <v>902.7</v>
      </c>
      <c r="Q1766" s="7">
        <f>Q1767</f>
        <v>-676.7</v>
      </c>
      <c r="R1766" s="35">
        <f t="shared" si="385"/>
        <v>226</v>
      </c>
      <c r="S1766" s="7">
        <f>S1767</f>
        <v>0</v>
      </c>
      <c r="T1766" s="35">
        <f t="shared" si="381"/>
        <v>226</v>
      </c>
    </row>
    <row r="1767" spans="1:20">
      <c r="A1767" s="12" t="s">
        <v>189</v>
      </c>
      <c r="B1767" s="105" t="s">
        <v>403</v>
      </c>
      <c r="C1767" s="8" t="s">
        <v>188</v>
      </c>
      <c r="D1767" s="1" t="s">
        <v>217</v>
      </c>
      <c r="E1767" s="104"/>
      <c r="F1767" s="7">
        <f>F1768+F1770</f>
        <v>902.7</v>
      </c>
      <c r="G1767" s="7">
        <f>G1768+G1770</f>
        <v>0</v>
      </c>
      <c r="H1767" s="35">
        <f t="shared" si="388"/>
        <v>902.7</v>
      </c>
      <c r="I1767" s="7">
        <f>I1768+I1770</f>
        <v>0</v>
      </c>
      <c r="J1767" s="35">
        <f t="shared" si="386"/>
        <v>902.7</v>
      </c>
      <c r="K1767" s="7">
        <f>K1768+K1770</f>
        <v>0</v>
      </c>
      <c r="L1767" s="35">
        <f t="shared" si="382"/>
        <v>902.7</v>
      </c>
      <c r="M1767" s="7">
        <f>M1768+M1770</f>
        <v>0</v>
      </c>
      <c r="N1767" s="35">
        <f t="shared" si="379"/>
        <v>902.7</v>
      </c>
      <c r="O1767" s="7">
        <f>O1768+O1770</f>
        <v>0</v>
      </c>
      <c r="P1767" s="35">
        <f t="shared" si="387"/>
        <v>902.7</v>
      </c>
      <c r="Q1767" s="7">
        <f>Q1768+Q1770</f>
        <v>-676.7</v>
      </c>
      <c r="R1767" s="35">
        <f t="shared" si="385"/>
        <v>226</v>
      </c>
      <c r="S1767" s="7">
        <f>S1768+S1770</f>
        <v>0</v>
      </c>
      <c r="T1767" s="35">
        <f t="shared" si="381"/>
        <v>226</v>
      </c>
    </row>
    <row r="1768" spans="1:20" ht="33">
      <c r="A1768" s="61" t="str">
        <f ca="1">IF(ISERROR(MATCH(E1768,Код_КВР,0)),"",INDIRECT(ADDRESS(MATCH(E1768,Код_КВР,0)+1,2,,,"КВР")))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68" s="105" t="s">
        <v>403</v>
      </c>
      <c r="C1768" s="8" t="s">
        <v>188</v>
      </c>
      <c r="D1768" s="1" t="s">
        <v>217</v>
      </c>
      <c r="E1768" s="104">
        <v>100</v>
      </c>
      <c r="F1768" s="7">
        <f>F1769</f>
        <v>722.2</v>
      </c>
      <c r="G1768" s="7">
        <f>G1769</f>
        <v>0</v>
      </c>
      <c r="H1768" s="35">
        <f t="shared" si="388"/>
        <v>722.2</v>
      </c>
      <c r="I1768" s="7">
        <f>I1769</f>
        <v>0</v>
      </c>
      <c r="J1768" s="35">
        <f t="shared" si="386"/>
        <v>722.2</v>
      </c>
      <c r="K1768" s="7">
        <f>K1769</f>
        <v>0</v>
      </c>
      <c r="L1768" s="35">
        <f t="shared" si="382"/>
        <v>722.2</v>
      </c>
      <c r="M1768" s="7">
        <f>M1769</f>
        <v>0</v>
      </c>
      <c r="N1768" s="35">
        <f t="shared" si="379"/>
        <v>722.2</v>
      </c>
      <c r="O1768" s="7">
        <f>O1769</f>
        <v>0</v>
      </c>
      <c r="P1768" s="35">
        <f t="shared" si="387"/>
        <v>722.2</v>
      </c>
      <c r="Q1768" s="7">
        <f>Q1769</f>
        <v>-541.6</v>
      </c>
      <c r="R1768" s="35">
        <f t="shared" si="385"/>
        <v>180.60000000000002</v>
      </c>
      <c r="S1768" s="7">
        <f>S1769</f>
        <v>0</v>
      </c>
      <c r="T1768" s="35">
        <f t="shared" si="381"/>
        <v>180.60000000000002</v>
      </c>
    </row>
    <row r="1769" spans="1:20">
      <c r="A1769" s="61" t="str">
        <f ca="1">IF(ISERROR(MATCH(E1769,Код_КВР,0)),"",INDIRECT(ADDRESS(MATCH(E1769,Код_КВР,0)+1,2,,,"КВР")))</f>
        <v>Расходы на выплаты персоналу муниципальных органов</v>
      </c>
      <c r="B1769" s="105" t="s">
        <v>403</v>
      </c>
      <c r="C1769" s="8" t="s">
        <v>188</v>
      </c>
      <c r="D1769" s="1" t="s">
        <v>217</v>
      </c>
      <c r="E1769" s="104">
        <v>120</v>
      </c>
      <c r="F1769" s="7">
        <f>прил.6!G1479</f>
        <v>722.2</v>
      </c>
      <c r="G1769" s="7">
        <f>прил.6!H1479</f>
        <v>0</v>
      </c>
      <c r="H1769" s="35">
        <f t="shared" si="388"/>
        <v>722.2</v>
      </c>
      <c r="I1769" s="7">
        <f>прил.6!J1479</f>
        <v>0</v>
      </c>
      <c r="J1769" s="35">
        <f t="shared" si="386"/>
        <v>722.2</v>
      </c>
      <c r="K1769" s="7">
        <f>прил.6!L1479</f>
        <v>0</v>
      </c>
      <c r="L1769" s="35">
        <f t="shared" si="382"/>
        <v>722.2</v>
      </c>
      <c r="M1769" s="7">
        <f>прил.6!N1479</f>
        <v>0</v>
      </c>
      <c r="N1769" s="35">
        <f t="shared" si="379"/>
        <v>722.2</v>
      </c>
      <c r="O1769" s="7">
        <f>прил.6!P1479</f>
        <v>0</v>
      </c>
      <c r="P1769" s="35">
        <f t="shared" si="387"/>
        <v>722.2</v>
      </c>
      <c r="Q1769" s="7">
        <f>прил.6!R1479</f>
        <v>-541.6</v>
      </c>
      <c r="R1769" s="35">
        <f t="shared" si="385"/>
        <v>180.60000000000002</v>
      </c>
      <c r="S1769" s="7">
        <f>прил.6!T1479</f>
        <v>0</v>
      </c>
      <c r="T1769" s="35">
        <f t="shared" si="381"/>
        <v>180.60000000000002</v>
      </c>
    </row>
    <row r="1770" spans="1:20">
      <c r="A1770" s="61" t="str">
        <f ca="1">IF(ISERROR(MATCH(E1770,Код_КВР,0)),"",INDIRECT(ADDRESS(MATCH(E1770,Код_КВР,0)+1,2,,,"КВР")))</f>
        <v>Закупка товаров, работ и услуг для муниципальных нужд</v>
      </c>
      <c r="B1770" s="105" t="s">
        <v>403</v>
      </c>
      <c r="C1770" s="8" t="s">
        <v>188</v>
      </c>
      <c r="D1770" s="1" t="s">
        <v>217</v>
      </c>
      <c r="E1770" s="104">
        <v>200</v>
      </c>
      <c r="F1770" s="7">
        <f>F1771</f>
        <v>180.5</v>
      </c>
      <c r="G1770" s="7">
        <f>G1771</f>
        <v>0</v>
      </c>
      <c r="H1770" s="35">
        <f t="shared" si="388"/>
        <v>180.5</v>
      </c>
      <c r="I1770" s="7">
        <f>I1771</f>
        <v>0</v>
      </c>
      <c r="J1770" s="35">
        <f t="shared" si="386"/>
        <v>180.5</v>
      </c>
      <c r="K1770" s="7">
        <f>K1771</f>
        <v>0</v>
      </c>
      <c r="L1770" s="35">
        <f t="shared" si="382"/>
        <v>180.5</v>
      </c>
      <c r="M1770" s="7">
        <f>M1771</f>
        <v>0</v>
      </c>
      <c r="N1770" s="35">
        <f t="shared" ref="N1770:N1812" si="391">L1770+M1770</f>
        <v>180.5</v>
      </c>
      <c r="O1770" s="7">
        <f>O1771</f>
        <v>0</v>
      </c>
      <c r="P1770" s="35">
        <f t="shared" si="387"/>
        <v>180.5</v>
      </c>
      <c r="Q1770" s="7">
        <f>Q1771</f>
        <v>-135.1</v>
      </c>
      <c r="R1770" s="35">
        <f t="shared" si="385"/>
        <v>45.400000000000006</v>
      </c>
      <c r="S1770" s="7">
        <f>S1771</f>
        <v>0</v>
      </c>
      <c r="T1770" s="35">
        <f t="shared" si="381"/>
        <v>45.400000000000006</v>
      </c>
    </row>
    <row r="1771" spans="1:20" ht="33">
      <c r="A1771" s="61" t="str">
        <f ca="1">IF(ISERROR(MATCH(E1771,Код_КВР,0)),"",INDIRECT(ADDRESS(MATCH(E1771,Код_КВР,0)+1,2,,,"КВР")))</f>
        <v>Иные закупки товаров, работ и услуг для обеспечения муниципальных нужд</v>
      </c>
      <c r="B1771" s="105" t="s">
        <v>403</v>
      </c>
      <c r="C1771" s="8" t="s">
        <v>188</v>
      </c>
      <c r="D1771" s="1" t="s">
        <v>217</v>
      </c>
      <c r="E1771" s="104">
        <v>240</v>
      </c>
      <c r="F1771" s="7">
        <f>F1772</f>
        <v>180.5</v>
      </c>
      <c r="G1771" s="7">
        <f>G1772</f>
        <v>0</v>
      </c>
      <c r="H1771" s="35">
        <f t="shared" si="388"/>
        <v>180.5</v>
      </c>
      <c r="I1771" s="7">
        <f>I1772</f>
        <v>0</v>
      </c>
      <c r="J1771" s="35">
        <f t="shared" si="386"/>
        <v>180.5</v>
      </c>
      <c r="K1771" s="7">
        <f>K1772</f>
        <v>0</v>
      </c>
      <c r="L1771" s="35">
        <f t="shared" si="382"/>
        <v>180.5</v>
      </c>
      <c r="M1771" s="7">
        <f>M1772</f>
        <v>0</v>
      </c>
      <c r="N1771" s="35">
        <f t="shared" si="391"/>
        <v>180.5</v>
      </c>
      <c r="O1771" s="7">
        <f>O1772</f>
        <v>0</v>
      </c>
      <c r="P1771" s="35">
        <f t="shared" si="387"/>
        <v>180.5</v>
      </c>
      <c r="Q1771" s="7">
        <f>Q1772</f>
        <v>-135.1</v>
      </c>
      <c r="R1771" s="35">
        <f t="shared" si="385"/>
        <v>45.400000000000006</v>
      </c>
      <c r="S1771" s="7">
        <f>S1772</f>
        <v>0</v>
      </c>
      <c r="T1771" s="35">
        <f t="shared" si="381"/>
        <v>45.400000000000006</v>
      </c>
    </row>
    <row r="1772" spans="1:20" ht="36.75" customHeight="1">
      <c r="A1772" s="61" t="str">
        <f ca="1">IF(ISERROR(MATCH(E1772,Код_КВР,0)),"",INDIRECT(ADDRESS(MATCH(E1772,Код_КВР,0)+1,2,,,"КВР")))</f>
        <v xml:space="preserve">Прочая закупка товаров, работ и услуг для обеспечения муниципальных нужд         </v>
      </c>
      <c r="B1772" s="105" t="s">
        <v>403</v>
      </c>
      <c r="C1772" s="8" t="s">
        <v>188</v>
      </c>
      <c r="D1772" s="1" t="s">
        <v>217</v>
      </c>
      <c r="E1772" s="104">
        <v>244</v>
      </c>
      <c r="F1772" s="7">
        <f>прил.6!G1482</f>
        <v>180.5</v>
      </c>
      <c r="G1772" s="7">
        <f>прил.6!H1482</f>
        <v>0</v>
      </c>
      <c r="H1772" s="35">
        <f t="shared" si="388"/>
        <v>180.5</v>
      </c>
      <c r="I1772" s="7">
        <f>прил.6!J1482</f>
        <v>0</v>
      </c>
      <c r="J1772" s="35">
        <f t="shared" si="386"/>
        <v>180.5</v>
      </c>
      <c r="K1772" s="7">
        <f>прил.6!L1482</f>
        <v>0</v>
      </c>
      <c r="L1772" s="35">
        <f t="shared" si="382"/>
        <v>180.5</v>
      </c>
      <c r="M1772" s="7">
        <f>прил.6!N1482</f>
        <v>0</v>
      </c>
      <c r="N1772" s="35">
        <f t="shared" si="391"/>
        <v>180.5</v>
      </c>
      <c r="O1772" s="7">
        <f>прил.6!P1482</f>
        <v>0</v>
      </c>
      <c r="P1772" s="35">
        <f t="shared" si="387"/>
        <v>180.5</v>
      </c>
      <c r="Q1772" s="7">
        <f>прил.6!R1482</f>
        <v>-135.1</v>
      </c>
      <c r="R1772" s="35">
        <f t="shared" si="385"/>
        <v>45.400000000000006</v>
      </c>
      <c r="S1772" s="7">
        <f>прил.6!T1482</f>
        <v>0</v>
      </c>
      <c r="T1772" s="35">
        <f t="shared" si="381"/>
        <v>45.400000000000006</v>
      </c>
    </row>
    <row r="1773" spans="1:20" ht="84.75" customHeight="1">
      <c r="A1773" s="61" t="str">
        <f ca="1">IF(ISERROR(MATCH(B1773,Код_КЦСР,0)),"",INDIRECT(ADDRESS(MATCH(B1773,Код_КЦСР,0)+1,2,,,"КЦСР")))</f>
        <v>Осуществление отдельных государственных полномочий в соответствии с законом области от 28 июня 2006 года № 1465-ОЗ «О наделении органов местного самоуправления отдельными государственными полномочиями в сфере охраны окружающей среды» за счет субвенций из областного бюджета</v>
      </c>
      <c r="B1773" s="105" t="s">
        <v>407</v>
      </c>
      <c r="C1773" s="8"/>
      <c r="D1773" s="1"/>
      <c r="E1773" s="104"/>
      <c r="F1773" s="7">
        <f>F1774</f>
        <v>1703.5</v>
      </c>
      <c r="G1773" s="7">
        <f>G1774</f>
        <v>0</v>
      </c>
      <c r="H1773" s="35">
        <f t="shared" si="388"/>
        <v>1703.5</v>
      </c>
      <c r="I1773" s="7">
        <f>I1774</f>
        <v>0</v>
      </c>
      <c r="J1773" s="35">
        <f t="shared" si="386"/>
        <v>1703.5</v>
      </c>
      <c r="K1773" s="7">
        <f>K1774</f>
        <v>0</v>
      </c>
      <c r="L1773" s="35">
        <f t="shared" si="382"/>
        <v>1703.5</v>
      </c>
      <c r="M1773" s="7">
        <f>M1774</f>
        <v>0</v>
      </c>
      <c r="N1773" s="35">
        <f t="shared" si="391"/>
        <v>1703.5</v>
      </c>
      <c r="O1773" s="7">
        <f>O1774</f>
        <v>0</v>
      </c>
      <c r="P1773" s="35">
        <f t="shared" si="387"/>
        <v>1703.5</v>
      </c>
      <c r="Q1773" s="7">
        <f>Q1774</f>
        <v>0</v>
      </c>
      <c r="R1773" s="35">
        <f t="shared" si="385"/>
        <v>1703.5</v>
      </c>
      <c r="S1773" s="7">
        <f>S1774</f>
        <v>0</v>
      </c>
      <c r="T1773" s="35">
        <f t="shared" si="381"/>
        <v>1703.5</v>
      </c>
    </row>
    <row r="1774" spans="1:20">
      <c r="A1774" s="61" t="str">
        <f ca="1">IF(ISERROR(MATCH(C1774,Код_Раздел,0)),"",INDIRECT(ADDRESS(MATCH(C1774,Код_Раздел,0)+1,2,,,"Раздел")))</f>
        <v>Охрана окружающей среды</v>
      </c>
      <c r="B1774" s="105" t="s">
        <v>407</v>
      </c>
      <c r="C1774" s="8" t="s">
        <v>217</v>
      </c>
      <c r="D1774" s="1"/>
      <c r="E1774" s="104"/>
      <c r="F1774" s="7">
        <f>F1775</f>
        <v>1703.5</v>
      </c>
      <c r="G1774" s="7">
        <f>G1775</f>
        <v>0</v>
      </c>
      <c r="H1774" s="35">
        <f t="shared" si="388"/>
        <v>1703.5</v>
      </c>
      <c r="I1774" s="7">
        <f>I1775</f>
        <v>0</v>
      </c>
      <c r="J1774" s="35">
        <f t="shared" si="386"/>
        <v>1703.5</v>
      </c>
      <c r="K1774" s="7">
        <f>K1775</f>
        <v>0</v>
      </c>
      <c r="L1774" s="35">
        <f t="shared" si="382"/>
        <v>1703.5</v>
      </c>
      <c r="M1774" s="7">
        <f>M1775</f>
        <v>0</v>
      </c>
      <c r="N1774" s="35">
        <f t="shared" si="391"/>
        <v>1703.5</v>
      </c>
      <c r="O1774" s="7">
        <f>O1775</f>
        <v>0</v>
      </c>
      <c r="P1774" s="35">
        <f t="shared" si="387"/>
        <v>1703.5</v>
      </c>
      <c r="Q1774" s="7">
        <f>Q1775</f>
        <v>0</v>
      </c>
      <c r="R1774" s="35">
        <f t="shared" si="385"/>
        <v>1703.5</v>
      </c>
      <c r="S1774" s="7">
        <f>S1775</f>
        <v>0</v>
      </c>
      <c r="T1774" s="35">
        <f t="shared" si="381"/>
        <v>1703.5</v>
      </c>
    </row>
    <row r="1775" spans="1:20" ht="35.25" customHeight="1">
      <c r="A1775" s="61" t="s">
        <v>160</v>
      </c>
      <c r="B1775" s="105" t="s">
        <v>407</v>
      </c>
      <c r="C1775" s="8" t="s">
        <v>217</v>
      </c>
      <c r="D1775" s="1" t="s">
        <v>215</v>
      </c>
      <c r="E1775" s="104"/>
      <c r="F1775" s="7">
        <f>F1776+F1778</f>
        <v>1703.5</v>
      </c>
      <c r="G1775" s="7">
        <f>G1776+G1778</f>
        <v>0</v>
      </c>
      <c r="H1775" s="35">
        <f t="shared" si="388"/>
        <v>1703.5</v>
      </c>
      <c r="I1775" s="7">
        <f>I1776+I1778</f>
        <v>0</v>
      </c>
      <c r="J1775" s="35">
        <f t="shared" si="386"/>
        <v>1703.5</v>
      </c>
      <c r="K1775" s="7">
        <f>K1776+K1778</f>
        <v>0</v>
      </c>
      <c r="L1775" s="35">
        <f t="shared" si="382"/>
        <v>1703.5</v>
      </c>
      <c r="M1775" s="7">
        <f>M1776+M1778</f>
        <v>0</v>
      </c>
      <c r="N1775" s="35">
        <f t="shared" si="391"/>
        <v>1703.5</v>
      </c>
      <c r="O1775" s="7">
        <f>O1776+O1778</f>
        <v>0</v>
      </c>
      <c r="P1775" s="35">
        <f t="shared" si="387"/>
        <v>1703.5</v>
      </c>
      <c r="Q1775" s="7">
        <f>Q1776+Q1778</f>
        <v>0</v>
      </c>
      <c r="R1775" s="35">
        <f t="shared" si="385"/>
        <v>1703.5</v>
      </c>
      <c r="S1775" s="7">
        <f>S1776+S1778</f>
        <v>0</v>
      </c>
      <c r="T1775" s="35">
        <f t="shared" si="381"/>
        <v>1703.5</v>
      </c>
    </row>
    <row r="1776" spans="1:20" ht="36" customHeight="1">
      <c r="A1776" s="61" t="str">
        <f ca="1">IF(ISERROR(MATCH(E1776,Код_КВР,0)),"",INDIRECT(ADDRESS(MATCH(E1776,Код_КВР,0)+1,2,,,"КВР")))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76" s="105" t="s">
        <v>407</v>
      </c>
      <c r="C1776" s="8" t="s">
        <v>217</v>
      </c>
      <c r="D1776" s="1" t="s">
        <v>215</v>
      </c>
      <c r="E1776" s="104">
        <v>100</v>
      </c>
      <c r="F1776" s="7">
        <f>F1777</f>
        <v>1653.5</v>
      </c>
      <c r="G1776" s="7">
        <f>G1777</f>
        <v>0</v>
      </c>
      <c r="H1776" s="35">
        <f t="shared" si="388"/>
        <v>1653.5</v>
      </c>
      <c r="I1776" s="7">
        <f>I1777</f>
        <v>0</v>
      </c>
      <c r="J1776" s="35">
        <f t="shared" si="386"/>
        <v>1653.5</v>
      </c>
      <c r="K1776" s="7">
        <f>K1777</f>
        <v>0</v>
      </c>
      <c r="L1776" s="35">
        <f t="shared" si="382"/>
        <v>1653.5</v>
      </c>
      <c r="M1776" s="7">
        <f>M1777</f>
        <v>0</v>
      </c>
      <c r="N1776" s="35">
        <f t="shared" si="391"/>
        <v>1653.5</v>
      </c>
      <c r="O1776" s="7">
        <f>O1777</f>
        <v>0</v>
      </c>
      <c r="P1776" s="35">
        <f t="shared" si="387"/>
        <v>1653.5</v>
      </c>
      <c r="Q1776" s="7">
        <f>Q1777</f>
        <v>0</v>
      </c>
      <c r="R1776" s="35">
        <f t="shared" si="385"/>
        <v>1653.5</v>
      </c>
      <c r="S1776" s="7">
        <f>S1777</f>
        <v>50</v>
      </c>
      <c r="T1776" s="35">
        <f t="shared" si="381"/>
        <v>1703.5</v>
      </c>
    </row>
    <row r="1777" spans="1:20">
      <c r="A1777" s="61" t="str">
        <f ca="1">IF(ISERROR(MATCH(E1777,Код_КВР,0)),"",INDIRECT(ADDRESS(MATCH(E1777,Код_КВР,0)+1,2,,,"КВР")))</f>
        <v>Расходы на выплаты персоналу муниципальных органов</v>
      </c>
      <c r="B1777" s="105" t="s">
        <v>407</v>
      </c>
      <c r="C1777" s="8" t="s">
        <v>217</v>
      </c>
      <c r="D1777" s="1" t="s">
        <v>215</v>
      </c>
      <c r="E1777" s="104">
        <v>120</v>
      </c>
      <c r="F1777" s="7">
        <f>прил.6!G1720</f>
        <v>1653.5</v>
      </c>
      <c r="G1777" s="7">
        <f>прил.6!H1720</f>
        <v>0</v>
      </c>
      <c r="H1777" s="35">
        <f t="shared" si="388"/>
        <v>1653.5</v>
      </c>
      <c r="I1777" s="7">
        <f>прил.6!J1720</f>
        <v>0</v>
      </c>
      <c r="J1777" s="35">
        <f t="shared" si="386"/>
        <v>1653.5</v>
      </c>
      <c r="K1777" s="7">
        <f>прил.6!L1720</f>
        <v>0</v>
      </c>
      <c r="L1777" s="35">
        <f t="shared" si="382"/>
        <v>1653.5</v>
      </c>
      <c r="M1777" s="7">
        <f>прил.6!N1720</f>
        <v>0</v>
      </c>
      <c r="N1777" s="35">
        <f t="shared" si="391"/>
        <v>1653.5</v>
      </c>
      <c r="O1777" s="7">
        <f>прил.6!P1720</f>
        <v>0</v>
      </c>
      <c r="P1777" s="35">
        <f t="shared" si="387"/>
        <v>1653.5</v>
      </c>
      <c r="Q1777" s="7">
        <f>прил.6!R1720</f>
        <v>0</v>
      </c>
      <c r="R1777" s="35">
        <f t="shared" si="385"/>
        <v>1653.5</v>
      </c>
      <c r="S1777" s="7">
        <f>прил.6!T1720</f>
        <v>50</v>
      </c>
      <c r="T1777" s="35">
        <f t="shared" ref="T1777:T1811" si="392">R1777+S1777</f>
        <v>1703.5</v>
      </c>
    </row>
    <row r="1778" spans="1:20">
      <c r="A1778" s="61" t="str">
        <f ca="1">IF(ISERROR(MATCH(E1778,Код_КВР,0)),"",INDIRECT(ADDRESS(MATCH(E1778,Код_КВР,0)+1,2,,,"КВР")))</f>
        <v>Закупка товаров, работ и услуг для муниципальных нужд</v>
      </c>
      <c r="B1778" s="105" t="s">
        <v>407</v>
      </c>
      <c r="C1778" s="8" t="s">
        <v>217</v>
      </c>
      <c r="D1778" s="1" t="s">
        <v>215</v>
      </c>
      <c r="E1778" s="104">
        <v>200</v>
      </c>
      <c r="F1778" s="7">
        <f>F1779</f>
        <v>50</v>
      </c>
      <c r="G1778" s="7">
        <f>G1779</f>
        <v>0</v>
      </c>
      <c r="H1778" s="35">
        <f t="shared" si="388"/>
        <v>50</v>
      </c>
      <c r="I1778" s="7">
        <f>I1779</f>
        <v>0</v>
      </c>
      <c r="J1778" s="35">
        <f t="shared" si="386"/>
        <v>50</v>
      </c>
      <c r="K1778" s="7">
        <f>K1779</f>
        <v>0</v>
      </c>
      <c r="L1778" s="35">
        <f t="shared" si="382"/>
        <v>50</v>
      </c>
      <c r="M1778" s="7">
        <f>M1779</f>
        <v>0</v>
      </c>
      <c r="N1778" s="35">
        <f t="shared" si="391"/>
        <v>50</v>
      </c>
      <c r="O1778" s="7">
        <f>O1779</f>
        <v>0</v>
      </c>
      <c r="P1778" s="35">
        <f t="shared" si="387"/>
        <v>50</v>
      </c>
      <c r="Q1778" s="7">
        <f>Q1779</f>
        <v>0</v>
      </c>
      <c r="R1778" s="35">
        <f t="shared" si="385"/>
        <v>50</v>
      </c>
      <c r="S1778" s="7">
        <f>S1779</f>
        <v>-50</v>
      </c>
      <c r="T1778" s="35">
        <f t="shared" si="392"/>
        <v>0</v>
      </c>
    </row>
    <row r="1779" spans="1:20" ht="33">
      <c r="A1779" s="61" t="str">
        <f ca="1">IF(ISERROR(MATCH(E1779,Код_КВР,0)),"",INDIRECT(ADDRESS(MATCH(E1779,Код_КВР,0)+1,2,,,"КВР")))</f>
        <v>Иные закупки товаров, работ и услуг для обеспечения муниципальных нужд</v>
      </c>
      <c r="B1779" s="105" t="s">
        <v>407</v>
      </c>
      <c r="C1779" s="8" t="s">
        <v>217</v>
      </c>
      <c r="D1779" s="1" t="s">
        <v>215</v>
      </c>
      <c r="E1779" s="104">
        <v>240</v>
      </c>
      <c r="F1779" s="7">
        <f>F1780</f>
        <v>50</v>
      </c>
      <c r="G1779" s="7">
        <f>G1780</f>
        <v>0</v>
      </c>
      <c r="H1779" s="35">
        <f t="shared" si="388"/>
        <v>50</v>
      </c>
      <c r="I1779" s="7">
        <f>I1780</f>
        <v>0</v>
      </c>
      <c r="J1779" s="35">
        <f t="shared" si="386"/>
        <v>50</v>
      </c>
      <c r="K1779" s="7">
        <f>K1780</f>
        <v>0</v>
      </c>
      <c r="L1779" s="35">
        <f t="shared" si="382"/>
        <v>50</v>
      </c>
      <c r="M1779" s="7">
        <f>M1780</f>
        <v>0</v>
      </c>
      <c r="N1779" s="35">
        <f t="shared" si="391"/>
        <v>50</v>
      </c>
      <c r="O1779" s="7">
        <f>O1780</f>
        <v>0</v>
      </c>
      <c r="P1779" s="35">
        <f t="shared" si="387"/>
        <v>50</v>
      </c>
      <c r="Q1779" s="7">
        <f>Q1780</f>
        <v>0</v>
      </c>
      <c r="R1779" s="35">
        <f t="shared" si="385"/>
        <v>50</v>
      </c>
      <c r="S1779" s="7">
        <f>S1780</f>
        <v>-50</v>
      </c>
      <c r="T1779" s="35">
        <f t="shared" si="392"/>
        <v>0</v>
      </c>
    </row>
    <row r="1780" spans="1:20" ht="33">
      <c r="A1780" s="61" t="str">
        <f ca="1">IF(ISERROR(MATCH(E1780,Код_КВР,0)),"",INDIRECT(ADDRESS(MATCH(E1780,Код_КВР,0)+1,2,,,"КВР")))</f>
        <v xml:space="preserve">Прочая закупка товаров, работ и услуг для обеспечения муниципальных нужд         </v>
      </c>
      <c r="B1780" s="105" t="s">
        <v>407</v>
      </c>
      <c r="C1780" s="8" t="s">
        <v>217</v>
      </c>
      <c r="D1780" s="1" t="s">
        <v>215</v>
      </c>
      <c r="E1780" s="104">
        <v>244</v>
      </c>
      <c r="F1780" s="7">
        <f>прил.6!G1723</f>
        <v>50</v>
      </c>
      <c r="G1780" s="7">
        <f>прил.6!H1723</f>
        <v>0</v>
      </c>
      <c r="H1780" s="35">
        <f t="shared" si="388"/>
        <v>50</v>
      </c>
      <c r="I1780" s="7">
        <f>прил.6!J1723</f>
        <v>0</v>
      </c>
      <c r="J1780" s="35">
        <f t="shared" si="386"/>
        <v>50</v>
      </c>
      <c r="K1780" s="7">
        <f>прил.6!L1723</f>
        <v>0</v>
      </c>
      <c r="L1780" s="35">
        <f t="shared" si="382"/>
        <v>50</v>
      </c>
      <c r="M1780" s="7">
        <f>прил.6!N1723</f>
        <v>0</v>
      </c>
      <c r="N1780" s="35">
        <f t="shared" si="391"/>
        <v>50</v>
      </c>
      <c r="O1780" s="7">
        <f>прил.6!P1723</f>
        <v>0</v>
      </c>
      <c r="P1780" s="35">
        <f t="shared" si="387"/>
        <v>50</v>
      </c>
      <c r="Q1780" s="7">
        <f>прил.6!R1723</f>
        <v>0</v>
      </c>
      <c r="R1780" s="35">
        <f t="shared" si="385"/>
        <v>50</v>
      </c>
      <c r="S1780" s="7">
        <f>прил.6!T1723</f>
        <v>-50</v>
      </c>
      <c r="T1780" s="35">
        <f t="shared" si="392"/>
        <v>0</v>
      </c>
    </row>
    <row r="1781" spans="1:20" ht="102.75" customHeight="1">
      <c r="A1781" s="61" t="str">
        <f ca="1">IF(ISERROR(MATCH(B1781,Код_КЦСР,0)),"",INDIRECT(ADDRESS(MATCH(B1781,Код_КЦСР,0)+1,2,,,"КЦСР")))</f>
        <v>Осуществление отдельных государственных полномочий в соответствии с законом области от 1 февраля 2013 года № 2985-ОЗ «О наделении органов местного самоуправления отдельными государственными полномочиями по обеспечению жилыми помещениями детей-сирот и детей, оставшихся без попечения родителей» за счет субвенций из областного бюджета</v>
      </c>
      <c r="B1781" s="105" t="s">
        <v>380</v>
      </c>
      <c r="C1781" s="8"/>
      <c r="D1781" s="1"/>
      <c r="E1781" s="104"/>
      <c r="F1781" s="7">
        <f t="shared" ref="F1781:S1784" si="393">F1782</f>
        <v>341.6</v>
      </c>
      <c r="G1781" s="7">
        <f t="shared" si="393"/>
        <v>0</v>
      </c>
      <c r="H1781" s="35">
        <f t="shared" si="388"/>
        <v>341.6</v>
      </c>
      <c r="I1781" s="7">
        <f t="shared" si="393"/>
        <v>0</v>
      </c>
      <c r="J1781" s="35">
        <f t="shared" si="386"/>
        <v>341.6</v>
      </c>
      <c r="K1781" s="7">
        <f t="shared" si="393"/>
        <v>0</v>
      </c>
      <c r="L1781" s="35">
        <f t="shared" si="382"/>
        <v>341.6</v>
      </c>
      <c r="M1781" s="7">
        <f t="shared" si="393"/>
        <v>0</v>
      </c>
      <c r="N1781" s="35">
        <f t="shared" si="391"/>
        <v>341.6</v>
      </c>
      <c r="O1781" s="7">
        <f t="shared" si="393"/>
        <v>0</v>
      </c>
      <c r="P1781" s="35">
        <f t="shared" si="387"/>
        <v>341.6</v>
      </c>
      <c r="Q1781" s="7">
        <f t="shared" si="393"/>
        <v>0</v>
      </c>
      <c r="R1781" s="35">
        <f t="shared" si="385"/>
        <v>341.6</v>
      </c>
      <c r="S1781" s="7">
        <f t="shared" si="393"/>
        <v>0</v>
      </c>
      <c r="T1781" s="35">
        <f t="shared" si="392"/>
        <v>341.6</v>
      </c>
    </row>
    <row r="1782" spans="1:20">
      <c r="A1782" s="61" t="str">
        <f ca="1">IF(ISERROR(MATCH(C1782,Код_Раздел,0)),"",INDIRECT(ADDRESS(MATCH(C1782,Код_Раздел,0)+1,2,,,"Раздел")))</f>
        <v>Общегосударственные  вопросы</v>
      </c>
      <c r="B1782" s="105" t="s">
        <v>380</v>
      </c>
      <c r="C1782" s="8" t="s">
        <v>213</v>
      </c>
      <c r="D1782" s="1"/>
      <c r="E1782" s="104"/>
      <c r="F1782" s="7">
        <f t="shared" si="393"/>
        <v>341.6</v>
      </c>
      <c r="G1782" s="7">
        <f t="shared" si="393"/>
        <v>0</v>
      </c>
      <c r="H1782" s="35">
        <f t="shared" si="388"/>
        <v>341.6</v>
      </c>
      <c r="I1782" s="7">
        <f t="shared" si="393"/>
        <v>0</v>
      </c>
      <c r="J1782" s="35">
        <f t="shared" si="386"/>
        <v>341.6</v>
      </c>
      <c r="K1782" s="7">
        <f t="shared" si="393"/>
        <v>0</v>
      </c>
      <c r="L1782" s="35">
        <f t="shared" si="382"/>
        <v>341.6</v>
      </c>
      <c r="M1782" s="7">
        <f t="shared" si="393"/>
        <v>0</v>
      </c>
      <c r="N1782" s="35">
        <f t="shared" si="391"/>
        <v>341.6</v>
      </c>
      <c r="O1782" s="7">
        <f t="shared" si="393"/>
        <v>0</v>
      </c>
      <c r="P1782" s="35">
        <f t="shared" si="387"/>
        <v>341.6</v>
      </c>
      <c r="Q1782" s="7">
        <f t="shared" si="393"/>
        <v>0</v>
      </c>
      <c r="R1782" s="35">
        <f t="shared" si="385"/>
        <v>341.6</v>
      </c>
      <c r="S1782" s="7">
        <f t="shared" si="393"/>
        <v>0</v>
      </c>
      <c r="T1782" s="35">
        <f t="shared" si="392"/>
        <v>341.6</v>
      </c>
    </row>
    <row r="1783" spans="1:20" ht="57" customHeight="1">
      <c r="A1783" s="76" t="s">
        <v>235</v>
      </c>
      <c r="B1783" s="105" t="s">
        <v>380</v>
      </c>
      <c r="C1783" s="8" t="s">
        <v>213</v>
      </c>
      <c r="D1783" s="1" t="s">
        <v>216</v>
      </c>
      <c r="E1783" s="104"/>
      <c r="F1783" s="7">
        <f t="shared" si="393"/>
        <v>341.6</v>
      </c>
      <c r="G1783" s="7">
        <f t="shared" si="393"/>
        <v>0</v>
      </c>
      <c r="H1783" s="35">
        <f t="shared" si="388"/>
        <v>341.6</v>
      </c>
      <c r="I1783" s="7">
        <f t="shared" si="393"/>
        <v>0</v>
      </c>
      <c r="J1783" s="35">
        <f t="shared" si="386"/>
        <v>341.6</v>
      </c>
      <c r="K1783" s="7">
        <f t="shared" si="393"/>
        <v>0</v>
      </c>
      <c r="L1783" s="35">
        <f t="shared" si="382"/>
        <v>341.6</v>
      </c>
      <c r="M1783" s="7">
        <f t="shared" si="393"/>
        <v>0</v>
      </c>
      <c r="N1783" s="35">
        <f t="shared" si="391"/>
        <v>341.6</v>
      </c>
      <c r="O1783" s="7">
        <f t="shared" si="393"/>
        <v>0</v>
      </c>
      <c r="P1783" s="35">
        <f t="shared" si="387"/>
        <v>341.6</v>
      </c>
      <c r="Q1783" s="7">
        <f t="shared" si="393"/>
        <v>0</v>
      </c>
      <c r="R1783" s="35">
        <f t="shared" si="385"/>
        <v>341.6</v>
      </c>
      <c r="S1783" s="7">
        <f t="shared" si="393"/>
        <v>0</v>
      </c>
      <c r="T1783" s="35">
        <f t="shared" si="392"/>
        <v>341.6</v>
      </c>
    </row>
    <row r="1784" spans="1:20" ht="36.75" customHeight="1">
      <c r="A1784" s="61" t="str">
        <f ca="1">IF(ISERROR(MATCH(E1784,Код_КВР,0)),"",INDIRECT(ADDRESS(MATCH(E1784,Код_КВР,0)+1,2,,,"КВР")))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84" s="105" t="s">
        <v>380</v>
      </c>
      <c r="C1784" s="8" t="s">
        <v>213</v>
      </c>
      <c r="D1784" s="1" t="s">
        <v>216</v>
      </c>
      <c r="E1784" s="104">
        <v>100</v>
      </c>
      <c r="F1784" s="7">
        <f t="shared" si="393"/>
        <v>341.6</v>
      </c>
      <c r="G1784" s="7">
        <f t="shared" si="393"/>
        <v>0</v>
      </c>
      <c r="H1784" s="35">
        <f t="shared" si="388"/>
        <v>341.6</v>
      </c>
      <c r="I1784" s="7">
        <f t="shared" si="393"/>
        <v>0</v>
      </c>
      <c r="J1784" s="35">
        <f t="shared" si="386"/>
        <v>341.6</v>
      </c>
      <c r="K1784" s="7">
        <f t="shared" si="393"/>
        <v>0</v>
      </c>
      <c r="L1784" s="35">
        <f t="shared" si="382"/>
        <v>341.6</v>
      </c>
      <c r="M1784" s="7">
        <f t="shared" si="393"/>
        <v>0</v>
      </c>
      <c r="N1784" s="35">
        <f t="shared" si="391"/>
        <v>341.6</v>
      </c>
      <c r="O1784" s="7">
        <f t="shared" si="393"/>
        <v>0</v>
      </c>
      <c r="P1784" s="35">
        <f t="shared" si="387"/>
        <v>341.6</v>
      </c>
      <c r="Q1784" s="7">
        <f t="shared" si="393"/>
        <v>0</v>
      </c>
      <c r="R1784" s="35">
        <f t="shared" si="385"/>
        <v>341.6</v>
      </c>
      <c r="S1784" s="7">
        <f t="shared" si="393"/>
        <v>0</v>
      </c>
      <c r="T1784" s="35">
        <f t="shared" si="392"/>
        <v>341.6</v>
      </c>
    </row>
    <row r="1785" spans="1:20">
      <c r="A1785" s="61" t="str">
        <f ca="1">IF(ISERROR(MATCH(E1785,Код_КВР,0)),"",INDIRECT(ADDRESS(MATCH(E1785,Код_КВР,0)+1,2,,,"КВР")))</f>
        <v>Расходы на выплаты персоналу муниципальных органов</v>
      </c>
      <c r="B1785" s="105" t="s">
        <v>380</v>
      </c>
      <c r="C1785" s="8" t="s">
        <v>213</v>
      </c>
      <c r="D1785" s="1" t="s">
        <v>216</v>
      </c>
      <c r="E1785" s="104">
        <v>120</v>
      </c>
      <c r="F1785" s="7">
        <f>прил.6!G64</f>
        <v>341.6</v>
      </c>
      <c r="G1785" s="7">
        <f>прил.6!H64</f>
        <v>0</v>
      </c>
      <c r="H1785" s="35">
        <f t="shared" si="388"/>
        <v>341.6</v>
      </c>
      <c r="I1785" s="7">
        <f>прил.6!J64</f>
        <v>0</v>
      </c>
      <c r="J1785" s="35">
        <f t="shared" si="386"/>
        <v>341.6</v>
      </c>
      <c r="K1785" s="7">
        <f>прил.6!L64</f>
        <v>0</v>
      </c>
      <c r="L1785" s="35">
        <f t="shared" si="382"/>
        <v>341.6</v>
      </c>
      <c r="M1785" s="7">
        <f>прил.6!N64</f>
        <v>0</v>
      </c>
      <c r="N1785" s="35">
        <f t="shared" si="391"/>
        <v>341.6</v>
      </c>
      <c r="O1785" s="7">
        <f>прил.6!P64</f>
        <v>0</v>
      </c>
      <c r="P1785" s="35">
        <f t="shared" si="387"/>
        <v>341.6</v>
      </c>
      <c r="Q1785" s="7">
        <f>прил.6!R64</f>
        <v>0</v>
      </c>
      <c r="R1785" s="35">
        <f t="shared" si="385"/>
        <v>341.6</v>
      </c>
      <c r="S1785" s="7">
        <f>прил.6!T64</f>
        <v>0</v>
      </c>
      <c r="T1785" s="35">
        <f t="shared" si="392"/>
        <v>341.6</v>
      </c>
    </row>
    <row r="1786" spans="1:20" ht="109.5" customHeight="1">
      <c r="A1786" s="61" t="str">
        <f ca="1">IF(ISERROR(MATCH(B1786,Код_КЦСР,0)),"",INDIRECT(ADDRESS(MATCH(B1786,Код_КЦСР,0)+1,2,,,"КЦСР")))</f>
        <v>Осуществление отдельных государственных полномочий в соответствии с законом области от 5 октября 2006 года № 1501-ОЗ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регулирования цен (тарифов)» за счет субвенций из областного бюджета</v>
      </c>
      <c r="B1786" s="105" t="s">
        <v>392</v>
      </c>
      <c r="C1786" s="8"/>
      <c r="D1786" s="1"/>
      <c r="E1786" s="104"/>
      <c r="F1786" s="7">
        <f t="shared" ref="F1786:S1789" si="394">F1787</f>
        <v>247.7</v>
      </c>
      <c r="G1786" s="7">
        <f t="shared" si="394"/>
        <v>0</v>
      </c>
      <c r="H1786" s="35">
        <f t="shared" si="388"/>
        <v>247.7</v>
      </c>
      <c r="I1786" s="7">
        <f t="shared" si="394"/>
        <v>0</v>
      </c>
      <c r="J1786" s="35">
        <f t="shared" si="386"/>
        <v>247.7</v>
      </c>
      <c r="K1786" s="7">
        <f t="shared" si="394"/>
        <v>0</v>
      </c>
      <c r="L1786" s="35">
        <f t="shared" si="382"/>
        <v>247.7</v>
      </c>
      <c r="M1786" s="7">
        <f t="shared" si="394"/>
        <v>0</v>
      </c>
      <c r="N1786" s="35">
        <f t="shared" si="391"/>
        <v>247.7</v>
      </c>
      <c r="O1786" s="7">
        <f t="shared" si="394"/>
        <v>0</v>
      </c>
      <c r="P1786" s="35">
        <f t="shared" si="387"/>
        <v>247.7</v>
      </c>
      <c r="Q1786" s="7">
        <f t="shared" si="394"/>
        <v>0</v>
      </c>
      <c r="R1786" s="35">
        <f t="shared" si="385"/>
        <v>247.7</v>
      </c>
      <c r="S1786" s="7">
        <f t="shared" si="394"/>
        <v>0</v>
      </c>
      <c r="T1786" s="35">
        <f t="shared" si="392"/>
        <v>247.7</v>
      </c>
    </row>
    <row r="1787" spans="1:20">
      <c r="A1787" s="61" t="str">
        <f ca="1">IF(ISERROR(MATCH(C1787,Код_Раздел,0)),"",INDIRECT(ADDRESS(MATCH(C1787,Код_Раздел,0)+1,2,,,"Раздел")))</f>
        <v>Общегосударственные  вопросы</v>
      </c>
      <c r="B1787" s="105" t="s">
        <v>392</v>
      </c>
      <c r="C1787" s="8" t="s">
        <v>213</v>
      </c>
      <c r="D1787" s="1"/>
      <c r="E1787" s="104"/>
      <c r="F1787" s="7">
        <f t="shared" si="394"/>
        <v>247.7</v>
      </c>
      <c r="G1787" s="7">
        <f t="shared" si="394"/>
        <v>0</v>
      </c>
      <c r="H1787" s="35">
        <f t="shared" si="388"/>
        <v>247.7</v>
      </c>
      <c r="I1787" s="7">
        <f t="shared" si="394"/>
        <v>0</v>
      </c>
      <c r="J1787" s="35">
        <f t="shared" si="386"/>
        <v>247.7</v>
      </c>
      <c r="K1787" s="7">
        <f t="shared" si="394"/>
        <v>0</v>
      </c>
      <c r="L1787" s="35">
        <f t="shared" si="382"/>
        <v>247.7</v>
      </c>
      <c r="M1787" s="7">
        <f t="shared" si="394"/>
        <v>0</v>
      </c>
      <c r="N1787" s="35">
        <f t="shared" si="391"/>
        <v>247.7</v>
      </c>
      <c r="O1787" s="7">
        <f t="shared" si="394"/>
        <v>0</v>
      </c>
      <c r="P1787" s="35">
        <f t="shared" si="387"/>
        <v>247.7</v>
      </c>
      <c r="Q1787" s="7">
        <f t="shared" si="394"/>
        <v>0</v>
      </c>
      <c r="R1787" s="35">
        <f t="shared" si="385"/>
        <v>247.7</v>
      </c>
      <c r="S1787" s="7">
        <f t="shared" si="394"/>
        <v>0</v>
      </c>
      <c r="T1787" s="35">
        <f t="shared" si="392"/>
        <v>247.7</v>
      </c>
    </row>
    <row r="1788" spans="1:20" ht="33">
      <c r="A1788" s="12" t="s">
        <v>165</v>
      </c>
      <c r="B1788" s="105" t="s">
        <v>392</v>
      </c>
      <c r="C1788" s="8" t="s">
        <v>213</v>
      </c>
      <c r="D1788" s="1" t="s">
        <v>217</v>
      </c>
      <c r="E1788" s="104"/>
      <c r="F1788" s="7">
        <f t="shared" si="394"/>
        <v>247.7</v>
      </c>
      <c r="G1788" s="7">
        <f t="shared" si="394"/>
        <v>0</v>
      </c>
      <c r="H1788" s="35">
        <f t="shared" si="388"/>
        <v>247.7</v>
      </c>
      <c r="I1788" s="7">
        <f t="shared" si="394"/>
        <v>0</v>
      </c>
      <c r="J1788" s="35">
        <f t="shared" si="386"/>
        <v>247.7</v>
      </c>
      <c r="K1788" s="7">
        <f t="shared" si="394"/>
        <v>0</v>
      </c>
      <c r="L1788" s="35">
        <f t="shared" si="382"/>
        <v>247.7</v>
      </c>
      <c r="M1788" s="7">
        <f t="shared" si="394"/>
        <v>0</v>
      </c>
      <c r="N1788" s="35">
        <f t="shared" si="391"/>
        <v>247.7</v>
      </c>
      <c r="O1788" s="7">
        <f t="shared" si="394"/>
        <v>0</v>
      </c>
      <c r="P1788" s="35">
        <f t="shared" si="387"/>
        <v>247.7</v>
      </c>
      <c r="Q1788" s="7">
        <f t="shared" si="394"/>
        <v>0</v>
      </c>
      <c r="R1788" s="35">
        <f t="shared" si="385"/>
        <v>247.7</v>
      </c>
      <c r="S1788" s="7">
        <f t="shared" si="394"/>
        <v>0</v>
      </c>
      <c r="T1788" s="35">
        <f t="shared" si="392"/>
        <v>247.7</v>
      </c>
    </row>
    <row r="1789" spans="1:20" ht="33">
      <c r="A1789" s="61" t="str">
        <f ca="1">IF(ISERROR(MATCH(E1789,Код_КВР,0)),"",INDIRECT(ADDRESS(MATCH(E1789,Код_КВР,0)+1,2,,,"КВР")))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89" s="105" t="s">
        <v>392</v>
      </c>
      <c r="C1789" s="8" t="s">
        <v>213</v>
      </c>
      <c r="D1789" s="1" t="s">
        <v>217</v>
      </c>
      <c r="E1789" s="104">
        <v>100</v>
      </c>
      <c r="F1789" s="7">
        <f t="shared" si="394"/>
        <v>247.7</v>
      </c>
      <c r="G1789" s="7">
        <f t="shared" si="394"/>
        <v>0</v>
      </c>
      <c r="H1789" s="35">
        <f t="shared" si="388"/>
        <v>247.7</v>
      </c>
      <c r="I1789" s="7">
        <f t="shared" si="394"/>
        <v>0</v>
      </c>
      <c r="J1789" s="35">
        <f t="shared" si="386"/>
        <v>247.7</v>
      </c>
      <c r="K1789" s="7">
        <f t="shared" si="394"/>
        <v>0</v>
      </c>
      <c r="L1789" s="35">
        <f t="shared" si="382"/>
        <v>247.7</v>
      </c>
      <c r="M1789" s="7">
        <f t="shared" si="394"/>
        <v>0</v>
      </c>
      <c r="N1789" s="35">
        <f t="shared" si="391"/>
        <v>247.7</v>
      </c>
      <c r="O1789" s="7">
        <f t="shared" si="394"/>
        <v>0</v>
      </c>
      <c r="P1789" s="35">
        <f t="shared" si="387"/>
        <v>247.7</v>
      </c>
      <c r="Q1789" s="7">
        <f t="shared" si="394"/>
        <v>0</v>
      </c>
      <c r="R1789" s="35">
        <f t="shared" si="385"/>
        <v>247.7</v>
      </c>
      <c r="S1789" s="7">
        <f t="shared" si="394"/>
        <v>0</v>
      </c>
      <c r="T1789" s="35">
        <f t="shared" si="392"/>
        <v>247.7</v>
      </c>
    </row>
    <row r="1790" spans="1:20">
      <c r="A1790" s="61" t="str">
        <f ca="1">IF(ISERROR(MATCH(E1790,Код_КВР,0)),"",INDIRECT(ADDRESS(MATCH(E1790,Код_КВР,0)+1,2,,,"КВР")))</f>
        <v>Расходы на выплаты персоналу муниципальных органов</v>
      </c>
      <c r="B1790" s="105" t="s">
        <v>392</v>
      </c>
      <c r="C1790" s="8" t="s">
        <v>213</v>
      </c>
      <c r="D1790" s="1" t="s">
        <v>217</v>
      </c>
      <c r="E1790" s="104">
        <v>120</v>
      </c>
      <c r="F1790" s="7">
        <f>прил.6!G876</f>
        <v>247.7</v>
      </c>
      <c r="G1790" s="7">
        <f>прил.6!H876</f>
        <v>0</v>
      </c>
      <c r="H1790" s="35">
        <f t="shared" si="388"/>
        <v>247.7</v>
      </c>
      <c r="I1790" s="7">
        <f>прил.6!J876</f>
        <v>0</v>
      </c>
      <c r="J1790" s="35">
        <f t="shared" si="386"/>
        <v>247.7</v>
      </c>
      <c r="K1790" s="7">
        <f>прил.6!L876</f>
        <v>0</v>
      </c>
      <c r="L1790" s="35">
        <f t="shared" si="382"/>
        <v>247.7</v>
      </c>
      <c r="M1790" s="7">
        <f>прил.6!N876</f>
        <v>0</v>
      </c>
      <c r="N1790" s="35">
        <f t="shared" si="391"/>
        <v>247.7</v>
      </c>
      <c r="O1790" s="7">
        <f>прил.6!P876</f>
        <v>0</v>
      </c>
      <c r="P1790" s="35">
        <f t="shared" si="387"/>
        <v>247.7</v>
      </c>
      <c r="Q1790" s="7">
        <f>прил.6!R876</f>
        <v>0</v>
      </c>
      <c r="R1790" s="35">
        <f t="shared" si="385"/>
        <v>247.7</v>
      </c>
      <c r="S1790" s="7">
        <f>прил.6!T876</f>
        <v>0</v>
      </c>
      <c r="T1790" s="35">
        <f t="shared" si="392"/>
        <v>247.7</v>
      </c>
    </row>
    <row r="1791" spans="1:20" ht="156.75" customHeight="1">
      <c r="A1791" s="61" t="str">
        <f ca="1">IF(ISERROR(MATCH(B1791,Код_КЦСР,0)),"",INDIRECT(ADDRESS(MATCH(B1791,Код_КЦСР,0)+1,2,,,"КЦСР")))</f>
        <v>Осуществление отдельных государственных полномочий по защите прав граждан-участников долевого строительства в соответствии с законом области от 6 мая 2013 года № 3033-ОЗ «О наделении органов местного самоуправления отдельными государственными полномочиями по защите прав граждан-участников долевого строительства  многоквартирных домов, перед которыми застройщиками не исполнены обязательства по передаче им жилых помещений, на территории Вологодской области» за счет субвенций из областного бюджета</v>
      </c>
      <c r="B1791" s="105" t="s">
        <v>421</v>
      </c>
      <c r="C1791" s="8"/>
      <c r="D1791" s="1"/>
      <c r="E1791" s="104"/>
      <c r="F1791" s="7">
        <f t="shared" ref="F1791:S1796" si="395">F1792</f>
        <v>112.3</v>
      </c>
      <c r="G1791" s="7">
        <f t="shared" si="395"/>
        <v>0</v>
      </c>
      <c r="H1791" s="35">
        <f t="shared" si="388"/>
        <v>112.3</v>
      </c>
      <c r="I1791" s="7">
        <f t="shared" si="395"/>
        <v>0</v>
      </c>
      <c r="J1791" s="35">
        <f t="shared" si="386"/>
        <v>112.3</v>
      </c>
      <c r="K1791" s="7">
        <f t="shared" si="395"/>
        <v>0</v>
      </c>
      <c r="L1791" s="35">
        <f t="shared" si="382"/>
        <v>112.3</v>
      </c>
      <c r="M1791" s="7">
        <f t="shared" si="395"/>
        <v>0</v>
      </c>
      <c r="N1791" s="35">
        <f t="shared" si="391"/>
        <v>112.3</v>
      </c>
      <c r="O1791" s="7">
        <f t="shared" si="395"/>
        <v>0</v>
      </c>
      <c r="P1791" s="35">
        <f t="shared" si="387"/>
        <v>112.3</v>
      </c>
      <c r="Q1791" s="7">
        <f t="shared" si="395"/>
        <v>0</v>
      </c>
      <c r="R1791" s="35">
        <f t="shared" si="385"/>
        <v>112.3</v>
      </c>
      <c r="S1791" s="7">
        <f t="shared" si="395"/>
        <v>-91.4</v>
      </c>
      <c r="T1791" s="35">
        <f t="shared" si="392"/>
        <v>20.899999999999991</v>
      </c>
    </row>
    <row r="1792" spans="1:20">
      <c r="A1792" s="61" t="str">
        <f ca="1">IF(ISERROR(MATCH(C1792,Код_Раздел,0)),"",INDIRECT(ADDRESS(MATCH(C1792,Код_Раздел,0)+1,2,,,"Раздел")))</f>
        <v>Национальная экономика</v>
      </c>
      <c r="B1792" s="105" t="s">
        <v>421</v>
      </c>
      <c r="C1792" s="8" t="s">
        <v>216</v>
      </c>
      <c r="D1792" s="1"/>
      <c r="E1792" s="104"/>
      <c r="F1792" s="7">
        <f t="shared" si="395"/>
        <v>112.3</v>
      </c>
      <c r="G1792" s="7">
        <f t="shared" si="395"/>
        <v>0</v>
      </c>
      <c r="H1792" s="35">
        <f t="shared" si="388"/>
        <v>112.3</v>
      </c>
      <c r="I1792" s="7">
        <f t="shared" si="395"/>
        <v>0</v>
      </c>
      <c r="J1792" s="35">
        <f t="shared" si="386"/>
        <v>112.3</v>
      </c>
      <c r="K1792" s="7">
        <f t="shared" si="395"/>
        <v>0</v>
      </c>
      <c r="L1792" s="35">
        <f t="shared" si="382"/>
        <v>112.3</v>
      </c>
      <c r="M1792" s="7">
        <f t="shared" si="395"/>
        <v>0</v>
      </c>
      <c r="N1792" s="35">
        <f t="shared" si="391"/>
        <v>112.3</v>
      </c>
      <c r="O1792" s="7">
        <f t="shared" si="395"/>
        <v>0</v>
      </c>
      <c r="P1792" s="35">
        <f t="shared" si="387"/>
        <v>112.3</v>
      </c>
      <c r="Q1792" s="7">
        <f t="shared" si="395"/>
        <v>0</v>
      </c>
      <c r="R1792" s="35">
        <f t="shared" si="385"/>
        <v>112.3</v>
      </c>
      <c r="S1792" s="7">
        <f t="shared" si="395"/>
        <v>-91.4</v>
      </c>
      <c r="T1792" s="35">
        <f t="shared" si="392"/>
        <v>20.899999999999991</v>
      </c>
    </row>
    <row r="1793" spans="1:20">
      <c r="A1793" s="12" t="s">
        <v>223</v>
      </c>
      <c r="B1793" s="105" t="s">
        <v>421</v>
      </c>
      <c r="C1793" s="8" t="s">
        <v>216</v>
      </c>
      <c r="D1793" s="1" t="s">
        <v>196</v>
      </c>
      <c r="E1793" s="104"/>
      <c r="F1793" s="7">
        <f t="shared" si="395"/>
        <v>112.3</v>
      </c>
      <c r="G1793" s="7">
        <f t="shared" si="395"/>
        <v>0</v>
      </c>
      <c r="H1793" s="35">
        <f t="shared" si="388"/>
        <v>112.3</v>
      </c>
      <c r="I1793" s="7">
        <f t="shared" si="395"/>
        <v>0</v>
      </c>
      <c r="J1793" s="35">
        <f t="shared" si="386"/>
        <v>112.3</v>
      </c>
      <c r="K1793" s="7">
        <f t="shared" si="395"/>
        <v>0</v>
      </c>
      <c r="L1793" s="35">
        <f t="shared" si="382"/>
        <v>112.3</v>
      </c>
      <c r="M1793" s="7">
        <f t="shared" si="395"/>
        <v>0</v>
      </c>
      <c r="N1793" s="35">
        <f t="shared" si="391"/>
        <v>112.3</v>
      </c>
      <c r="O1793" s="7">
        <f t="shared" si="395"/>
        <v>0</v>
      </c>
      <c r="P1793" s="35">
        <f t="shared" si="387"/>
        <v>112.3</v>
      </c>
      <c r="Q1793" s="7">
        <f t="shared" si="395"/>
        <v>0</v>
      </c>
      <c r="R1793" s="35">
        <f t="shared" si="385"/>
        <v>112.3</v>
      </c>
      <c r="S1793" s="7">
        <f t="shared" si="395"/>
        <v>-91.4</v>
      </c>
      <c r="T1793" s="35">
        <f t="shared" si="392"/>
        <v>20.899999999999991</v>
      </c>
    </row>
    <row r="1794" spans="1:20" ht="33">
      <c r="A1794" s="61" t="str">
        <f ca="1">IF(ISERROR(MATCH(E1794,Код_КВР,0)),"",INDIRECT(ADDRESS(MATCH(E1794,Код_КВР,0)+1,2,,,"КВР")))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94" s="105" t="s">
        <v>421</v>
      </c>
      <c r="C1794" s="8" t="s">
        <v>216</v>
      </c>
      <c r="D1794" s="1" t="s">
        <v>196</v>
      </c>
      <c r="E1794" s="104">
        <v>100</v>
      </c>
      <c r="F1794" s="7">
        <f t="shared" si="395"/>
        <v>112.3</v>
      </c>
      <c r="G1794" s="7">
        <f t="shared" si="395"/>
        <v>0</v>
      </c>
      <c r="H1794" s="35">
        <f t="shared" si="388"/>
        <v>112.3</v>
      </c>
      <c r="I1794" s="7">
        <f t="shared" si="395"/>
        <v>0</v>
      </c>
      <c r="J1794" s="35">
        <f t="shared" si="386"/>
        <v>112.3</v>
      </c>
      <c r="K1794" s="7">
        <f t="shared" si="395"/>
        <v>0</v>
      </c>
      <c r="L1794" s="35">
        <f t="shared" si="382"/>
        <v>112.3</v>
      </c>
      <c r="M1794" s="7">
        <f t="shared" si="395"/>
        <v>0</v>
      </c>
      <c r="N1794" s="35">
        <f t="shared" si="391"/>
        <v>112.3</v>
      </c>
      <c r="O1794" s="7">
        <f t="shared" si="395"/>
        <v>0</v>
      </c>
      <c r="P1794" s="35">
        <f t="shared" si="387"/>
        <v>112.3</v>
      </c>
      <c r="Q1794" s="7">
        <f t="shared" si="395"/>
        <v>0</v>
      </c>
      <c r="R1794" s="35">
        <f t="shared" si="385"/>
        <v>112.3</v>
      </c>
      <c r="S1794" s="7">
        <f t="shared" si="395"/>
        <v>-91.4</v>
      </c>
      <c r="T1794" s="35">
        <f t="shared" si="392"/>
        <v>20.899999999999991</v>
      </c>
    </row>
    <row r="1795" spans="1:20">
      <c r="A1795" s="61" t="str">
        <f ca="1">IF(ISERROR(MATCH(E1795,Код_КВР,0)),"",INDIRECT(ADDRESS(MATCH(E1795,Код_КВР,0)+1,2,,,"КВР")))</f>
        <v>Расходы на выплаты персоналу муниципальных органов</v>
      </c>
      <c r="B1795" s="105" t="s">
        <v>421</v>
      </c>
      <c r="C1795" s="8" t="s">
        <v>216</v>
      </c>
      <c r="D1795" s="1" t="s">
        <v>196</v>
      </c>
      <c r="E1795" s="104">
        <v>120</v>
      </c>
      <c r="F1795" s="7">
        <f>прил.6!G1594</f>
        <v>112.3</v>
      </c>
      <c r="G1795" s="7">
        <f>прил.6!H1594</f>
        <v>0</v>
      </c>
      <c r="H1795" s="35">
        <f t="shared" si="388"/>
        <v>112.3</v>
      </c>
      <c r="I1795" s="7">
        <f>прил.6!J1594</f>
        <v>0</v>
      </c>
      <c r="J1795" s="35">
        <f t="shared" si="386"/>
        <v>112.3</v>
      </c>
      <c r="K1795" s="7">
        <f>прил.6!L1594</f>
        <v>0</v>
      </c>
      <c r="L1795" s="35">
        <f t="shared" si="382"/>
        <v>112.3</v>
      </c>
      <c r="M1795" s="7">
        <f>прил.6!N1594</f>
        <v>0</v>
      </c>
      <c r="N1795" s="35">
        <f t="shared" si="391"/>
        <v>112.3</v>
      </c>
      <c r="O1795" s="7">
        <f>прил.6!P1594</f>
        <v>0</v>
      </c>
      <c r="P1795" s="35">
        <f t="shared" si="387"/>
        <v>112.3</v>
      </c>
      <c r="Q1795" s="7">
        <f>прил.6!R1594</f>
        <v>0</v>
      </c>
      <c r="R1795" s="35">
        <f t="shared" si="385"/>
        <v>112.3</v>
      </c>
      <c r="S1795" s="7">
        <f>прил.6!T1594</f>
        <v>-91.4</v>
      </c>
      <c r="T1795" s="35">
        <f t="shared" si="392"/>
        <v>20.899999999999991</v>
      </c>
    </row>
    <row r="1796" spans="1:20" ht="59.25" customHeight="1">
      <c r="A1796" s="61" t="str">
        <f ca="1">IF(ISERROR(MATCH(B1796,Код_КЦСР,0)),"",INDIRECT(ADDRESS(MATCH(B1796,Код_КЦСР,0)+1,2,,,"КЦСР")))</f>
        <v xml:space="preserve">Поддержка общеобразовательных организаций, работающих в сложных социальных условиях за счет иных межбюджетных трансфертов из областного бюджета </v>
      </c>
      <c r="B1796" s="143" t="s">
        <v>708</v>
      </c>
      <c r="C1796" s="8"/>
      <c r="D1796" s="1"/>
      <c r="E1796" s="145"/>
      <c r="F1796" s="7"/>
      <c r="G1796" s="7"/>
      <c r="H1796" s="35"/>
      <c r="I1796" s="7"/>
      <c r="J1796" s="35"/>
      <c r="K1796" s="7"/>
      <c r="L1796" s="35"/>
      <c r="M1796" s="7"/>
      <c r="N1796" s="35"/>
      <c r="O1796" s="7"/>
      <c r="P1796" s="35"/>
      <c r="Q1796" s="7"/>
      <c r="R1796" s="35"/>
      <c r="S1796" s="7">
        <f t="shared" si="395"/>
        <v>750</v>
      </c>
      <c r="T1796" s="35">
        <f t="shared" si="392"/>
        <v>750</v>
      </c>
    </row>
    <row r="1797" spans="1:20">
      <c r="A1797" s="61" t="str">
        <f ca="1">IF(ISERROR(MATCH(C1797,Код_Раздел,0)),"",INDIRECT(ADDRESS(MATCH(C1797,Код_Раздел,0)+1,2,,,"Раздел")))</f>
        <v>Образование</v>
      </c>
      <c r="B1797" s="143" t="s">
        <v>708</v>
      </c>
      <c r="C1797" s="8" t="s">
        <v>195</v>
      </c>
      <c r="D1797" s="1" t="s">
        <v>214</v>
      </c>
      <c r="E1797" s="145"/>
      <c r="F1797" s="7"/>
      <c r="G1797" s="7"/>
      <c r="H1797" s="35"/>
      <c r="I1797" s="7"/>
      <c r="J1797" s="35"/>
      <c r="K1797" s="7"/>
      <c r="L1797" s="35"/>
      <c r="M1797" s="7"/>
      <c r="N1797" s="35"/>
      <c r="O1797" s="7"/>
      <c r="P1797" s="35"/>
      <c r="Q1797" s="7"/>
      <c r="R1797" s="35"/>
      <c r="S1797" s="7">
        <f>S1798</f>
        <v>750</v>
      </c>
      <c r="T1797" s="35">
        <f t="shared" si="392"/>
        <v>750</v>
      </c>
    </row>
    <row r="1798" spans="1:20">
      <c r="A1798" s="12" t="s">
        <v>250</v>
      </c>
      <c r="B1798" s="143" t="s">
        <v>708</v>
      </c>
      <c r="C1798" s="8" t="s">
        <v>195</v>
      </c>
      <c r="D1798" s="1" t="s">
        <v>214</v>
      </c>
      <c r="E1798" s="145">
        <v>600</v>
      </c>
      <c r="F1798" s="7"/>
      <c r="G1798" s="7"/>
      <c r="H1798" s="35"/>
      <c r="I1798" s="7"/>
      <c r="J1798" s="35"/>
      <c r="K1798" s="7"/>
      <c r="L1798" s="35"/>
      <c r="M1798" s="7"/>
      <c r="N1798" s="35"/>
      <c r="O1798" s="7"/>
      <c r="P1798" s="35"/>
      <c r="Q1798" s="7"/>
      <c r="R1798" s="35"/>
      <c r="S1798" s="7">
        <f>S1799</f>
        <v>750</v>
      </c>
      <c r="T1798" s="35">
        <f t="shared" si="392"/>
        <v>750</v>
      </c>
    </row>
    <row r="1799" spans="1:20">
      <c r="A1799" s="61" t="str">
        <f ca="1">IF(ISERROR(MATCH(E1799,Код_КВР,0)),"",INDIRECT(ADDRESS(MATCH(E1799,Код_КВР,0)+1,2,,,"КВР")))</f>
        <v>Субсидии бюджетным учреждениям</v>
      </c>
      <c r="B1799" s="143" t="s">
        <v>708</v>
      </c>
      <c r="C1799" s="8" t="s">
        <v>195</v>
      </c>
      <c r="D1799" s="1" t="s">
        <v>214</v>
      </c>
      <c r="E1799" s="145">
        <v>610</v>
      </c>
      <c r="F1799" s="7"/>
      <c r="G1799" s="7"/>
      <c r="H1799" s="35"/>
      <c r="I1799" s="7"/>
      <c r="J1799" s="35"/>
      <c r="K1799" s="7"/>
      <c r="L1799" s="35"/>
      <c r="M1799" s="7"/>
      <c r="N1799" s="35"/>
      <c r="O1799" s="7"/>
      <c r="P1799" s="35"/>
      <c r="Q1799" s="7"/>
      <c r="R1799" s="35"/>
      <c r="S1799" s="7">
        <f>S1800</f>
        <v>750</v>
      </c>
      <c r="T1799" s="35">
        <f t="shared" si="392"/>
        <v>750</v>
      </c>
    </row>
    <row r="1800" spans="1:20">
      <c r="A1800" s="61" t="str">
        <f ca="1">IF(ISERROR(MATCH(E1800,Код_КВР,0)),"",INDIRECT(ADDRESS(MATCH(E1800,Код_КВР,0)+1,2,,,"КВР")))</f>
        <v>Субсидии бюджетным учреждениям на иные цели</v>
      </c>
      <c r="B1800" s="143" t="s">
        <v>708</v>
      </c>
      <c r="C1800" s="8" t="s">
        <v>195</v>
      </c>
      <c r="D1800" s="1" t="s">
        <v>214</v>
      </c>
      <c r="E1800" s="145">
        <v>612</v>
      </c>
      <c r="F1800" s="7"/>
      <c r="G1800" s="7"/>
      <c r="H1800" s="35"/>
      <c r="I1800" s="7"/>
      <c r="J1800" s="35"/>
      <c r="K1800" s="7"/>
      <c r="L1800" s="35"/>
      <c r="M1800" s="7"/>
      <c r="N1800" s="35"/>
      <c r="O1800" s="7"/>
      <c r="P1800" s="35"/>
      <c r="Q1800" s="7"/>
      <c r="R1800" s="35"/>
      <c r="S1800" s="7">
        <f>прил.6!T690</f>
        <v>750</v>
      </c>
      <c r="T1800" s="35">
        <f t="shared" si="392"/>
        <v>750</v>
      </c>
    </row>
    <row r="1801" spans="1:20">
      <c r="A1801" s="61" t="str">
        <f ca="1">IF(ISERROR(MATCH(B1801,Код_КЦСР,0)),"",INDIRECT(ADDRESS(MATCH(B1801,Код_КЦСР,0)+1,2,,,"КЦСР")))</f>
        <v>Резервные фонды</v>
      </c>
      <c r="B1801" s="105" t="s">
        <v>442</v>
      </c>
      <c r="C1801" s="8"/>
      <c r="D1801" s="1"/>
      <c r="E1801" s="104"/>
      <c r="F1801" s="7">
        <f t="shared" ref="F1801:S1805" si="396">F1802</f>
        <v>69251.3</v>
      </c>
      <c r="G1801" s="7">
        <f t="shared" si="396"/>
        <v>-9691.9</v>
      </c>
      <c r="H1801" s="35">
        <f t="shared" si="388"/>
        <v>59559.4</v>
      </c>
      <c r="I1801" s="7">
        <f t="shared" si="396"/>
        <v>-630.1</v>
      </c>
      <c r="J1801" s="35">
        <f t="shared" si="386"/>
        <v>58929.3</v>
      </c>
      <c r="K1801" s="7">
        <f t="shared" si="396"/>
        <v>-42706.7</v>
      </c>
      <c r="L1801" s="35">
        <f t="shared" ref="L1801:L1812" si="397">J1801+K1801</f>
        <v>16222.600000000006</v>
      </c>
      <c r="M1801" s="7">
        <f t="shared" si="396"/>
        <v>-4163</v>
      </c>
      <c r="N1801" s="35">
        <f t="shared" si="391"/>
        <v>12059.600000000006</v>
      </c>
      <c r="O1801" s="7">
        <f t="shared" si="396"/>
        <v>0</v>
      </c>
      <c r="P1801" s="35">
        <f t="shared" si="387"/>
        <v>12059.600000000006</v>
      </c>
      <c r="Q1801" s="7">
        <f t="shared" si="396"/>
        <v>-310.09999999999991</v>
      </c>
      <c r="R1801" s="35">
        <f t="shared" si="385"/>
        <v>11749.500000000005</v>
      </c>
      <c r="S1801" s="7">
        <f t="shared" si="396"/>
        <v>0</v>
      </c>
      <c r="T1801" s="35">
        <f t="shared" si="392"/>
        <v>11749.500000000005</v>
      </c>
    </row>
    <row r="1802" spans="1:20">
      <c r="A1802" s="61" t="str">
        <f ca="1">IF(ISERROR(MATCH(B1802,Код_КЦСР,0)),"",INDIRECT(ADDRESS(MATCH(B1802,Код_КЦСР,0)+1,2,,,"КЦСР")))</f>
        <v>Резервные фонды мэрии города</v>
      </c>
      <c r="B1802" s="105" t="s">
        <v>443</v>
      </c>
      <c r="C1802" s="8"/>
      <c r="D1802" s="1"/>
      <c r="E1802" s="104"/>
      <c r="F1802" s="7">
        <f t="shared" si="396"/>
        <v>69251.3</v>
      </c>
      <c r="G1802" s="7">
        <f t="shared" si="396"/>
        <v>-9691.9</v>
      </c>
      <c r="H1802" s="35">
        <f t="shared" si="388"/>
        <v>59559.4</v>
      </c>
      <c r="I1802" s="7">
        <f t="shared" si="396"/>
        <v>-630.1</v>
      </c>
      <c r="J1802" s="35">
        <f t="shared" si="386"/>
        <v>58929.3</v>
      </c>
      <c r="K1802" s="7">
        <f t="shared" si="396"/>
        <v>-42706.7</v>
      </c>
      <c r="L1802" s="35">
        <f t="shared" si="397"/>
        <v>16222.600000000006</v>
      </c>
      <c r="M1802" s="7">
        <f t="shared" si="396"/>
        <v>-4163</v>
      </c>
      <c r="N1802" s="35">
        <f t="shared" si="391"/>
        <v>12059.600000000006</v>
      </c>
      <c r="O1802" s="7">
        <f t="shared" si="396"/>
        <v>0</v>
      </c>
      <c r="P1802" s="35">
        <f t="shared" si="387"/>
        <v>12059.600000000006</v>
      </c>
      <c r="Q1802" s="7">
        <f t="shared" si="396"/>
        <v>-310.09999999999991</v>
      </c>
      <c r="R1802" s="35">
        <f t="shared" si="385"/>
        <v>11749.500000000005</v>
      </c>
      <c r="S1802" s="7">
        <f t="shared" si="396"/>
        <v>0</v>
      </c>
      <c r="T1802" s="35">
        <f t="shared" si="392"/>
        <v>11749.500000000005</v>
      </c>
    </row>
    <row r="1803" spans="1:20">
      <c r="A1803" s="61" t="str">
        <f ca="1">IF(ISERROR(MATCH(C1803,Код_Раздел,0)),"",INDIRECT(ADDRESS(MATCH(C1803,Код_Раздел,0)+1,2,,,"Раздел")))</f>
        <v>Общегосударственные  вопросы</v>
      </c>
      <c r="B1803" s="105" t="s">
        <v>443</v>
      </c>
      <c r="C1803" s="8" t="s">
        <v>213</v>
      </c>
      <c r="D1803" s="1"/>
      <c r="E1803" s="104"/>
      <c r="F1803" s="7">
        <f t="shared" si="396"/>
        <v>69251.3</v>
      </c>
      <c r="G1803" s="7">
        <f t="shared" si="396"/>
        <v>-9691.9</v>
      </c>
      <c r="H1803" s="35">
        <f t="shared" si="388"/>
        <v>59559.4</v>
      </c>
      <c r="I1803" s="7">
        <f t="shared" si="396"/>
        <v>-630.1</v>
      </c>
      <c r="J1803" s="35">
        <f t="shared" si="386"/>
        <v>58929.3</v>
      </c>
      <c r="K1803" s="7">
        <f t="shared" si="396"/>
        <v>-42706.7</v>
      </c>
      <c r="L1803" s="35">
        <f t="shared" si="397"/>
        <v>16222.600000000006</v>
      </c>
      <c r="M1803" s="7">
        <f t="shared" si="396"/>
        <v>-4163</v>
      </c>
      <c r="N1803" s="35">
        <f t="shared" si="391"/>
        <v>12059.600000000006</v>
      </c>
      <c r="O1803" s="7">
        <f t="shared" si="396"/>
        <v>0</v>
      </c>
      <c r="P1803" s="35">
        <f t="shared" si="387"/>
        <v>12059.600000000006</v>
      </c>
      <c r="Q1803" s="7">
        <f t="shared" si="396"/>
        <v>-310.09999999999991</v>
      </c>
      <c r="R1803" s="35">
        <f t="shared" si="385"/>
        <v>11749.500000000005</v>
      </c>
      <c r="S1803" s="7">
        <f t="shared" si="396"/>
        <v>0</v>
      </c>
      <c r="T1803" s="35">
        <f t="shared" si="392"/>
        <v>11749.500000000005</v>
      </c>
    </row>
    <row r="1804" spans="1:20">
      <c r="A1804" s="12" t="s">
        <v>200</v>
      </c>
      <c r="B1804" s="105" t="s">
        <v>443</v>
      </c>
      <c r="C1804" s="8" t="s">
        <v>213</v>
      </c>
      <c r="D1804" s="1" t="s">
        <v>224</v>
      </c>
      <c r="E1804" s="104"/>
      <c r="F1804" s="7">
        <f t="shared" si="396"/>
        <v>69251.3</v>
      </c>
      <c r="G1804" s="7">
        <f t="shared" si="396"/>
        <v>-9691.9</v>
      </c>
      <c r="H1804" s="35">
        <f t="shared" si="388"/>
        <v>59559.4</v>
      </c>
      <c r="I1804" s="7">
        <f t="shared" si="396"/>
        <v>-630.1</v>
      </c>
      <c r="J1804" s="35">
        <f t="shared" si="386"/>
        <v>58929.3</v>
      </c>
      <c r="K1804" s="7">
        <f t="shared" si="396"/>
        <v>-42706.7</v>
      </c>
      <c r="L1804" s="35">
        <f t="shared" si="397"/>
        <v>16222.600000000006</v>
      </c>
      <c r="M1804" s="7">
        <f t="shared" si="396"/>
        <v>-4163</v>
      </c>
      <c r="N1804" s="35">
        <f t="shared" si="391"/>
        <v>12059.600000000006</v>
      </c>
      <c r="O1804" s="7">
        <f t="shared" si="396"/>
        <v>0</v>
      </c>
      <c r="P1804" s="35">
        <f t="shared" si="387"/>
        <v>12059.600000000006</v>
      </c>
      <c r="Q1804" s="7">
        <f t="shared" si="396"/>
        <v>-310.09999999999991</v>
      </c>
      <c r="R1804" s="35">
        <f t="shared" si="385"/>
        <v>11749.500000000005</v>
      </c>
      <c r="S1804" s="7">
        <f t="shared" si="396"/>
        <v>0</v>
      </c>
      <c r="T1804" s="35">
        <f t="shared" si="392"/>
        <v>11749.500000000005</v>
      </c>
    </row>
    <row r="1805" spans="1:20">
      <c r="A1805" s="61" t="str">
        <f ca="1">IF(ISERROR(MATCH(E1805,Код_КВР,0)),"",INDIRECT(ADDRESS(MATCH(E1805,Код_КВР,0)+1,2,,,"КВР")))</f>
        <v>Иные бюджетные ассигнования</v>
      </c>
      <c r="B1805" s="105" t="s">
        <v>443</v>
      </c>
      <c r="C1805" s="8" t="s">
        <v>213</v>
      </c>
      <c r="D1805" s="1" t="s">
        <v>224</v>
      </c>
      <c r="E1805" s="104">
        <v>800</v>
      </c>
      <c r="F1805" s="7">
        <f t="shared" si="396"/>
        <v>69251.3</v>
      </c>
      <c r="G1805" s="7">
        <f t="shared" si="396"/>
        <v>-9691.9</v>
      </c>
      <c r="H1805" s="35">
        <f t="shared" si="388"/>
        <v>59559.4</v>
      </c>
      <c r="I1805" s="7">
        <f t="shared" si="396"/>
        <v>-630.1</v>
      </c>
      <c r="J1805" s="35">
        <f t="shared" si="386"/>
        <v>58929.3</v>
      </c>
      <c r="K1805" s="7">
        <f t="shared" si="396"/>
        <v>-42706.7</v>
      </c>
      <c r="L1805" s="35">
        <f t="shared" si="397"/>
        <v>16222.600000000006</v>
      </c>
      <c r="M1805" s="7">
        <f t="shared" si="396"/>
        <v>-4163</v>
      </c>
      <c r="N1805" s="35">
        <f t="shared" si="391"/>
        <v>12059.600000000006</v>
      </c>
      <c r="O1805" s="7">
        <f t="shared" si="396"/>
        <v>0</v>
      </c>
      <c r="P1805" s="35">
        <f t="shared" si="387"/>
        <v>12059.600000000006</v>
      </c>
      <c r="Q1805" s="7">
        <f t="shared" si="396"/>
        <v>-310.09999999999991</v>
      </c>
      <c r="R1805" s="35">
        <f t="shared" si="385"/>
        <v>11749.500000000005</v>
      </c>
      <c r="S1805" s="7">
        <f t="shared" si="396"/>
        <v>0</v>
      </c>
      <c r="T1805" s="35">
        <f t="shared" si="392"/>
        <v>11749.500000000005</v>
      </c>
    </row>
    <row r="1806" spans="1:20">
      <c r="A1806" s="61" t="str">
        <f ca="1">IF(ISERROR(MATCH(E1806,Код_КВР,0)),"",INDIRECT(ADDRESS(MATCH(E1806,Код_КВР,0)+1,2,,,"КВР")))</f>
        <v>Резервные средства</v>
      </c>
      <c r="B1806" s="105" t="s">
        <v>443</v>
      </c>
      <c r="C1806" s="8" t="s">
        <v>213</v>
      </c>
      <c r="D1806" s="1" t="s">
        <v>224</v>
      </c>
      <c r="E1806" s="104">
        <v>870</v>
      </c>
      <c r="F1806" s="7">
        <f>прил.6!G883</f>
        <v>69251.3</v>
      </c>
      <c r="G1806" s="7">
        <f>прил.6!H883</f>
        <v>-9691.9</v>
      </c>
      <c r="H1806" s="35">
        <f t="shared" si="388"/>
        <v>59559.4</v>
      </c>
      <c r="I1806" s="7">
        <f>прил.6!J883</f>
        <v>-630.1</v>
      </c>
      <c r="J1806" s="35">
        <f t="shared" si="386"/>
        <v>58929.3</v>
      </c>
      <c r="K1806" s="7">
        <f>прил.6!L883</f>
        <v>-42706.7</v>
      </c>
      <c r="L1806" s="35">
        <f t="shared" si="397"/>
        <v>16222.600000000006</v>
      </c>
      <c r="M1806" s="7">
        <f>прил.6!N883</f>
        <v>-4163</v>
      </c>
      <c r="N1806" s="35">
        <f t="shared" si="391"/>
        <v>12059.600000000006</v>
      </c>
      <c r="O1806" s="7">
        <f>прил.6!P883</f>
        <v>0</v>
      </c>
      <c r="P1806" s="35">
        <f t="shared" si="387"/>
        <v>12059.600000000006</v>
      </c>
      <c r="Q1806" s="7">
        <f>прил.6!R883</f>
        <v>-310.09999999999991</v>
      </c>
      <c r="R1806" s="35">
        <f t="shared" si="385"/>
        <v>11749.500000000005</v>
      </c>
      <c r="S1806" s="7">
        <f>прил.6!T883</f>
        <v>0</v>
      </c>
      <c r="T1806" s="35">
        <f t="shared" si="392"/>
        <v>11749.500000000005</v>
      </c>
    </row>
    <row r="1807" spans="1:20" ht="49.5">
      <c r="A1807" s="61" t="str">
        <f ca="1">IF(ISERROR(MATCH(B1807,Код_КЦСР,0)),"",INDIRECT(ADDRESS(MATCH(B1807,Код_КЦСР,0)+1,2,,,"КЦСР")))</f>
        <v>Возмещение затрат по организации работ, связанных с уборкой улично-дорожной сети предприятиями жилищно-коммунального хозяйства города</v>
      </c>
      <c r="B1807" s="63" t="s">
        <v>444</v>
      </c>
      <c r="C1807" s="8"/>
      <c r="D1807" s="1"/>
      <c r="E1807" s="104"/>
      <c r="F1807" s="7">
        <f t="shared" ref="F1807:S1810" si="398">F1808</f>
        <v>35000</v>
      </c>
      <c r="G1807" s="7">
        <f t="shared" si="398"/>
        <v>0</v>
      </c>
      <c r="H1807" s="35">
        <f t="shared" si="388"/>
        <v>35000</v>
      </c>
      <c r="I1807" s="7">
        <f t="shared" si="398"/>
        <v>0</v>
      </c>
      <c r="J1807" s="35">
        <f t="shared" si="386"/>
        <v>35000</v>
      </c>
      <c r="K1807" s="7">
        <f t="shared" si="398"/>
        <v>0</v>
      </c>
      <c r="L1807" s="35">
        <f t="shared" si="397"/>
        <v>35000</v>
      </c>
      <c r="M1807" s="7">
        <f t="shared" si="398"/>
        <v>0</v>
      </c>
      <c r="N1807" s="35">
        <f t="shared" si="391"/>
        <v>35000</v>
      </c>
      <c r="O1807" s="7">
        <f t="shared" si="398"/>
        <v>0</v>
      </c>
      <c r="P1807" s="35">
        <f t="shared" si="387"/>
        <v>35000</v>
      </c>
      <c r="Q1807" s="7">
        <f t="shared" si="398"/>
        <v>0</v>
      </c>
      <c r="R1807" s="35">
        <f t="shared" si="385"/>
        <v>35000</v>
      </c>
      <c r="S1807" s="7">
        <f t="shared" si="398"/>
        <v>0</v>
      </c>
      <c r="T1807" s="35">
        <f t="shared" si="392"/>
        <v>35000</v>
      </c>
    </row>
    <row r="1808" spans="1:20">
      <c r="A1808" s="61" t="str">
        <f ca="1">IF(ISERROR(MATCH(C1808,Код_Раздел,0)),"",INDIRECT(ADDRESS(MATCH(C1808,Код_Раздел,0)+1,2,,,"Раздел")))</f>
        <v>Национальная экономика</v>
      </c>
      <c r="B1808" s="63" t="s">
        <v>444</v>
      </c>
      <c r="C1808" s="8" t="s">
        <v>216</v>
      </c>
      <c r="D1808" s="1"/>
      <c r="E1808" s="104"/>
      <c r="F1808" s="7">
        <f t="shared" si="398"/>
        <v>35000</v>
      </c>
      <c r="G1808" s="7">
        <f t="shared" si="398"/>
        <v>0</v>
      </c>
      <c r="H1808" s="35">
        <f t="shared" si="388"/>
        <v>35000</v>
      </c>
      <c r="I1808" s="7">
        <f t="shared" si="398"/>
        <v>0</v>
      </c>
      <c r="J1808" s="35">
        <f t="shared" si="386"/>
        <v>35000</v>
      </c>
      <c r="K1808" s="7">
        <f t="shared" si="398"/>
        <v>0</v>
      </c>
      <c r="L1808" s="35">
        <f t="shared" si="397"/>
        <v>35000</v>
      </c>
      <c r="M1808" s="7">
        <f t="shared" si="398"/>
        <v>0</v>
      </c>
      <c r="N1808" s="35">
        <f t="shared" si="391"/>
        <v>35000</v>
      </c>
      <c r="O1808" s="7">
        <f t="shared" si="398"/>
        <v>0</v>
      </c>
      <c r="P1808" s="35">
        <f t="shared" si="387"/>
        <v>35000</v>
      </c>
      <c r="Q1808" s="7">
        <f t="shared" si="398"/>
        <v>0</v>
      </c>
      <c r="R1808" s="35">
        <f t="shared" si="385"/>
        <v>35000</v>
      </c>
      <c r="S1808" s="7">
        <f t="shared" si="398"/>
        <v>0</v>
      </c>
      <c r="T1808" s="35">
        <f t="shared" si="392"/>
        <v>35000</v>
      </c>
    </row>
    <row r="1809" spans="1:20">
      <c r="A1809" s="77" t="s">
        <v>180</v>
      </c>
      <c r="B1809" s="63" t="s">
        <v>444</v>
      </c>
      <c r="C1809" s="8" t="s">
        <v>216</v>
      </c>
      <c r="D1809" s="1" t="s">
        <v>219</v>
      </c>
      <c r="E1809" s="104"/>
      <c r="F1809" s="7">
        <f t="shared" si="398"/>
        <v>35000</v>
      </c>
      <c r="G1809" s="7">
        <f t="shared" si="398"/>
        <v>0</v>
      </c>
      <c r="H1809" s="35">
        <f t="shared" si="388"/>
        <v>35000</v>
      </c>
      <c r="I1809" s="7">
        <f t="shared" si="398"/>
        <v>0</v>
      </c>
      <c r="J1809" s="35">
        <f t="shared" si="386"/>
        <v>35000</v>
      </c>
      <c r="K1809" s="7">
        <f t="shared" si="398"/>
        <v>0</v>
      </c>
      <c r="L1809" s="35">
        <f t="shared" si="397"/>
        <v>35000</v>
      </c>
      <c r="M1809" s="7">
        <f t="shared" si="398"/>
        <v>0</v>
      </c>
      <c r="N1809" s="35">
        <f t="shared" si="391"/>
        <v>35000</v>
      </c>
      <c r="O1809" s="7">
        <f t="shared" si="398"/>
        <v>0</v>
      </c>
      <c r="P1809" s="35">
        <f t="shared" si="387"/>
        <v>35000</v>
      </c>
      <c r="Q1809" s="7">
        <f t="shared" si="398"/>
        <v>0</v>
      </c>
      <c r="R1809" s="35">
        <f t="shared" ref="R1809:R1812" si="399">P1809+Q1809</f>
        <v>35000</v>
      </c>
      <c r="S1809" s="7">
        <f t="shared" si="398"/>
        <v>0</v>
      </c>
      <c r="T1809" s="35">
        <f t="shared" si="392"/>
        <v>35000</v>
      </c>
    </row>
    <row r="1810" spans="1:20" ht="18.75" customHeight="1">
      <c r="A1810" s="61" t="str">
        <f ca="1">IF(ISERROR(MATCH(E1810,Код_КВР,0)),"",INDIRECT(ADDRESS(MATCH(E1810,Код_КВР,0)+1,2,,,"КВР")))</f>
        <v>Иные бюджетные ассигнования</v>
      </c>
      <c r="B1810" s="63" t="s">
        <v>444</v>
      </c>
      <c r="C1810" s="8" t="s">
        <v>216</v>
      </c>
      <c r="D1810" s="1" t="s">
        <v>219</v>
      </c>
      <c r="E1810" s="104">
        <v>800</v>
      </c>
      <c r="F1810" s="7">
        <f t="shared" si="398"/>
        <v>35000</v>
      </c>
      <c r="G1810" s="7">
        <f t="shared" si="398"/>
        <v>0</v>
      </c>
      <c r="H1810" s="35">
        <f t="shared" si="388"/>
        <v>35000</v>
      </c>
      <c r="I1810" s="7">
        <f t="shared" si="398"/>
        <v>0</v>
      </c>
      <c r="J1810" s="35">
        <f t="shared" si="386"/>
        <v>35000</v>
      </c>
      <c r="K1810" s="7">
        <f t="shared" si="398"/>
        <v>0</v>
      </c>
      <c r="L1810" s="35">
        <f t="shared" si="397"/>
        <v>35000</v>
      </c>
      <c r="M1810" s="7">
        <f t="shared" si="398"/>
        <v>0</v>
      </c>
      <c r="N1810" s="35">
        <f t="shared" si="391"/>
        <v>35000</v>
      </c>
      <c r="O1810" s="7">
        <f t="shared" si="398"/>
        <v>0</v>
      </c>
      <c r="P1810" s="35">
        <f t="shared" si="387"/>
        <v>35000</v>
      </c>
      <c r="Q1810" s="7">
        <f t="shared" si="398"/>
        <v>0</v>
      </c>
      <c r="R1810" s="35">
        <f t="shared" si="399"/>
        <v>35000</v>
      </c>
      <c r="S1810" s="7">
        <f t="shared" si="398"/>
        <v>0</v>
      </c>
      <c r="T1810" s="35">
        <f t="shared" si="392"/>
        <v>35000</v>
      </c>
    </row>
    <row r="1811" spans="1:20" ht="50.25" customHeight="1">
      <c r="A1811" s="61" t="str">
        <f ca="1">IF(ISERROR(MATCH(E1811,Код_КВР,0)),"",INDIRECT(ADDRESS(MATCH(E1811,Код_КВР,0)+1,2,,,"КВР")))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811" s="63" t="s">
        <v>444</v>
      </c>
      <c r="C1811" s="8" t="s">
        <v>216</v>
      </c>
      <c r="D1811" s="1" t="s">
        <v>219</v>
      </c>
      <c r="E1811" s="104">
        <v>810</v>
      </c>
      <c r="F1811" s="7">
        <f>прил.6!G460</f>
        <v>35000</v>
      </c>
      <c r="G1811" s="7">
        <f>прил.6!H460</f>
        <v>0</v>
      </c>
      <c r="H1811" s="35">
        <f t="shared" si="388"/>
        <v>35000</v>
      </c>
      <c r="I1811" s="7">
        <f>прил.6!J460</f>
        <v>0</v>
      </c>
      <c r="J1811" s="35">
        <f t="shared" si="386"/>
        <v>35000</v>
      </c>
      <c r="K1811" s="7">
        <f>прил.6!L460</f>
        <v>0</v>
      </c>
      <c r="L1811" s="35">
        <f t="shared" si="397"/>
        <v>35000</v>
      </c>
      <c r="M1811" s="7">
        <f>прил.6!N460</f>
        <v>0</v>
      </c>
      <c r="N1811" s="35">
        <f>L1811+M1811</f>
        <v>35000</v>
      </c>
      <c r="O1811" s="7">
        <f>прил.6!P460</f>
        <v>0</v>
      </c>
      <c r="P1811" s="35">
        <f t="shared" si="387"/>
        <v>35000</v>
      </c>
      <c r="Q1811" s="7">
        <f>прил.6!R460</f>
        <v>0</v>
      </c>
      <c r="R1811" s="35">
        <f t="shared" si="399"/>
        <v>35000</v>
      </c>
      <c r="S1811" s="7">
        <f>прил.6!T460</f>
        <v>0</v>
      </c>
      <c r="T1811" s="35">
        <f t="shared" si="392"/>
        <v>35000</v>
      </c>
    </row>
    <row r="1812" spans="1:20">
      <c r="A1812" s="61" t="s">
        <v>166</v>
      </c>
      <c r="B1812" s="1"/>
      <c r="C1812" s="1"/>
      <c r="D1812" s="2"/>
      <c r="E1812" s="2"/>
      <c r="F1812" s="2">
        <f>F18+F235+F460+F518+F539+F568+F575+F591+F607+F626+F727+F741+F759+F947+F980+F988+F1000+F1013+F1077+F1101+F1257+F1364+F1416+F1464+F1512</f>
        <v>6670495.8999999985</v>
      </c>
      <c r="G1812" s="2">
        <f>G18+G235+G460+G518+G539+G568+G575+G591+G607+G626+G727+G741+G759+G947+G980+G988+G1000+G1013+G1077+G1101+G1257+G1364+G1416+G1464+G1512</f>
        <v>-22308.299999999996</v>
      </c>
      <c r="H1812" s="35">
        <f t="shared" si="388"/>
        <v>6648187.5999999987</v>
      </c>
      <c r="I1812" s="2">
        <f>I18+I235+I460+I518+I539+I568+I575+I591+I607+I626+I727+I741+I759+I947+I980+I988+I1000+I1013+I1077+I1101+I1257+I1364+I1416+I1464+I1512</f>
        <v>0</v>
      </c>
      <c r="J1812" s="35">
        <f>H1812+I1812</f>
        <v>6648187.5999999987</v>
      </c>
      <c r="K1812" s="2">
        <f>K18+K235+K460+K518+K539+K568+K575+K591+K607+K626+K727+K741+K759+K947+K980+K988+K1000+K1013+K1077+K1101+K1257+K1364+K1416+K1464+K1512</f>
        <v>-65000</v>
      </c>
      <c r="L1812" s="35">
        <f t="shared" si="397"/>
        <v>6583187.5999999987</v>
      </c>
      <c r="M1812" s="2">
        <f>M18+M235+M460+M518+M539+M568+M575+M591+M607+M626+M727+M741+M759+M947+M980+M988+M1000+M1013+M1077+M1101+M1257+M1364+M1416+M1464+M1512</f>
        <v>-939.59999999999945</v>
      </c>
      <c r="N1812" s="35">
        <f t="shared" si="391"/>
        <v>6582247.9999999991</v>
      </c>
      <c r="O1812" s="2">
        <f>O18+O235+O460+O518+O539+O568+O575+O591+O607+O626+O727+O741+O759+O947+O980+O988+O1000+O1013+O1077+O1101+O1257+O1364+O1416+O1464+O1512</f>
        <v>12800</v>
      </c>
      <c r="P1812" s="35">
        <f t="shared" si="387"/>
        <v>6595047.9999999991</v>
      </c>
      <c r="Q1812" s="2">
        <f>Q18+Q235+Q460+Q518+Q539+Q568+Q575+Q591+Q607+Q626+Q727+Q741+Q759+Q947+Q980+Q988+Q1000+Q1013+Q1077+Q1101+Q1257+Q1364+Q1416+Q1464+Q1512</f>
        <v>393555.50000000006</v>
      </c>
      <c r="R1812" s="35">
        <f t="shared" si="399"/>
        <v>6988603.4999999991</v>
      </c>
      <c r="S1812" s="2">
        <f>S18+S235+S460+S518+S539+S568+S575+S591+S607+S626+S727+S741+S759+S947+S980+S988+S1000+S1013+S1077+S1101+S1257+S1364+S1416+S1464+S1512+S1505</f>
        <v>91688.9</v>
      </c>
      <c r="T1812" s="2">
        <f>T18+T235+T460+T518+T539+T568+T575+T591+T607+T626+T727+T741+T759+T947+T980+T988+T1000+T1013+T1077+T1101+T1257+T1364+T1416+T1464+T1512+T1505</f>
        <v>7080292.4000000013</v>
      </c>
    </row>
    <row r="1813" spans="1:20">
      <c r="A1813" s="18"/>
      <c r="B1813" s="28"/>
      <c r="C1813" s="28"/>
      <c r="D1813" s="28"/>
      <c r="E1813" s="28"/>
      <c r="F1813" s="29"/>
    </row>
    <row r="1814" spans="1:20">
      <c r="A1814" s="18"/>
      <c r="B1814" s="28"/>
      <c r="C1814" s="28"/>
      <c r="D1814" s="28"/>
      <c r="E1814" s="28"/>
      <c r="F1814" s="29"/>
      <c r="Q1814" s="32">
        <f>Q1812-прил.6!R1742</f>
        <v>0</v>
      </c>
      <c r="R1814" s="32">
        <f>R1812-прил.6!S1742</f>
        <v>0</v>
      </c>
      <c r="T1814" s="32"/>
    </row>
    <row r="1815" spans="1:20">
      <c r="A1815" s="18"/>
      <c r="B1815" s="28"/>
      <c r="C1815" s="28"/>
      <c r="D1815" s="28"/>
      <c r="E1815" s="28"/>
      <c r="F1815" s="29"/>
      <c r="S1815" s="32"/>
    </row>
    <row r="1816" spans="1:20">
      <c r="A1816" s="18"/>
      <c r="B1816" s="28"/>
      <c r="C1816" s="28"/>
      <c r="D1816" s="28"/>
      <c r="E1816" s="28"/>
      <c r="F1816" s="29"/>
      <c r="R1816" s="20">
        <f>Q1816</f>
        <v>0</v>
      </c>
    </row>
    <row r="1817" spans="1:20">
      <c r="A1817" s="74"/>
      <c r="B1817" s="28"/>
      <c r="C1817" s="28"/>
      <c r="D1817" s="28"/>
      <c r="E1817" s="28"/>
      <c r="F1817" s="29"/>
      <c r="R1817" s="20">
        <f>Q1817</f>
        <v>0</v>
      </c>
    </row>
    <row r="1818" spans="1:20">
      <c r="A1818" s="81"/>
      <c r="B1818" s="28"/>
      <c r="C1818" s="28"/>
      <c r="D1818" s="28"/>
      <c r="E1818" s="28"/>
      <c r="F1818" s="29"/>
      <c r="Q1818" s="20">
        <f>SUM(Q1816:Q1817)</f>
        <v>0</v>
      </c>
      <c r="R1818" s="20">
        <f>SUM(R1816:R1817)</f>
        <v>0</v>
      </c>
    </row>
    <row r="1819" spans="1:20">
      <c r="A1819" s="74"/>
      <c r="B1819" s="28"/>
      <c r="C1819" s="28"/>
      <c r="D1819" s="28"/>
      <c r="E1819" s="28"/>
      <c r="F1819" s="29"/>
    </row>
    <row r="1820" spans="1:20">
      <c r="A1820" s="74"/>
      <c r="B1820" s="28"/>
      <c r="C1820" s="28"/>
      <c r="D1820" s="28"/>
      <c r="E1820" s="28"/>
      <c r="F1820" s="29"/>
    </row>
    <row r="1821" spans="1:20">
      <c r="A1821" s="82"/>
      <c r="B1821" s="28"/>
      <c r="C1821" s="28"/>
      <c r="D1821" s="28"/>
      <c r="E1821" s="28"/>
      <c r="F1821" s="29"/>
    </row>
    <row r="1822" spans="1:20">
      <c r="A1822" s="74"/>
      <c r="B1822" s="28"/>
      <c r="C1822" s="28"/>
      <c r="D1822" s="28"/>
      <c r="E1822" s="28"/>
      <c r="F1822" s="29"/>
    </row>
    <row r="1823" spans="1:20">
      <c r="A1823" s="74"/>
      <c r="B1823" s="28"/>
      <c r="C1823" s="28"/>
      <c r="D1823" s="28"/>
      <c r="E1823" s="28"/>
      <c r="F1823" s="29"/>
    </row>
    <row r="1824" spans="1:20">
      <c r="A1824" s="18"/>
      <c r="B1824" s="28"/>
      <c r="C1824" s="28"/>
      <c r="D1824" s="28"/>
      <c r="E1824" s="28"/>
      <c r="F1824" s="29"/>
    </row>
    <row r="1825" spans="1:6">
      <c r="A1825" s="18"/>
      <c r="B1825" s="28"/>
      <c r="C1825" s="28"/>
      <c r="D1825" s="28"/>
      <c r="E1825" s="28"/>
      <c r="F1825" s="29"/>
    </row>
    <row r="1826" spans="1:6">
      <c r="A1826" s="74"/>
      <c r="B1826" s="28"/>
      <c r="C1826" s="28"/>
      <c r="D1826" s="28"/>
      <c r="E1826" s="28"/>
      <c r="F1826" s="29"/>
    </row>
    <row r="1827" spans="1:6">
      <c r="A1827" s="82"/>
      <c r="B1827" s="28"/>
      <c r="C1827" s="28"/>
      <c r="D1827" s="28"/>
      <c r="E1827" s="28"/>
      <c r="F1827" s="29"/>
    </row>
    <row r="1828" spans="1:6">
      <c r="A1828" s="18"/>
      <c r="B1828" s="28"/>
      <c r="C1828" s="28"/>
      <c r="D1828" s="28"/>
      <c r="E1828" s="28"/>
      <c r="F1828" s="29"/>
    </row>
    <row r="1829" spans="1:6">
      <c r="A1829" s="18"/>
      <c r="B1829" s="28"/>
      <c r="C1829" s="28"/>
      <c r="D1829" s="28"/>
      <c r="E1829" s="28"/>
      <c r="F1829" s="29"/>
    </row>
    <row r="1830" spans="1:6">
      <c r="A1830" s="74"/>
      <c r="B1830" s="28"/>
      <c r="C1830" s="28"/>
      <c r="D1830" s="28"/>
      <c r="E1830" s="28"/>
      <c r="F1830" s="29"/>
    </row>
    <row r="1831" spans="1:6">
      <c r="A1831" s="74"/>
      <c r="B1831" s="28"/>
      <c r="C1831" s="28"/>
      <c r="D1831" s="28"/>
      <c r="E1831" s="28"/>
      <c r="F1831" s="29"/>
    </row>
    <row r="1832" spans="1:6">
      <c r="A1832" s="74"/>
      <c r="B1832" s="28"/>
      <c r="C1832" s="28"/>
      <c r="D1832" s="28"/>
      <c r="E1832" s="28"/>
      <c r="F1832" s="29"/>
    </row>
    <row r="1833" spans="1:6">
      <c r="A1833" s="82"/>
      <c r="B1833" s="30"/>
      <c r="C1833" s="30"/>
      <c r="D1833" s="30"/>
      <c r="E1833" s="30"/>
      <c r="F1833" s="29"/>
    </row>
    <row r="1834" spans="1:6">
      <c r="A1834" s="83"/>
      <c r="B1834" s="30"/>
      <c r="C1834" s="30"/>
      <c r="D1834" s="30"/>
      <c r="E1834" s="30"/>
      <c r="F1834" s="29"/>
    </row>
    <row r="1835" spans="1:6">
      <c r="A1835" s="84"/>
      <c r="B1835" s="30"/>
      <c r="C1835" s="30"/>
      <c r="D1835" s="30"/>
      <c r="E1835" s="30"/>
      <c r="F1835" s="29"/>
    </row>
    <row r="1836" spans="1:6">
      <c r="A1836" s="82"/>
      <c r="B1836" s="30"/>
      <c r="C1836" s="30"/>
      <c r="D1836" s="30"/>
      <c r="E1836" s="30"/>
      <c r="F1836" s="29"/>
    </row>
    <row r="1837" spans="1:6">
      <c r="A1837" s="74"/>
      <c r="B1837" s="28"/>
      <c r="C1837" s="28"/>
      <c r="D1837" s="28"/>
      <c r="E1837" s="28"/>
      <c r="F1837" s="29"/>
    </row>
    <row r="1838" spans="1:6">
      <c r="A1838" s="82"/>
      <c r="B1838" s="28"/>
      <c r="C1838" s="28"/>
      <c r="D1838" s="28"/>
      <c r="E1838" s="28"/>
      <c r="F1838" s="29"/>
    </row>
    <row r="1839" spans="1:6">
      <c r="A1839" s="82"/>
      <c r="B1839" s="28"/>
      <c r="C1839" s="28"/>
      <c r="D1839" s="28"/>
      <c r="E1839" s="28"/>
      <c r="F1839" s="29"/>
    </row>
    <row r="1840" spans="1:6">
      <c r="A1840" s="82"/>
      <c r="B1840" s="28"/>
      <c r="C1840" s="28"/>
      <c r="D1840" s="28"/>
      <c r="E1840" s="28"/>
      <c r="F1840" s="29"/>
    </row>
    <row r="1841" spans="1:6">
      <c r="A1841" s="74"/>
      <c r="B1841" s="28"/>
      <c r="C1841" s="28"/>
      <c r="D1841" s="28"/>
      <c r="E1841" s="28"/>
      <c r="F1841" s="29"/>
    </row>
    <row r="1842" spans="1:6">
      <c r="A1842" s="18"/>
      <c r="B1842" s="28"/>
      <c r="C1842" s="28"/>
      <c r="D1842" s="28"/>
      <c r="E1842" s="28"/>
      <c r="F1842" s="29"/>
    </row>
    <row r="1843" spans="1:6">
      <c r="A1843" s="82"/>
      <c r="B1843" s="28"/>
      <c r="C1843" s="28"/>
      <c r="D1843" s="28"/>
      <c r="E1843" s="28"/>
      <c r="F1843" s="29"/>
    </row>
    <row r="1844" spans="1:6">
      <c r="A1844" s="18"/>
      <c r="B1844" s="28"/>
      <c r="C1844" s="28"/>
      <c r="D1844" s="28"/>
      <c r="E1844" s="28"/>
      <c r="F1844" s="29"/>
    </row>
    <row r="1845" spans="1:6">
      <c r="A1845" s="82"/>
      <c r="B1845" s="28"/>
      <c r="C1845" s="28"/>
      <c r="D1845" s="28"/>
      <c r="E1845" s="28"/>
      <c r="F1845" s="29"/>
    </row>
    <row r="1846" spans="1:6">
      <c r="A1846" s="82"/>
      <c r="B1846" s="28"/>
      <c r="C1846" s="28"/>
      <c r="D1846" s="28"/>
      <c r="E1846" s="28"/>
      <c r="F1846" s="29"/>
    </row>
    <row r="1847" spans="1:6">
      <c r="A1847" s="82"/>
      <c r="B1847" s="28"/>
      <c r="C1847" s="28"/>
      <c r="D1847" s="28"/>
      <c r="E1847" s="28"/>
      <c r="F1847" s="29"/>
    </row>
    <row r="1848" spans="1:6">
      <c r="A1848" s="18"/>
      <c r="B1848" s="30"/>
      <c r="C1848" s="30"/>
      <c r="D1848" s="30"/>
      <c r="E1848" s="30"/>
      <c r="F1848" s="29"/>
    </row>
    <row r="1849" spans="1:6">
      <c r="A1849" s="82"/>
      <c r="B1849" s="28"/>
      <c r="C1849" s="28"/>
      <c r="D1849" s="28"/>
      <c r="E1849" s="28"/>
      <c r="F1849" s="29"/>
    </row>
    <row r="1850" spans="1:6">
      <c r="A1850" s="74"/>
      <c r="B1850" s="28"/>
      <c r="C1850" s="28"/>
      <c r="D1850" s="28"/>
      <c r="E1850" s="28"/>
      <c r="F1850" s="29"/>
    </row>
    <row r="1851" spans="1:6">
      <c r="A1851" s="18"/>
      <c r="B1851" s="28"/>
      <c r="C1851" s="28"/>
      <c r="D1851" s="28"/>
      <c r="E1851" s="28"/>
      <c r="F1851" s="29"/>
    </row>
    <row r="1852" spans="1:6">
      <c r="A1852" s="74"/>
      <c r="B1852" s="28"/>
      <c r="C1852" s="28"/>
      <c r="D1852" s="28"/>
      <c r="E1852" s="28"/>
      <c r="F1852" s="29"/>
    </row>
    <row r="1853" spans="1:6">
      <c r="A1853" s="74"/>
      <c r="B1853" s="28"/>
      <c r="C1853" s="28"/>
      <c r="D1853" s="28"/>
      <c r="E1853" s="28"/>
      <c r="F1853" s="29"/>
    </row>
    <row r="1854" spans="1:6">
      <c r="A1854" s="18"/>
      <c r="B1854" s="30"/>
      <c r="C1854" s="30"/>
      <c r="D1854" s="30"/>
      <c r="E1854" s="30"/>
      <c r="F1854" s="29"/>
    </row>
    <row r="1855" spans="1:6">
      <c r="A1855" s="82"/>
      <c r="B1855" s="28"/>
      <c r="C1855" s="28"/>
      <c r="D1855" s="28"/>
      <c r="E1855" s="28"/>
      <c r="F1855" s="29"/>
    </row>
    <row r="1856" spans="1:6">
      <c r="A1856" s="74"/>
      <c r="B1856" s="28"/>
      <c r="C1856" s="28"/>
      <c r="D1856" s="28"/>
      <c r="E1856" s="28"/>
      <c r="F1856" s="29"/>
    </row>
    <row r="1857" spans="1:6">
      <c r="A1857" s="82"/>
      <c r="B1857" s="28"/>
      <c r="C1857" s="28"/>
      <c r="D1857" s="28"/>
      <c r="E1857" s="28"/>
      <c r="F1857" s="29"/>
    </row>
    <row r="1858" spans="1:6">
      <c r="A1858" s="82"/>
      <c r="B1858" s="30"/>
      <c r="C1858" s="30"/>
      <c r="D1858" s="30"/>
      <c r="E1858" s="30"/>
      <c r="F1858" s="31"/>
    </row>
    <row r="1859" spans="1:6">
      <c r="A1859" s="82"/>
      <c r="B1859" s="28"/>
      <c r="C1859" s="28"/>
      <c r="D1859" s="28"/>
      <c r="E1859" s="28"/>
      <c r="F1859" s="29"/>
    </row>
    <row r="1860" spans="1:6">
      <c r="A1860" s="83"/>
      <c r="B1860" s="28"/>
      <c r="C1860" s="28"/>
      <c r="D1860" s="28"/>
      <c r="E1860" s="28"/>
      <c r="F1860" s="29"/>
    </row>
    <row r="1861" spans="1:6">
      <c r="A1861" s="82"/>
      <c r="B1861" s="28"/>
      <c r="C1861" s="28"/>
      <c r="D1861" s="28"/>
      <c r="E1861" s="28"/>
      <c r="F1861" s="29"/>
    </row>
    <row r="1862" spans="1:6">
      <c r="A1862" s="74"/>
      <c r="B1862" s="30"/>
      <c r="C1862" s="28"/>
      <c r="D1862" s="28"/>
      <c r="E1862" s="30"/>
      <c r="F1862" s="29"/>
    </row>
    <row r="1863" spans="1:6">
      <c r="A1863" s="74"/>
      <c r="B1863" s="28"/>
      <c r="C1863" s="28"/>
      <c r="D1863" s="28"/>
      <c r="E1863" s="30"/>
      <c r="F1863" s="29"/>
    </row>
    <row r="1864" spans="1:6">
      <c r="A1864" s="74"/>
      <c r="B1864" s="30"/>
      <c r="C1864" s="28"/>
      <c r="D1864" s="28"/>
      <c r="E1864" s="30"/>
      <c r="F1864" s="29"/>
    </row>
    <row r="1865" spans="1:6">
      <c r="A1865" s="18"/>
      <c r="B1865" s="30"/>
      <c r="C1865" s="28"/>
      <c r="D1865" s="28"/>
      <c r="E1865" s="30"/>
      <c r="F1865" s="29"/>
    </row>
    <row r="1866" spans="1:6">
      <c r="A1866" s="82"/>
      <c r="B1866" s="30"/>
      <c r="C1866" s="28"/>
      <c r="D1866" s="28"/>
      <c r="E1866" s="30"/>
      <c r="F1866" s="29"/>
    </row>
    <row r="1867" spans="1:6">
      <c r="A1867" s="18"/>
      <c r="B1867" s="30"/>
      <c r="C1867" s="28"/>
      <c r="D1867" s="28"/>
      <c r="E1867" s="30"/>
      <c r="F1867" s="29"/>
    </row>
    <row r="1868" spans="1:6">
      <c r="A1868" s="18"/>
      <c r="B1868" s="30"/>
      <c r="C1868" s="30"/>
      <c r="D1868" s="30"/>
      <c r="E1868" s="30"/>
      <c r="F1868" s="29"/>
    </row>
    <row r="1869" spans="1:6">
      <c r="A1869" s="74"/>
      <c r="B1869" s="30"/>
      <c r="C1869" s="30"/>
      <c r="D1869" s="30"/>
      <c r="E1869" s="30"/>
      <c r="F1869" s="29"/>
    </row>
    <row r="1870" spans="1:6">
      <c r="A1870" s="74"/>
      <c r="B1870" s="30"/>
      <c r="C1870" s="30"/>
      <c r="D1870" s="30"/>
      <c r="E1870" s="30"/>
      <c r="F1870" s="29"/>
    </row>
    <row r="1871" spans="1:6">
      <c r="A1871" s="82"/>
      <c r="B1871" s="30"/>
      <c r="C1871" s="30"/>
      <c r="D1871" s="30"/>
      <c r="E1871" s="30"/>
      <c r="F1871" s="29"/>
    </row>
    <row r="1872" spans="1:6">
      <c r="A1872" s="84"/>
      <c r="B1872" s="30"/>
      <c r="C1872" s="30"/>
      <c r="D1872" s="30"/>
      <c r="E1872" s="30"/>
      <c r="F1872" s="29"/>
    </row>
    <row r="1873" spans="1:6">
      <c r="A1873" s="74"/>
      <c r="B1873" s="30"/>
      <c r="C1873" s="30"/>
      <c r="D1873" s="30"/>
      <c r="E1873" s="30"/>
      <c r="F1873" s="29"/>
    </row>
    <row r="1874" spans="1:6">
      <c r="A1874" s="82"/>
      <c r="B1874" s="30"/>
      <c r="C1874" s="30"/>
      <c r="D1874" s="30"/>
      <c r="E1874" s="30"/>
      <c r="F1874" s="29"/>
    </row>
    <row r="1875" spans="1:6">
      <c r="A1875" s="74"/>
      <c r="B1875" s="30"/>
      <c r="C1875" s="30"/>
      <c r="D1875" s="30"/>
      <c r="E1875" s="30"/>
      <c r="F1875" s="29"/>
    </row>
    <row r="1876" spans="1:6">
      <c r="A1876" s="74"/>
      <c r="B1876" s="28"/>
      <c r="C1876" s="28"/>
      <c r="D1876" s="28"/>
      <c r="E1876" s="28"/>
      <c r="F1876" s="29"/>
    </row>
    <row r="1877" spans="1:6">
      <c r="A1877" s="74"/>
      <c r="B1877" s="28"/>
      <c r="C1877" s="28"/>
      <c r="D1877" s="28"/>
      <c r="E1877" s="28"/>
      <c r="F1877" s="29"/>
    </row>
    <row r="1878" spans="1:6">
      <c r="A1878" s="74"/>
      <c r="B1878" s="28"/>
      <c r="C1878" s="28"/>
      <c r="D1878" s="28"/>
      <c r="E1878" s="28"/>
      <c r="F1878" s="29"/>
    </row>
    <row r="1879" spans="1:6">
      <c r="A1879" s="82"/>
      <c r="B1879" s="28"/>
      <c r="C1879" s="28"/>
      <c r="D1879" s="28"/>
      <c r="E1879" s="28"/>
      <c r="F1879" s="29"/>
    </row>
    <row r="1880" spans="1:6">
      <c r="A1880" s="18"/>
      <c r="B1880" s="28"/>
      <c r="C1880" s="28"/>
      <c r="D1880" s="28"/>
      <c r="E1880" s="28"/>
      <c r="F1880" s="29"/>
    </row>
    <row r="1881" spans="1:6">
      <c r="A1881" s="82"/>
      <c r="B1881" s="28"/>
      <c r="C1881" s="28"/>
      <c r="D1881" s="28"/>
      <c r="E1881" s="28"/>
      <c r="F1881" s="29"/>
    </row>
    <row r="1882" spans="1:6">
      <c r="A1882" s="74"/>
      <c r="B1882" s="28"/>
      <c r="C1882" s="28"/>
      <c r="D1882" s="28"/>
      <c r="E1882" s="28"/>
      <c r="F1882" s="29"/>
    </row>
    <row r="1883" spans="1:6">
      <c r="A1883" s="74"/>
      <c r="B1883" s="28"/>
      <c r="C1883" s="28"/>
      <c r="D1883" s="28"/>
      <c r="E1883" s="28"/>
      <c r="F1883" s="29"/>
    </row>
    <row r="1884" spans="1:6">
      <c r="A1884" s="74"/>
      <c r="B1884" s="28"/>
      <c r="C1884" s="28"/>
      <c r="D1884" s="28"/>
      <c r="E1884" s="28"/>
      <c r="F1884" s="29"/>
    </row>
    <row r="1885" spans="1:6">
      <c r="A1885" s="18"/>
      <c r="B1885" s="28"/>
      <c r="C1885" s="28"/>
      <c r="D1885" s="28"/>
      <c r="E1885" s="28"/>
      <c r="F1885" s="29"/>
    </row>
    <row r="1886" spans="1:6">
      <c r="A1886" s="74"/>
      <c r="B1886" s="28"/>
      <c r="C1886" s="28"/>
      <c r="D1886" s="28"/>
      <c r="E1886" s="28"/>
      <c r="F1886" s="29"/>
    </row>
    <row r="1887" spans="1:6">
      <c r="A1887" s="74"/>
      <c r="B1887" s="28"/>
      <c r="C1887" s="28"/>
      <c r="D1887" s="28"/>
      <c r="E1887" s="28"/>
      <c r="F1887" s="29"/>
    </row>
    <row r="1888" spans="1:6">
      <c r="A1888" s="74"/>
      <c r="B1888" s="28"/>
      <c r="C1888" s="28"/>
      <c r="D1888" s="28"/>
      <c r="E1888" s="28"/>
      <c r="F1888" s="29"/>
    </row>
    <row r="1889" spans="1:6">
      <c r="A1889" s="74"/>
      <c r="B1889" s="28"/>
      <c r="C1889" s="28"/>
      <c r="D1889" s="28"/>
      <c r="E1889" s="28"/>
      <c r="F1889" s="29"/>
    </row>
    <row r="1890" spans="1:6">
      <c r="A1890" s="74"/>
      <c r="B1890" s="28"/>
      <c r="C1890" s="28"/>
      <c r="D1890" s="28"/>
      <c r="E1890" s="28"/>
      <c r="F1890" s="29"/>
    </row>
    <row r="1891" spans="1:6">
      <c r="A1891" s="82"/>
      <c r="B1891" s="28"/>
      <c r="C1891" s="28"/>
      <c r="D1891" s="28"/>
      <c r="E1891" s="28"/>
      <c r="F1891" s="29"/>
    </row>
    <row r="1892" spans="1:6">
      <c r="A1892" s="82"/>
      <c r="B1892" s="28"/>
      <c r="C1892" s="28"/>
      <c r="D1892" s="28"/>
      <c r="E1892" s="28"/>
      <c r="F1892" s="29"/>
    </row>
    <row r="1893" spans="1:6">
      <c r="A1893" s="82"/>
      <c r="B1893" s="28"/>
      <c r="C1893" s="28"/>
      <c r="D1893" s="28"/>
      <c r="E1893" s="28"/>
      <c r="F1893" s="29"/>
    </row>
    <row r="1894" spans="1:6">
      <c r="A1894" s="82"/>
      <c r="B1894" s="28"/>
      <c r="C1894" s="28"/>
      <c r="D1894" s="28"/>
      <c r="E1894" s="28"/>
      <c r="F1894" s="29"/>
    </row>
    <row r="1895" spans="1:6">
      <c r="A1895" s="82"/>
      <c r="B1895" s="28"/>
      <c r="C1895" s="28"/>
      <c r="D1895" s="28"/>
      <c r="E1895" s="28"/>
      <c r="F1895" s="29"/>
    </row>
    <row r="1896" spans="1:6">
      <c r="A1896" s="82"/>
      <c r="B1896" s="28"/>
      <c r="C1896" s="28"/>
      <c r="D1896" s="28"/>
      <c r="E1896" s="28"/>
      <c r="F1896" s="29"/>
    </row>
    <row r="1897" spans="1:6">
      <c r="A1897" s="18"/>
      <c r="B1897" s="28"/>
      <c r="C1897" s="28"/>
      <c r="D1897" s="28"/>
      <c r="E1897" s="28"/>
      <c r="F1897" s="29"/>
    </row>
    <row r="1898" spans="1:6">
      <c r="A1898" s="82"/>
      <c r="B1898" s="28"/>
      <c r="C1898" s="28"/>
      <c r="D1898" s="28"/>
      <c r="E1898" s="28"/>
      <c r="F1898" s="29"/>
    </row>
    <row r="1899" spans="1:6">
      <c r="A1899" s="74"/>
      <c r="B1899" s="28"/>
      <c r="C1899" s="28"/>
      <c r="D1899" s="28"/>
      <c r="E1899" s="28"/>
      <c r="F1899" s="29"/>
    </row>
    <row r="1900" spans="1:6">
      <c r="A1900" s="82"/>
      <c r="B1900" s="28"/>
      <c r="C1900" s="28"/>
      <c r="D1900" s="28"/>
      <c r="E1900" s="28"/>
      <c r="F1900" s="29"/>
    </row>
    <row r="1901" spans="1:6">
      <c r="A1901" s="74"/>
      <c r="B1901" s="28"/>
      <c r="C1901" s="28"/>
      <c r="D1901" s="28"/>
      <c r="E1901" s="28"/>
      <c r="F1901" s="29"/>
    </row>
    <row r="1902" spans="1:6">
      <c r="A1902" s="74"/>
      <c r="B1902" s="28"/>
      <c r="C1902" s="28"/>
      <c r="D1902" s="28"/>
      <c r="E1902" s="28"/>
      <c r="F1902" s="29"/>
    </row>
    <row r="1903" spans="1:6">
      <c r="A1903" s="18"/>
      <c r="B1903" s="28"/>
      <c r="C1903" s="28"/>
      <c r="D1903" s="28"/>
      <c r="E1903" s="28"/>
      <c r="F1903" s="29"/>
    </row>
    <row r="1904" spans="1:6">
      <c r="A1904" s="74"/>
      <c r="B1904" s="28"/>
      <c r="C1904" s="28"/>
      <c r="D1904" s="28"/>
      <c r="E1904" s="28"/>
      <c r="F1904" s="29"/>
    </row>
    <row r="1905" spans="1:6">
      <c r="A1905" s="74"/>
      <c r="B1905" s="28"/>
      <c r="C1905" s="28"/>
      <c r="D1905" s="28"/>
      <c r="E1905" s="28"/>
      <c r="F1905" s="29"/>
    </row>
    <row r="1906" spans="1:6">
      <c r="A1906" s="82"/>
      <c r="B1906" s="28"/>
      <c r="C1906" s="28"/>
      <c r="D1906" s="28"/>
      <c r="E1906" s="28"/>
      <c r="F1906" s="29"/>
    </row>
    <row r="1907" spans="1:6">
      <c r="A1907" s="74"/>
      <c r="B1907" s="28"/>
      <c r="C1907" s="28"/>
      <c r="D1907" s="28"/>
      <c r="E1907" s="28"/>
      <c r="F1907" s="29"/>
    </row>
    <row r="1908" spans="1:6">
      <c r="A1908" s="74"/>
      <c r="B1908" s="28"/>
      <c r="C1908" s="28"/>
      <c r="D1908" s="28"/>
      <c r="E1908" s="28"/>
      <c r="F1908" s="29"/>
    </row>
    <row r="1909" spans="1:6">
      <c r="A1909" s="74"/>
      <c r="B1909" s="28"/>
      <c r="C1909" s="28"/>
      <c r="D1909" s="28"/>
      <c r="E1909" s="28"/>
      <c r="F1909" s="29"/>
    </row>
    <row r="1910" spans="1:6">
      <c r="A1910" s="82"/>
      <c r="B1910" s="28"/>
      <c r="C1910" s="28"/>
      <c r="D1910" s="28"/>
      <c r="E1910" s="28"/>
      <c r="F1910" s="29"/>
    </row>
    <row r="1911" spans="1:6">
      <c r="A1911" s="74"/>
      <c r="B1911" s="28"/>
      <c r="C1911" s="28"/>
      <c r="D1911" s="28"/>
      <c r="E1911" s="28"/>
      <c r="F1911" s="29"/>
    </row>
    <row r="1912" spans="1:6">
      <c r="A1912" s="82"/>
      <c r="B1912" s="28"/>
      <c r="C1912" s="28"/>
      <c r="D1912" s="28"/>
      <c r="E1912" s="28"/>
      <c r="F1912" s="29"/>
    </row>
    <row r="1913" spans="1:6">
      <c r="A1913" s="74"/>
      <c r="B1913" s="28"/>
      <c r="C1913" s="28"/>
      <c r="D1913" s="28"/>
      <c r="E1913" s="28"/>
      <c r="F1913" s="29"/>
    </row>
    <row r="1914" spans="1:6">
      <c r="A1914" s="74"/>
      <c r="B1914" s="28"/>
      <c r="C1914" s="28"/>
      <c r="D1914" s="28"/>
      <c r="E1914" s="28"/>
      <c r="F1914" s="29"/>
    </row>
    <row r="1915" spans="1:6">
      <c r="A1915" s="74"/>
      <c r="B1915" s="28"/>
      <c r="C1915" s="28"/>
      <c r="D1915" s="28"/>
      <c r="E1915" s="28"/>
      <c r="F1915" s="29"/>
    </row>
    <row r="1916" spans="1:6">
      <c r="A1916" s="74"/>
      <c r="B1916" s="28"/>
      <c r="C1916" s="28"/>
      <c r="D1916" s="28"/>
      <c r="E1916" s="28"/>
      <c r="F1916" s="29"/>
    </row>
    <row r="1917" spans="1:6">
      <c r="A1917" s="82"/>
      <c r="B1917" s="28"/>
      <c r="C1917" s="28"/>
      <c r="D1917" s="28"/>
      <c r="E1917" s="28"/>
      <c r="F1917" s="29"/>
    </row>
    <row r="1918" spans="1:6">
      <c r="A1918" s="74"/>
      <c r="B1918" s="28"/>
      <c r="C1918" s="28"/>
      <c r="D1918" s="28"/>
      <c r="E1918" s="28"/>
      <c r="F1918" s="29"/>
    </row>
    <row r="1919" spans="1:6">
      <c r="A1919" s="18"/>
      <c r="B1919" s="28"/>
      <c r="C1919" s="28"/>
      <c r="D1919" s="28"/>
      <c r="E1919" s="28"/>
      <c r="F1919" s="29"/>
    </row>
    <row r="1920" spans="1:6">
      <c r="F1920" s="32"/>
    </row>
    <row r="1921" spans="2:6">
      <c r="F1921" s="32"/>
    </row>
    <row r="1925" spans="2:6">
      <c r="F1925" s="32"/>
    </row>
    <row r="1926" spans="2:6">
      <c r="F1926" s="32"/>
    </row>
    <row r="1927" spans="2:6">
      <c r="F1927" s="32"/>
    </row>
    <row r="1932" spans="2:6">
      <c r="B1932" s="28"/>
      <c r="F1932" s="32"/>
    </row>
    <row r="1933" spans="2:6">
      <c r="B1933" s="28"/>
      <c r="F1933" s="32"/>
    </row>
    <row r="1934" spans="2:6">
      <c r="B1934" s="28"/>
      <c r="F1934" s="32"/>
    </row>
  </sheetData>
  <mergeCells count="12">
    <mergeCell ref="E1:P1"/>
    <mergeCell ref="E2:P2"/>
    <mergeCell ref="E3:P3"/>
    <mergeCell ref="E7:P7"/>
    <mergeCell ref="E4:P4"/>
    <mergeCell ref="S7:T7"/>
    <mergeCell ref="E9:P9"/>
    <mergeCell ref="E10:P10"/>
    <mergeCell ref="E16:N16"/>
    <mergeCell ref="A15:F15"/>
    <mergeCell ref="A14:F14"/>
    <mergeCell ref="E8:P8"/>
  </mergeCells>
  <phoneticPr fontId="8" type="noConversion"/>
  <dataValidations count="3">
    <dataValidation type="list" allowBlank="1" showInputMessage="1" showErrorMessage="1" sqref="B18:B1811">
      <formula1>Код_КЦСР</formula1>
    </dataValidation>
    <dataValidation type="list" allowBlank="1" showInputMessage="1" showErrorMessage="1" sqref="E18:E1811">
      <formula1>Код_КВР</formula1>
    </dataValidation>
    <dataValidation type="list" allowBlank="1" showInputMessage="1" showErrorMessage="1" sqref="C18:C1811">
      <formula1>Код_Раздел</formula1>
    </dataValidation>
  </dataValidations>
  <pageMargins left="1.1811023622047245" right="0.39370078740157483" top="0.78740157480314965" bottom="0.78740157480314965" header="0.31496062992125984" footer="0.31496062992125984"/>
  <pageSetup paperSize="9" scale="50" fitToHeight="0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 filterMode="1">
    <pageSetUpPr fitToPage="1"/>
  </sheetPr>
  <dimension ref="A1:AD1752"/>
  <sheetViews>
    <sheetView showZeros="0" view="pageBreakPreview" topLeftCell="A1567" zoomScale="79" zoomScaleNormal="84" zoomScaleSheetLayoutView="79" workbookViewId="0">
      <selection activeCell="A364" sqref="A364"/>
    </sheetView>
  </sheetViews>
  <sheetFormatPr defaultColWidth="9.140625" defaultRowHeight="16.5"/>
  <cols>
    <col min="1" max="1" width="80" style="18" customWidth="1"/>
    <col min="2" max="2" width="10.28515625" style="89" customWidth="1"/>
    <col min="3" max="3" width="9" style="89" customWidth="1"/>
    <col min="4" max="4" width="9.5703125" style="89" customWidth="1"/>
    <col min="5" max="5" width="15.85546875" style="23" customWidth="1"/>
    <col min="6" max="6" width="10.42578125" style="89" customWidth="1"/>
    <col min="7" max="7" width="17" style="67" hidden="1" customWidth="1"/>
    <col min="8" max="8" width="12.85546875" style="89" hidden="1" customWidth="1"/>
    <col min="9" max="9" width="15.85546875" style="89" hidden="1" customWidth="1"/>
    <col min="10" max="10" width="13" style="89" hidden="1" customWidth="1"/>
    <col min="11" max="11" width="22.28515625" style="89" hidden="1" customWidth="1"/>
    <col min="12" max="12" width="17.28515625" style="89" hidden="1" customWidth="1"/>
    <col min="13" max="13" width="24.85546875" style="89" hidden="1" customWidth="1"/>
    <col min="14" max="14" width="13.85546875" style="89" hidden="1" customWidth="1"/>
    <col min="15" max="15" width="20.140625" style="89" hidden="1" customWidth="1"/>
    <col min="16" max="16" width="16.85546875" style="89" hidden="1" customWidth="1"/>
    <col min="17" max="17" width="22.5703125" style="101" hidden="1" customWidth="1"/>
    <col min="18" max="18" width="15" style="89" hidden="1" customWidth="1"/>
    <col min="19" max="19" width="25.140625" style="101" customWidth="1"/>
    <col min="20" max="20" width="15.28515625" style="89" customWidth="1"/>
    <col min="21" max="21" width="20.28515625" style="101" customWidth="1"/>
    <col min="22" max="22" width="12.42578125" style="89" bestFit="1" customWidth="1"/>
    <col min="23" max="16384" width="9.140625" style="89"/>
  </cols>
  <sheetData>
    <row r="1" spans="1:30" ht="16.7" customHeight="1">
      <c r="T1" s="185" t="s">
        <v>713</v>
      </c>
      <c r="U1" s="185"/>
      <c r="V1" s="121"/>
      <c r="W1" s="121"/>
      <c r="X1" s="121"/>
      <c r="Y1" s="121"/>
      <c r="Z1" s="121"/>
      <c r="AA1" s="121"/>
      <c r="AB1" s="121"/>
      <c r="AC1" s="121"/>
      <c r="AD1" s="121"/>
    </row>
    <row r="2" spans="1:30">
      <c r="T2" s="147" t="s">
        <v>268</v>
      </c>
      <c r="U2" s="108"/>
      <c r="V2" s="147"/>
      <c r="W2" s="147"/>
      <c r="X2" s="147"/>
      <c r="Y2" s="147"/>
      <c r="Z2" s="147"/>
      <c r="AA2" s="147"/>
      <c r="AB2" s="147"/>
      <c r="AC2" s="147"/>
      <c r="AD2" s="147"/>
    </row>
    <row r="3" spans="1:30">
      <c r="T3" s="147" t="s">
        <v>257</v>
      </c>
      <c r="U3" s="108"/>
      <c r="V3" s="147"/>
      <c r="W3" s="147"/>
      <c r="X3" s="147"/>
      <c r="Y3" s="147"/>
      <c r="Z3" s="147"/>
      <c r="AA3" s="147"/>
      <c r="AB3" s="147"/>
      <c r="AC3" s="147"/>
      <c r="AD3" s="147"/>
    </row>
    <row r="4" spans="1:30">
      <c r="T4" s="147" t="s">
        <v>688</v>
      </c>
      <c r="U4" s="108"/>
      <c r="V4" s="147"/>
      <c r="W4" s="147"/>
      <c r="X4" s="147"/>
      <c r="Y4" s="147"/>
      <c r="Z4" s="147"/>
      <c r="AA4" s="147"/>
      <c r="AB4" s="147"/>
      <c r="AD4" s="101"/>
    </row>
    <row r="5" spans="1:30">
      <c r="T5" s="19"/>
      <c r="U5" s="108"/>
      <c r="V5" s="147"/>
      <c r="W5" s="19"/>
      <c r="X5" s="19"/>
      <c r="Y5" s="19"/>
      <c r="Z5" s="19"/>
      <c r="AA5" s="19"/>
      <c r="AB5" s="19"/>
      <c r="AD5" s="101"/>
    </row>
    <row r="6" spans="1:30">
      <c r="T6" s="19"/>
      <c r="U6" s="108"/>
      <c r="V6" s="147"/>
      <c r="W6" s="19"/>
      <c r="X6" s="19"/>
      <c r="Y6" s="19"/>
      <c r="Z6" s="19"/>
      <c r="AA6" s="19"/>
      <c r="AB6" s="19"/>
      <c r="AD6" s="101"/>
    </row>
    <row r="7" spans="1:30" ht="16.7" customHeight="1">
      <c r="T7" s="184" t="s">
        <v>249</v>
      </c>
      <c r="U7" s="184"/>
      <c r="V7" s="122"/>
      <c r="W7" s="122"/>
      <c r="X7" s="122"/>
      <c r="Y7" s="122"/>
      <c r="Z7" s="122"/>
      <c r="AA7" s="122"/>
      <c r="AB7" s="122"/>
      <c r="AC7" s="122"/>
      <c r="AD7" s="122"/>
    </row>
    <row r="8" spans="1:30">
      <c r="T8" s="147" t="s">
        <v>268</v>
      </c>
      <c r="U8" s="108"/>
      <c r="V8" s="147"/>
      <c r="W8" s="147"/>
      <c r="X8" s="147"/>
      <c r="Y8" s="147"/>
      <c r="Z8" s="147"/>
      <c r="AA8" s="147"/>
      <c r="AB8" s="147"/>
      <c r="AC8" s="147"/>
      <c r="AD8" s="147"/>
    </row>
    <row r="9" spans="1:30">
      <c r="T9" s="147" t="s">
        <v>257</v>
      </c>
      <c r="U9" s="108"/>
      <c r="V9" s="147"/>
      <c r="W9" s="147"/>
      <c r="X9" s="147"/>
      <c r="Y9" s="147"/>
      <c r="Z9" s="147"/>
      <c r="AA9" s="147"/>
      <c r="AB9" s="147"/>
      <c r="AC9" s="147"/>
      <c r="AD9" s="147"/>
    </row>
    <row r="10" spans="1:30">
      <c r="T10" s="147" t="s">
        <v>111</v>
      </c>
      <c r="U10" s="108"/>
      <c r="V10" s="147"/>
      <c r="W10" s="147"/>
      <c r="X10" s="147"/>
      <c r="Y10" s="147"/>
      <c r="Z10" s="147"/>
      <c r="AA10" s="147"/>
      <c r="AB10" s="147"/>
      <c r="AC10" s="147"/>
      <c r="AD10" s="147"/>
    </row>
    <row r="11" spans="1:30">
      <c r="F11" s="147"/>
      <c r="G11" s="20"/>
    </row>
    <row r="12" spans="1:30">
      <c r="F12" s="147"/>
      <c r="G12" s="20"/>
    </row>
    <row r="13" spans="1:30">
      <c r="F13" s="147"/>
      <c r="G13" s="20"/>
    </row>
    <row r="14" spans="1:30">
      <c r="E14" s="121"/>
      <c r="F14" s="121"/>
      <c r="G14" s="68"/>
    </row>
    <row r="15" spans="1:30">
      <c r="F15" s="121"/>
      <c r="G15" s="68"/>
    </row>
    <row r="16" spans="1:30">
      <c r="A16" s="183" t="s">
        <v>174</v>
      </c>
      <c r="B16" s="183"/>
      <c r="C16" s="183"/>
      <c r="D16" s="183"/>
      <c r="E16" s="183"/>
      <c r="F16" s="183"/>
      <c r="G16" s="183"/>
    </row>
    <row r="17" spans="1:26" ht="38.25" customHeight="1">
      <c r="A17" s="167" t="s">
        <v>397</v>
      </c>
      <c r="B17" s="167"/>
      <c r="C17" s="167"/>
      <c r="D17" s="167"/>
      <c r="E17" s="167"/>
      <c r="F17" s="167"/>
      <c r="G17" s="167"/>
    </row>
    <row r="18" spans="1:26">
      <c r="A18" s="74"/>
      <c r="B18" s="144"/>
      <c r="C18" s="121"/>
      <c r="D18" s="121"/>
      <c r="E18" s="121"/>
      <c r="F18" s="121"/>
    </row>
    <row r="19" spans="1:26" ht="16.7" customHeight="1">
      <c r="B19" s="121"/>
      <c r="C19" s="121"/>
      <c r="D19" s="121"/>
      <c r="E19" s="121"/>
      <c r="F19" s="31"/>
      <c r="G19" s="31"/>
      <c r="H19" s="31"/>
      <c r="I19" s="31"/>
      <c r="J19" s="31"/>
      <c r="K19" s="31"/>
      <c r="L19" s="31"/>
      <c r="M19" s="31"/>
      <c r="N19" s="31"/>
      <c r="O19" s="31"/>
      <c r="Q19" s="31"/>
      <c r="R19" s="31"/>
      <c r="S19" s="31"/>
      <c r="T19" s="31"/>
      <c r="U19" s="31" t="s">
        <v>270</v>
      </c>
      <c r="V19" s="31"/>
      <c r="W19" s="31"/>
      <c r="X19" s="31"/>
      <c r="Y19" s="31"/>
      <c r="Z19" s="31"/>
    </row>
    <row r="20" spans="1:26" s="148" customFormat="1" ht="81.75" customHeight="1">
      <c r="A20" s="143" t="s">
        <v>209</v>
      </c>
      <c r="B20" s="145" t="s">
        <v>197</v>
      </c>
      <c r="C20" s="145" t="s">
        <v>210</v>
      </c>
      <c r="D20" s="145" t="s">
        <v>227</v>
      </c>
      <c r="E20" s="145" t="s">
        <v>228</v>
      </c>
      <c r="F20" s="145" t="s">
        <v>229</v>
      </c>
      <c r="G20" s="146" t="s">
        <v>587</v>
      </c>
      <c r="H20" s="143" t="s">
        <v>586</v>
      </c>
      <c r="I20" s="143" t="s">
        <v>588</v>
      </c>
      <c r="J20" s="143" t="s">
        <v>586</v>
      </c>
      <c r="K20" s="143" t="s">
        <v>621</v>
      </c>
      <c r="L20" s="143" t="s">
        <v>620</v>
      </c>
      <c r="M20" s="143" t="s">
        <v>625</v>
      </c>
      <c r="N20" s="143" t="s">
        <v>586</v>
      </c>
      <c r="O20" s="143" t="s">
        <v>634</v>
      </c>
      <c r="P20" s="143" t="s">
        <v>586</v>
      </c>
      <c r="Q20" s="143" t="s">
        <v>638</v>
      </c>
      <c r="R20" s="143" t="s">
        <v>586</v>
      </c>
      <c r="S20" s="152" t="s">
        <v>714</v>
      </c>
      <c r="T20" s="143" t="s">
        <v>586</v>
      </c>
      <c r="U20" s="143" t="s">
        <v>685</v>
      </c>
    </row>
    <row r="21" spans="1:26" s="148" customFormat="1">
      <c r="A21" s="61" t="str">
        <f ca="1">IF(ISERROR(MATCH(B21,Код_ППП,0)),"",INDIRECT(ADDRESS(MATCH(B21,Код_ППП,0)+1,2,,,"ППП")))</f>
        <v>МЭРИЯ ГОРОДА</v>
      </c>
      <c r="B21" s="145">
        <v>801</v>
      </c>
      <c r="C21" s="8"/>
      <c r="D21" s="8"/>
      <c r="E21" s="145"/>
      <c r="F21" s="145"/>
      <c r="G21" s="69">
        <f>G22+G175+G233+G303+G333+G369</f>
        <v>465136.20000000007</v>
      </c>
      <c r="H21" s="69">
        <f>H22+H175+H233+H303+H333+H369</f>
        <v>0</v>
      </c>
      <c r="I21" s="69">
        <f>G21+H21</f>
        <v>465136.20000000007</v>
      </c>
      <c r="J21" s="69">
        <f>J22+J175+J233+J303+J333+J369</f>
        <v>10849.800000000003</v>
      </c>
      <c r="K21" s="85">
        <f>I21+J21</f>
        <v>475986.00000000006</v>
      </c>
      <c r="L21" s="13">
        <f>L22+L175+L233+L303+L333+L369</f>
        <v>-3492.2</v>
      </c>
      <c r="M21" s="85">
        <f>K21+L21</f>
        <v>472493.80000000005</v>
      </c>
      <c r="N21" s="13">
        <f>N22+N175+N233+N303+N333+N369</f>
        <v>805</v>
      </c>
      <c r="O21" s="85">
        <f>M21+N21</f>
        <v>473298.80000000005</v>
      </c>
      <c r="P21" s="13">
        <f>P22+P175+P233+P303+P333+P369</f>
        <v>12800</v>
      </c>
      <c r="Q21" s="85">
        <f>O21+P21</f>
        <v>486098.80000000005</v>
      </c>
      <c r="R21" s="13">
        <f>R22+R175+R233+R303+R333+R369</f>
        <v>-506.10000000000036</v>
      </c>
      <c r="S21" s="85">
        <f>Q21+R21</f>
        <v>485592.70000000007</v>
      </c>
      <c r="T21" s="13">
        <f>T22+T175+T233+T303+T333+T369</f>
        <v>5198.3999999999996</v>
      </c>
      <c r="U21" s="85">
        <f>S21+T21</f>
        <v>490791.10000000009</v>
      </c>
    </row>
    <row r="22" spans="1:26" s="148" customFormat="1">
      <c r="A22" s="61" t="str">
        <f ca="1">IF(ISERROR(MATCH(C22,Код_Раздел,0)),"",INDIRECT(ADDRESS(MATCH(C22,Код_Раздел,0)+1,2,,,"Раздел")))</f>
        <v>Общегосударственные  вопросы</v>
      </c>
      <c r="B22" s="145">
        <v>801</v>
      </c>
      <c r="C22" s="8" t="s">
        <v>213</v>
      </c>
      <c r="D22" s="8"/>
      <c r="E22" s="145"/>
      <c r="F22" s="145"/>
      <c r="G22" s="69">
        <f>G23+G30+G65+G72</f>
        <v>248789</v>
      </c>
      <c r="H22" s="69">
        <f>H23+H30+H65+H72</f>
        <v>0</v>
      </c>
      <c r="I22" s="69">
        <f t="shared" ref="I22:I94" si="0">G22+H22</f>
        <v>248789</v>
      </c>
      <c r="J22" s="69">
        <f>J23+J30+J65+J72</f>
        <v>9039.4000000000015</v>
      </c>
      <c r="K22" s="85">
        <f t="shared" ref="K22:K94" si="1">I22+J22</f>
        <v>257828.4</v>
      </c>
      <c r="L22" s="13">
        <f>L23+L30+L65+L72</f>
        <v>754.3</v>
      </c>
      <c r="M22" s="85">
        <f t="shared" ref="M22:M93" si="2">K22+L22</f>
        <v>258582.69999999998</v>
      </c>
      <c r="N22" s="13">
        <f>N23+N30+N65+N72</f>
        <v>450.5</v>
      </c>
      <c r="O22" s="85">
        <f t="shared" ref="O22:O93" si="3">M22+N22</f>
        <v>259033.19999999998</v>
      </c>
      <c r="P22" s="13">
        <f>P23+P30+P65+P72</f>
        <v>0</v>
      </c>
      <c r="Q22" s="85">
        <f t="shared" ref="Q22:Q91" si="4">O22+P22</f>
        <v>259033.19999999998</v>
      </c>
      <c r="R22" s="13">
        <f>R23+R30+R65+R72</f>
        <v>1784.9</v>
      </c>
      <c r="S22" s="85">
        <f t="shared" ref="S22:S91" si="5">Q22+R22</f>
        <v>260818.09999999998</v>
      </c>
      <c r="T22" s="13">
        <f>T23+T30+T65+T72</f>
        <v>4797.3999999999996</v>
      </c>
      <c r="U22" s="85">
        <f t="shared" ref="U22:U85" si="6">S22+T22</f>
        <v>265615.5</v>
      </c>
    </row>
    <row r="23" spans="1:26" s="148" customFormat="1" ht="33">
      <c r="A23" s="75" t="s">
        <v>233</v>
      </c>
      <c r="B23" s="145">
        <v>801</v>
      </c>
      <c r="C23" s="8" t="s">
        <v>213</v>
      </c>
      <c r="D23" s="8" t="s">
        <v>214</v>
      </c>
      <c r="E23" s="145"/>
      <c r="F23" s="145"/>
      <c r="G23" s="69">
        <f t="shared" ref="G23:T28" si="7">G24</f>
        <v>2998</v>
      </c>
      <c r="H23" s="69">
        <f t="shared" si="7"/>
        <v>0</v>
      </c>
      <c r="I23" s="69">
        <f t="shared" si="0"/>
        <v>2998</v>
      </c>
      <c r="J23" s="69">
        <f t="shared" si="7"/>
        <v>0</v>
      </c>
      <c r="K23" s="85">
        <f t="shared" si="1"/>
        <v>2998</v>
      </c>
      <c r="L23" s="13">
        <f t="shared" si="7"/>
        <v>0</v>
      </c>
      <c r="M23" s="85">
        <f t="shared" si="2"/>
        <v>2998</v>
      </c>
      <c r="N23" s="13">
        <f t="shared" si="7"/>
        <v>0</v>
      </c>
      <c r="O23" s="85">
        <f t="shared" si="3"/>
        <v>2998</v>
      </c>
      <c r="P23" s="13">
        <f t="shared" si="7"/>
        <v>0</v>
      </c>
      <c r="Q23" s="85">
        <f t="shared" si="4"/>
        <v>2998</v>
      </c>
      <c r="R23" s="13">
        <f t="shared" si="7"/>
        <v>0</v>
      </c>
      <c r="S23" s="85">
        <f t="shared" si="5"/>
        <v>2998</v>
      </c>
      <c r="T23" s="13">
        <f t="shared" si="7"/>
        <v>0</v>
      </c>
      <c r="U23" s="85">
        <f t="shared" si="6"/>
        <v>2998</v>
      </c>
    </row>
    <row r="24" spans="1:26" s="148" customFormat="1" ht="33">
      <c r="A24" s="61" t="str">
        <f ca="1">IF(ISERROR(MATCH(E24,Код_КЦСР,0)),"",INDIRECT(ADDRESS(MATCH(E24,Код_КЦСР,0)+1,2,,,"КЦСР")))</f>
        <v>Непрограммные направления деятельности органов местного самоуправления</v>
      </c>
      <c r="B24" s="145">
        <v>801</v>
      </c>
      <c r="C24" s="8" t="s">
        <v>213</v>
      </c>
      <c r="D24" s="8" t="s">
        <v>214</v>
      </c>
      <c r="E24" s="145" t="s">
        <v>299</v>
      </c>
      <c r="F24" s="145"/>
      <c r="G24" s="69">
        <f t="shared" si="7"/>
        <v>2998</v>
      </c>
      <c r="H24" s="69">
        <f t="shared" si="7"/>
        <v>0</v>
      </c>
      <c r="I24" s="69">
        <f t="shared" si="0"/>
        <v>2998</v>
      </c>
      <c r="J24" s="69">
        <f t="shared" si="7"/>
        <v>0</v>
      </c>
      <c r="K24" s="85">
        <f t="shared" si="1"/>
        <v>2998</v>
      </c>
      <c r="L24" s="13">
        <f t="shared" si="7"/>
        <v>0</v>
      </c>
      <c r="M24" s="85">
        <f t="shared" si="2"/>
        <v>2998</v>
      </c>
      <c r="N24" s="13">
        <f t="shared" si="7"/>
        <v>0</v>
      </c>
      <c r="O24" s="85">
        <f t="shared" si="3"/>
        <v>2998</v>
      </c>
      <c r="P24" s="13">
        <f t="shared" si="7"/>
        <v>0</v>
      </c>
      <c r="Q24" s="85">
        <f t="shared" si="4"/>
        <v>2998</v>
      </c>
      <c r="R24" s="13">
        <f t="shared" si="7"/>
        <v>0</v>
      </c>
      <c r="S24" s="85">
        <f t="shared" si="5"/>
        <v>2998</v>
      </c>
      <c r="T24" s="13">
        <f t="shared" si="7"/>
        <v>0</v>
      </c>
      <c r="U24" s="85">
        <f t="shared" si="6"/>
        <v>2998</v>
      </c>
    </row>
    <row r="25" spans="1:26" s="148" customFormat="1">
      <c r="A25" s="61" t="str">
        <f ca="1">IF(ISERROR(MATCH(E25,Код_КЦСР,0)),"",INDIRECT(ADDRESS(MATCH(E25,Код_КЦСР,0)+1,2,,,"КЦСР")))</f>
        <v>Расходы, не включенные в муниципальные программы города Череповца</v>
      </c>
      <c r="B25" s="145">
        <v>801</v>
      </c>
      <c r="C25" s="8" t="s">
        <v>213</v>
      </c>
      <c r="D25" s="8" t="s">
        <v>214</v>
      </c>
      <c r="E25" s="145" t="s">
        <v>301</v>
      </c>
      <c r="F25" s="145"/>
      <c r="G25" s="69">
        <f t="shared" si="7"/>
        <v>2998</v>
      </c>
      <c r="H25" s="69">
        <f t="shared" si="7"/>
        <v>0</v>
      </c>
      <c r="I25" s="69">
        <f t="shared" si="0"/>
        <v>2998</v>
      </c>
      <c r="J25" s="69">
        <f t="shared" si="7"/>
        <v>0</v>
      </c>
      <c r="K25" s="85">
        <f t="shared" si="1"/>
        <v>2998</v>
      </c>
      <c r="L25" s="13">
        <f t="shared" si="7"/>
        <v>0</v>
      </c>
      <c r="M25" s="85">
        <f t="shared" si="2"/>
        <v>2998</v>
      </c>
      <c r="N25" s="13">
        <f t="shared" si="7"/>
        <v>0</v>
      </c>
      <c r="O25" s="85">
        <f t="shared" si="3"/>
        <v>2998</v>
      </c>
      <c r="P25" s="13">
        <f t="shared" si="7"/>
        <v>0</v>
      </c>
      <c r="Q25" s="85">
        <f t="shared" si="4"/>
        <v>2998</v>
      </c>
      <c r="R25" s="13">
        <f t="shared" si="7"/>
        <v>0</v>
      </c>
      <c r="S25" s="85">
        <f t="shared" si="5"/>
        <v>2998</v>
      </c>
      <c r="T25" s="13">
        <f t="shared" si="7"/>
        <v>0</v>
      </c>
      <c r="U25" s="85">
        <f t="shared" si="6"/>
        <v>2998</v>
      </c>
    </row>
    <row r="26" spans="1:26" s="148" customFormat="1" ht="33">
      <c r="A26" s="61" t="str">
        <f ca="1">IF(ISERROR(MATCH(E26,Код_КЦСР,0)),"",INDIRECT(ADDRESS(MATCH(E26,Код_КЦСР,0)+1,2,,,"КЦСР")))</f>
        <v>Руководство и управление в сфере установленных функций органов местного самоуправления</v>
      </c>
      <c r="B26" s="145">
        <v>801</v>
      </c>
      <c r="C26" s="8" t="s">
        <v>213</v>
      </c>
      <c r="D26" s="8" t="s">
        <v>214</v>
      </c>
      <c r="E26" s="145" t="s">
        <v>303</v>
      </c>
      <c r="F26" s="145"/>
      <c r="G26" s="69">
        <f t="shared" si="7"/>
        <v>2998</v>
      </c>
      <c r="H26" s="69">
        <f t="shared" si="7"/>
        <v>0</v>
      </c>
      <c r="I26" s="69">
        <f t="shared" si="0"/>
        <v>2998</v>
      </c>
      <c r="J26" s="69">
        <f t="shared" si="7"/>
        <v>0</v>
      </c>
      <c r="K26" s="85">
        <f t="shared" si="1"/>
        <v>2998</v>
      </c>
      <c r="L26" s="13">
        <f t="shared" si="7"/>
        <v>0</v>
      </c>
      <c r="M26" s="85">
        <f t="shared" si="2"/>
        <v>2998</v>
      </c>
      <c r="N26" s="13">
        <f t="shared" si="7"/>
        <v>0</v>
      </c>
      <c r="O26" s="85">
        <f t="shared" si="3"/>
        <v>2998</v>
      </c>
      <c r="P26" s="13">
        <f t="shared" si="7"/>
        <v>0</v>
      </c>
      <c r="Q26" s="85">
        <f t="shared" si="4"/>
        <v>2998</v>
      </c>
      <c r="R26" s="13">
        <f t="shared" si="7"/>
        <v>0</v>
      </c>
      <c r="S26" s="85">
        <f t="shared" si="5"/>
        <v>2998</v>
      </c>
      <c r="T26" s="13">
        <f t="shared" si="7"/>
        <v>0</v>
      </c>
      <c r="U26" s="85">
        <f t="shared" si="6"/>
        <v>2998</v>
      </c>
    </row>
    <row r="27" spans="1:26" s="148" customFormat="1">
      <c r="A27" s="61" t="str">
        <f ca="1">IF(ISERROR(MATCH(E27,Код_КЦСР,0)),"",INDIRECT(ADDRESS(MATCH(E27,Код_КЦСР,0)+1,2,,,"КЦСР")))</f>
        <v>Глава муниципального образования</v>
      </c>
      <c r="B27" s="145">
        <v>801</v>
      </c>
      <c r="C27" s="8" t="s">
        <v>213</v>
      </c>
      <c r="D27" s="8" t="s">
        <v>214</v>
      </c>
      <c r="E27" s="145" t="s">
        <v>305</v>
      </c>
      <c r="F27" s="145"/>
      <c r="G27" s="69">
        <f t="shared" si="7"/>
        <v>2998</v>
      </c>
      <c r="H27" s="69">
        <f t="shared" si="7"/>
        <v>0</v>
      </c>
      <c r="I27" s="69">
        <f t="shared" si="0"/>
        <v>2998</v>
      </c>
      <c r="J27" s="69">
        <f t="shared" si="7"/>
        <v>0</v>
      </c>
      <c r="K27" s="85">
        <f t="shared" si="1"/>
        <v>2998</v>
      </c>
      <c r="L27" s="13">
        <f t="shared" si="7"/>
        <v>0</v>
      </c>
      <c r="M27" s="85">
        <f t="shared" si="2"/>
        <v>2998</v>
      </c>
      <c r="N27" s="13">
        <f t="shared" si="7"/>
        <v>0</v>
      </c>
      <c r="O27" s="85">
        <f t="shared" si="3"/>
        <v>2998</v>
      </c>
      <c r="P27" s="13">
        <f t="shared" si="7"/>
        <v>0</v>
      </c>
      <c r="Q27" s="85">
        <f t="shared" si="4"/>
        <v>2998</v>
      </c>
      <c r="R27" s="13">
        <f t="shared" si="7"/>
        <v>0</v>
      </c>
      <c r="S27" s="85">
        <f t="shared" si="5"/>
        <v>2998</v>
      </c>
      <c r="T27" s="13">
        <f t="shared" si="7"/>
        <v>0</v>
      </c>
      <c r="U27" s="85">
        <f t="shared" si="6"/>
        <v>2998</v>
      </c>
    </row>
    <row r="28" spans="1:26" s="148" customFormat="1" ht="33">
      <c r="A28" s="61" t="str">
        <f ca="1">IF(ISERROR(MATCH(F28,Код_КВР,0)),"",INDIRECT(ADDRESS(MATCH(F28,Код_КВР,0)+1,2,,,"КВР")))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28" s="145">
        <v>801</v>
      </c>
      <c r="C28" s="8" t="s">
        <v>213</v>
      </c>
      <c r="D28" s="8" t="s">
        <v>214</v>
      </c>
      <c r="E28" s="145" t="s">
        <v>305</v>
      </c>
      <c r="F28" s="145">
        <v>100</v>
      </c>
      <c r="G28" s="69">
        <f t="shared" si="7"/>
        <v>2998</v>
      </c>
      <c r="H28" s="69">
        <f t="shared" si="7"/>
        <v>0</v>
      </c>
      <c r="I28" s="69">
        <f t="shared" si="0"/>
        <v>2998</v>
      </c>
      <c r="J28" s="69">
        <f t="shared" si="7"/>
        <v>0</v>
      </c>
      <c r="K28" s="85">
        <f t="shared" si="1"/>
        <v>2998</v>
      </c>
      <c r="L28" s="13">
        <f t="shared" si="7"/>
        <v>0</v>
      </c>
      <c r="M28" s="85">
        <f t="shared" si="2"/>
        <v>2998</v>
      </c>
      <c r="N28" s="13">
        <f t="shared" si="7"/>
        <v>0</v>
      </c>
      <c r="O28" s="85">
        <f t="shared" si="3"/>
        <v>2998</v>
      </c>
      <c r="P28" s="13">
        <f t="shared" si="7"/>
        <v>0</v>
      </c>
      <c r="Q28" s="85">
        <f t="shared" si="4"/>
        <v>2998</v>
      </c>
      <c r="R28" s="13">
        <f t="shared" si="7"/>
        <v>0</v>
      </c>
      <c r="S28" s="85">
        <f t="shared" si="5"/>
        <v>2998</v>
      </c>
      <c r="T28" s="13">
        <f t="shared" si="7"/>
        <v>0</v>
      </c>
      <c r="U28" s="85">
        <f t="shared" si="6"/>
        <v>2998</v>
      </c>
    </row>
    <row r="29" spans="1:26" s="148" customFormat="1">
      <c r="A29" s="61" t="str">
        <f ca="1">IF(ISERROR(MATCH(F29,Код_КВР,0)),"",INDIRECT(ADDRESS(MATCH(F29,Код_КВР,0)+1,2,,,"КВР")))</f>
        <v>Расходы на выплаты персоналу муниципальных органов</v>
      </c>
      <c r="B29" s="145">
        <v>801</v>
      </c>
      <c r="C29" s="8" t="s">
        <v>213</v>
      </c>
      <c r="D29" s="8" t="s">
        <v>214</v>
      </c>
      <c r="E29" s="145" t="s">
        <v>305</v>
      </c>
      <c r="F29" s="145">
        <v>120</v>
      </c>
      <c r="G29" s="69">
        <v>2998</v>
      </c>
      <c r="H29" s="64"/>
      <c r="I29" s="69">
        <f t="shared" si="0"/>
        <v>2998</v>
      </c>
      <c r="J29" s="64"/>
      <c r="K29" s="85">
        <f t="shared" si="1"/>
        <v>2998</v>
      </c>
      <c r="L29" s="85"/>
      <c r="M29" s="85">
        <f t="shared" si="2"/>
        <v>2998</v>
      </c>
      <c r="N29" s="85"/>
      <c r="O29" s="85">
        <f t="shared" si="3"/>
        <v>2998</v>
      </c>
      <c r="P29" s="85"/>
      <c r="Q29" s="85">
        <f t="shared" si="4"/>
        <v>2998</v>
      </c>
      <c r="R29" s="85"/>
      <c r="S29" s="85">
        <f t="shared" si="5"/>
        <v>2998</v>
      </c>
      <c r="T29" s="85"/>
      <c r="U29" s="85">
        <f t="shared" si="6"/>
        <v>2998</v>
      </c>
    </row>
    <row r="30" spans="1:26" s="148" customFormat="1" ht="49.5">
      <c r="A30" s="76" t="s">
        <v>235</v>
      </c>
      <c r="B30" s="145">
        <v>801</v>
      </c>
      <c r="C30" s="8" t="s">
        <v>213</v>
      </c>
      <c r="D30" s="8" t="s">
        <v>216</v>
      </c>
      <c r="E30" s="145"/>
      <c r="F30" s="145"/>
      <c r="G30" s="69">
        <f>G31</f>
        <v>126109.40000000001</v>
      </c>
      <c r="H30" s="69">
        <f t="shared" ref="H30:T31" si="8">H31</f>
        <v>0</v>
      </c>
      <c r="I30" s="69">
        <f t="shared" si="0"/>
        <v>126109.40000000001</v>
      </c>
      <c r="J30" s="69">
        <f t="shared" si="8"/>
        <v>0</v>
      </c>
      <c r="K30" s="85">
        <f t="shared" si="1"/>
        <v>126109.40000000001</v>
      </c>
      <c r="L30" s="13">
        <f t="shared" si="8"/>
        <v>0</v>
      </c>
      <c r="M30" s="85">
        <f t="shared" si="2"/>
        <v>126109.40000000001</v>
      </c>
      <c r="N30" s="13">
        <f t="shared" si="8"/>
        <v>222.5</v>
      </c>
      <c r="O30" s="85">
        <f t="shared" si="3"/>
        <v>126331.90000000001</v>
      </c>
      <c r="P30" s="13">
        <f t="shared" si="8"/>
        <v>0</v>
      </c>
      <c r="Q30" s="85">
        <f t="shared" si="4"/>
        <v>126331.90000000001</v>
      </c>
      <c r="R30" s="13">
        <f t="shared" si="8"/>
        <v>1542.5</v>
      </c>
      <c r="S30" s="85">
        <f t="shared" si="5"/>
        <v>127874.40000000001</v>
      </c>
      <c r="T30" s="13">
        <f t="shared" si="8"/>
        <v>0</v>
      </c>
      <c r="U30" s="85">
        <f t="shared" si="6"/>
        <v>127874.40000000001</v>
      </c>
    </row>
    <row r="31" spans="1:26" s="148" customFormat="1" ht="33">
      <c r="A31" s="61" t="str">
        <f ca="1">IF(ISERROR(MATCH(E31,Код_КЦСР,0)),"",INDIRECT(ADDRESS(MATCH(E31,Код_КЦСР,0)+1,2,,,"КЦСР")))</f>
        <v>Непрограммные направления деятельности органов местного самоуправления</v>
      </c>
      <c r="B31" s="145">
        <v>801</v>
      </c>
      <c r="C31" s="8" t="s">
        <v>213</v>
      </c>
      <c r="D31" s="8" t="s">
        <v>216</v>
      </c>
      <c r="E31" s="145" t="s">
        <v>299</v>
      </c>
      <c r="F31" s="145"/>
      <c r="G31" s="69">
        <f>G32</f>
        <v>126109.40000000001</v>
      </c>
      <c r="H31" s="69">
        <f t="shared" si="8"/>
        <v>0</v>
      </c>
      <c r="I31" s="69">
        <f t="shared" si="0"/>
        <v>126109.40000000001</v>
      </c>
      <c r="J31" s="69">
        <f t="shared" si="8"/>
        <v>0</v>
      </c>
      <c r="K31" s="85">
        <f t="shared" si="1"/>
        <v>126109.40000000001</v>
      </c>
      <c r="L31" s="13">
        <f t="shared" si="8"/>
        <v>0</v>
      </c>
      <c r="M31" s="85">
        <f t="shared" si="2"/>
        <v>126109.40000000001</v>
      </c>
      <c r="N31" s="13">
        <f t="shared" si="8"/>
        <v>222.5</v>
      </c>
      <c r="O31" s="85">
        <f t="shared" si="3"/>
        <v>126331.90000000001</v>
      </c>
      <c r="P31" s="13">
        <f t="shared" si="8"/>
        <v>0</v>
      </c>
      <c r="Q31" s="85">
        <f t="shared" si="4"/>
        <v>126331.90000000001</v>
      </c>
      <c r="R31" s="13">
        <f t="shared" si="8"/>
        <v>1542.5</v>
      </c>
      <c r="S31" s="85">
        <f t="shared" si="5"/>
        <v>127874.40000000001</v>
      </c>
      <c r="T31" s="13">
        <f t="shared" si="8"/>
        <v>0</v>
      </c>
      <c r="U31" s="85">
        <f t="shared" si="6"/>
        <v>127874.40000000001</v>
      </c>
    </row>
    <row r="32" spans="1:26" s="148" customFormat="1">
      <c r="A32" s="61" t="str">
        <f ca="1">IF(ISERROR(MATCH(E32,Код_КЦСР,0)),"",INDIRECT(ADDRESS(MATCH(E32,Код_КЦСР,0)+1,2,,,"КЦСР")))</f>
        <v>Расходы, не включенные в муниципальные программы города Череповца</v>
      </c>
      <c r="B32" s="145">
        <v>801</v>
      </c>
      <c r="C32" s="8" t="s">
        <v>213</v>
      </c>
      <c r="D32" s="8" t="s">
        <v>216</v>
      </c>
      <c r="E32" s="145" t="s">
        <v>301</v>
      </c>
      <c r="F32" s="145"/>
      <c r="G32" s="69">
        <f>G33+G43+G49+G52+G62</f>
        <v>126109.40000000001</v>
      </c>
      <c r="H32" s="69">
        <f>H33+H43+H49+H52+H62</f>
        <v>0</v>
      </c>
      <c r="I32" s="69">
        <f t="shared" si="0"/>
        <v>126109.40000000001</v>
      </c>
      <c r="J32" s="69">
        <f>J33+J43+J49+J52+J62</f>
        <v>0</v>
      </c>
      <c r="K32" s="85">
        <f t="shared" si="1"/>
        <v>126109.40000000001</v>
      </c>
      <c r="L32" s="13">
        <f>L33+L43+L49+L52+L62</f>
        <v>0</v>
      </c>
      <c r="M32" s="85">
        <f t="shared" si="2"/>
        <v>126109.40000000001</v>
      </c>
      <c r="N32" s="13">
        <f>N33+N43+N49+N52+N62</f>
        <v>222.5</v>
      </c>
      <c r="O32" s="85">
        <f t="shared" si="3"/>
        <v>126331.90000000001</v>
      </c>
      <c r="P32" s="13">
        <f>P33+P43+P49+P52+P62</f>
        <v>0</v>
      </c>
      <c r="Q32" s="85">
        <f t="shared" si="4"/>
        <v>126331.90000000001</v>
      </c>
      <c r="R32" s="13">
        <f>R33+R43+R49+R52+R62+R56</f>
        <v>1542.5</v>
      </c>
      <c r="S32" s="85">
        <f t="shared" si="5"/>
        <v>127874.40000000001</v>
      </c>
      <c r="T32" s="13">
        <f>T33+T43+T49+T52+T62+T56</f>
        <v>0</v>
      </c>
      <c r="U32" s="85">
        <f t="shared" si="6"/>
        <v>127874.40000000001</v>
      </c>
    </row>
    <row r="33" spans="1:21" s="148" customFormat="1" ht="33">
      <c r="A33" s="61" t="str">
        <f ca="1">IF(ISERROR(MATCH(E33,Код_КЦСР,0)),"",INDIRECT(ADDRESS(MATCH(E33,Код_КЦСР,0)+1,2,,,"КЦСР")))</f>
        <v>Руководство и управление в сфере установленных функций органов местного самоуправления</v>
      </c>
      <c r="B33" s="145">
        <v>801</v>
      </c>
      <c r="C33" s="8" t="s">
        <v>213</v>
      </c>
      <c r="D33" s="8" t="s">
        <v>216</v>
      </c>
      <c r="E33" s="145" t="s">
        <v>303</v>
      </c>
      <c r="F33" s="145"/>
      <c r="G33" s="69">
        <f>G34</f>
        <v>124245.5</v>
      </c>
      <c r="H33" s="69">
        <f t="shared" ref="H33:T33" si="9">H34</f>
        <v>0</v>
      </c>
      <c r="I33" s="69">
        <f t="shared" si="0"/>
        <v>124245.5</v>
      </c>
      <c r="J33" s="69">
        <f t="shared" si="9"/>
        <v>0</v>
      </c>
      <c r="K33" s="85">
        <f t="shared" si="1"/>
        <v>124245.5</v>
      </c>
      <c r="L33" s="13">
        <f t="shared" si="9"/>
        <v>0</v>
      </c>
      <c r="M33" s="85">
        <f t="shared" si="2"/>
        <v>124245.5</v>
      </c>
      <c r="N33" s="13">
        <f t="shared" si="9"/>
        <v>222.5</v>
      </c>
      <c r="O33" s="85">
        <f t="shared" si="3"/>
        <v>124468</v>
      </c>
      <c r="P33" s="13">
        <f t="shared" si="9"/>
        <v>0</v>
      </c>
      <c r="Q33" s="85">
        <f t="shared" si="4"/>
        <v>124468</v>
      </c>
      <c r="R33" s="13">
        <f t="shared" si="9"/>
        <v>865.8</v>
      </c>
      <c r="S33" s="85">
        <f t="shared" si="5"/>
        <v>125333.8</v>
      </c>
      <c r="T33" s="13">
        <f t="shared" si="9"/>
        <v>0</v>
      </c>
      <c r="U33" s="85">
        <f t="shared" si="6"/>
        <v>125333.8</v>
      </c>
    </row>
    <row r="34" spans="1:21" s="148" customFormat="1">
      <c r="A34" s="61" t="str">
        <f ca="1">IF(ISERROR(MATCH(E34,Код_КЦСР,0)),"",INDIRECT(ADDRESS(MATCH(E34,Код_КЦСР,0)+1,2,,,"КЦСР")))</f>
        <v>Центральный аппарат</v>
      </c>
      <c r="B34" s="145">
        <v>801</v>
      </c>
      <c r="C34" s="8" t="s">
        <v>213</v>
      </c>
      <c r="D34" s="8" t="s">
        <v>216</v>
      </c>
      <c r="E34" s="145" t="s">
        <v>306</v>
      </c>
      <c r="F34" s="145"/>
      <c r="G34" s="69">
        <f>G35+G37+G40</f>
        <v>124245.5</v>
      </c>
      <c r="H34" s="69">
        <f t="shared" ref="H34:J34" si="10">H35+H37+H40</f>
        <v>0</v>
      </c>
      <c r="I34" s="69">
        <f t="shared" si="0"/>
        <v>124245.5</v>
      </c>
      <c r="J34" s="69">
        <f t="shared" si="10"/>
        <v>0</v>
      </c>
      <c r="K34" s="85">
        <f t="shared" si="1"/>
        <v>124245.5</v>
      </c>
      <c r="L34" s="13">
        <f t="shared" ref="L34" si="11">L35+L37+L40</f>
        <v>0</v>
      </c>
      <c r="M34" s="85">
        <f t="shared" si="2"/>
        <v>124245.5</v>
      </c>
      <c r="N34" s="13">
        <f>N35+N37+N40</f>
        <v>222.5</v>
      </c>
      <c r="O34" s="85">
        <f t="shared" si="3"/>
        <v>124468</v>
      </c>
      <c r="P34" s="13">
        <f>P35+P37+P40</f>
        <v>0</v>
      </c>
      <c r="Q34" s="85">
        <f t="shared" si="4"/>
        <v>124468</v>
      </c>
      <c r="R34" s="13">
        <f>R35+R37+R40</f>
        <v>865.8</v>
      </c>
      <c r="S34" s="85">
        <f t="shared" si="5"/>
        <v>125333.8</v>
      </c>
      <c r="T34" s="13">
        <f>T35+T37+T40</f>
        <v>0</v>
      </c>
      <c r="U34" s="85">
        <f t="shared" si="6"/>
        <v>125333.8</v>
      </c>
    </row>
    <row r="35" spans="1:21" s="148" customFormat="1" ht="33">
      <c r="A35" s="61" t="str">
        <f t="shared" ref="A35:A41" ca="1" si="12">IF(ISERROR(MATCH(F35,Код_КВР,0)),"",INDIRECT(ADDRESS(MATCH(F35,Код_КВР,0)+1,2,,,"КВР")))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35" s="145">
        <v>801</v>
      </c>
      <c r="C35" s="8" t="s">
        <v>213</v>
      </c>
      <c r="D35" s="8" t="s">
        <v>216</v>
      </c>
      <c r="E35" s="145" t="s">
        <v>306</v>
      </c>
      <c r="F35" s="145">
        <v>100</v>
      </c>
      <c r="G35" s="69">
        <f>G36</f>
        <v>120035.7</v>
      </c>
      <c r="H35" s="69">
        <f>H36</f>
        <v>0</v>
      </c>
      <c r="I35" s="69">
        <f t="shared" si="0"/>
        <v>120035.7</v>
      </c>
      <c r="J35" s="69">
        <f>J36</f>
        <v>0</v>
      </c>
      <c r="K35" s="85">
        <f t="shared" si="1"/>
        <v>120035.7</v>
      </c>
      <c r="L35" s="13">
        <f>L36</f>
        <v>0</v>
      </c>
      <c r="M35" s="85">
        <f t="shared" si="2"/>
        <v>120035.7</v>
      </c>
      <c r="N35" s="13">
        <f>N36</f>
        <v>-0.5</v>
      </c>
      <c r="O35" s="85">
        <f t="shared" si="3"/>
        <v>120035.2</v>
      </c>
      <c r="P35" s="13">
        <f>P36</f>
        <v>0</v>
      </c>
      <c r="Q35" s="85">
        <f t="shared" si="4"/>
        <v>120035.2</v>
      </c>
      <c r="R35" s="13">
        <f>R36</f>
        <v>880</v>
      </c>
      <c r="S35" s="85">
        <f t="shared" si="5"/>
        <v>120915.2</v>
      </c>
      <c r="T35" s="13">
        <f>T36</f>
        <v>0</v>
      </c>
      <c r="U35" s="85">
        <f t="shared" si="6"/>
        <v>120915.2</v>
      </c>
    </row>
    <row r="36" spans="1:21" s="148" customFormat="1">
      <c r="A36" s="61" t="str">
        <f t="shared" ca="1" si="12"/>
        <v>Расходы на выплаты персоналу муниципальных органов</v>
      </c>
      <c r="B36" s="145">
        <v>801</v>
      </c>
      <c r="C36" s="8" t="s">
        <v>213</v>
      </c>
      <c r="D36" s="8" t="s">
        <v>216</v>
      </c>
      <c r="E36" s="145" t="s">
        <v>306</v>
      </c>
      <c r="F36" s="145">
        <v>120</v>
      </c>
      <c r="G36" s="69">
        <v>120035.7</v>
      </c>
      <c r="H36" s="64"/>
      <c r="I36" s="69">
        <f t="shared" si="0"/>
        <v>120035.7</v>
      </c>
      <c r="J36" s="64"/>
      <c r="K36" s="85">
        <f t="shared" si="1"/>
        <v>120035.7</v>
      </c>
      <c r="L36" s="85"/>
      <c r="M36" s="85">
        <f t="shared" si="2"/>
        <v>120035.7</v>
      </c>
      <c r="N36" s="85">
        <v>-0.5</v>
      </c>
      <c r="O36" s="85">
        <f t="shared" si="3"/>
        <v>120035.2</v>
      </c>
      <c r="P36" s="85"/>
      <c r="Q36" s="85">
        <f t="shared" si="4"/>
        <v>120035.2</v>
      </c>
      <c r="R36" s="85">
        <f>1074.7-174.7-20</f>
        <v>880</v>
      </c>
      <c r="S36" s="85">
        <f t="shared" si="5"/>
        <v>120915.2</v>
      </c>
      <c r="T36" s="85"/>
      <c r="U36" s="85">
        <f t="shared" si="6"/>
        <v>120915.2</v>
      </c>
    </row>
    <row r="37" spans="1:21" s="148" customFormat="1">
      <c r="A37" s="61" t="str">
        <f t="shared" ca="1" si="12"/>
        <v>Закупка товаров, работ и услуг для муниципальных нужд</v>
      </c>
      <c r="B37" s="145">
        <v>801</v>
      </c>
      <c r="C37" s="8" t="s">
        <v>213</v>
      </c>
      <c r="D37" s="8" t="s">
        <v>216</v>
      </c>
      <c r="E37" s="145" t="s">
        <v>306</v>
      </c>
      <c r="F37" s="145">
        <v>200</v>
      </c>
      <c r="G37" s="69">
        <f>G38</f>
        <v>4207.8</v>
      </c>
      <c r="H37" s="69">
        <f>H38</f>
        <v>0</v>
      </c>
      <c r="I37" s="69">
        <f t="shared" si="0"/>
        <v>4207.8</v>
      </c>
      <c r="J37" s="69">
        <f>J38</f>
        <v>0</v>
      </c>
      <c r="K37" s="85">
        <f t="shared" si="1"/>
        <v>4207.8</v>
      </c>
      <c r="L37" s="13">
        <f>L38</f>
        <v>0</v>
      </c>
      <c r="M37" s="85">
        <f t="shared" si="2"/>
        <v>4207.8</v>
      </c>
      <c r="N37" s="13">
        <f>N38</f>
        <v>223</v>
      </c>
      <c r="O37" s="85">
        <f t="shared" si="3"/>
        <v>4430.8</v>
      </c>
      <c r="P37" s="13">
        <f>P38</f>
        <v>0</v>
      </c>
      <c r="Q37" s="85">
        <f t="shared" si="4"/>
        <v>4430.8</v>
      </c>
      <c r="R37" s="13">
        <f>R38</f>
        <v>-14.2</v>
      </c>
      <c r="S37" s="85">
        <f t="shared" si="5"/>
        <v>4416.6000000000004</v>
      </c>
      <c r="T37" s="13">
        <f>T38</f>
        <v>0</v>
      </c>
      <c r="U37" s="85">
        <f t="shared" si="6"/>
        <v>4416.6000000000004</v>
      </c>
    </row>
    <row r="38" spans="1:21" s="148" customFormat="1" ht="33">
      <c r="A38" s="61" t="str">
        <f t="shared" ca="1" si="12"/>
        <v>Иные закупки товаров, работ и услуг для обеспечения муниципальных нужд</v>
      </c>
      <c r="B38" s="145">
        <v>801</v>
      </c>
      <c r="C38" s="8" t="s">
        <v>213</v>
      </c>
      <c r="D38" s="8" t="s">
        <v>216</v>
      </c>
      <c r="E38" s="145" t="s">
        <v>306</v>
      </c>
      <c r="F38" s="145">
        <v>240</v>
      </c>
      <c r="G38" s="69">
        <f>G39</f>
        <v>4207.8</v>
      </c>
      <c r="H38" s="69">
        <f>H39</f>
        <v>0</v>
      </c>
      <c r="I38" s="69">
        <f t="shared" si="0"/>
        <v>4207.8</v>
      </c>
      <c r="J38" s="69">
        <f>J39</f>
        <v>0</v>
      </c>
      <c r="K38" s="85">
        <f t="shared" si="1"/>
        <v>4207.8</v>
      </c>
      <c r="L38" s="13">
        <f>L39</f>
        <v>0</v>
      </c>
      <c r="M38" s="85">
        <f t="shared" si="2"/>
        <v>4207.8</v>
      </c>
      <c r="N38" s="13">
        <f>N39</f>
        <v>223</v>
      </c>
      <c r="O38" s="85">
        <f t="shared" si="3"/>
        <v>4430.8</v>
      </c>
      <c r="P38" s="13">
        <f>P39</f>
        <v>0</v>
      </c>
      <c r="Q38" s="85">
        <f t="shared" si="4"/>
        <v>4430.8</v>
      </c>
      <c r="R38" s="13">
        <f>R39</f>
        <v>-14.2</v>
      </c>
      <c r="S38" s="85">
        <f t="shared" si="5"/>
        <v>4416.6000000000004</v>
      </c>
      <c r="T38" s="13">
        <f>T39</f>
        <v>0</v>
      </c>
      <c r="U38" s="85">
        <f t="shared" si="6"/>
        <v>4416.6000000000004</v>
      </c>
    </row>
    <row r="39" spans="1:21" s="148" customFormat="1" ht="33">
      <c r="A39" s="61" t="str">
        <f t="shared" ca="1" si="12"/>
        <v xml:space="preserve">Прочая закупка товаров, работ и услуг для обеспечения муниципальных нужд         </v>
      </c>
      <c r="B39" s="145">
        <v>801</v>
      </c>
      <c r="C39" s="8" t="s">
        <v>213</v>
      </c>
      <c r="D39" s="8" t="s">
        <v>216</v>
      </c>
      <c r="E39" s="145" t="s">
        <v>306</v>
      </c>
      <c r="F39" s="145">
        <v>244</v>
      </c>
      <c r="G39" s="69">
        <v>4207.8</v>
      </c>
      <c r="H39" s="64"/>
      <c r="I39" s="69">
        <f t="shared" si="0"/>
        <v>4207.8</v>
      </c>
      <c r="J39" s="64"/>
      <c r="K39" s="85">
        <f t="shared" si="1"/>
        <v>4207.8</v>
      </c>
      <c r="L39" s="85"/>
      <c r="M39" s="85">
        <f t="shared" si="2"/>
        <v>4207.8</v>
      </c>
      <c r="N39" s="85">
        <v>223</v>
      </c>
      <c r="O39" s="85">
        <f t="shared" si="3"/>
        <v>4430.8</v>
      </c>
      <c r="P39" s="85"/>
      <c r="Q39" s="85">
        <f t="shared" si="4"/>
        <v>4430.8</v>
      </c>
      <c r="R39" s="85">
        <f>-14.2</f>
        <v>-14.2</v>
      </c>
      <c r="S39" s="85">
        <f t="shared" si="5"/>
        <v>4416.6000000000004</v>
      </c>
      <c r="T39" s="85"/>
      <c r="U39" s="85">
        <f t="shared" si="6"/>
        <v>4416.6000000000004</v>
      </c>
    </row>
    <row r="40" spans="1:21" s="148" customFormat="1">
      <c r="A40" s="61" t="str">
        <f t="shared" ca="1" si="12"/>
        <v>Иные бюджетные ассигнования</v>
      </c>
      <c r="B40" s="145">
        <v>801</v>
      </c>
      <c r="C40" s="8" t="s">
        <v>213</v>
      </c>
      <c r="D40" s="8" t="s">
        <v>216</v>
      </c>
      <c r="E40" s="145" t="s">
        <v>306</v>
      </c>
      <c r="F40" s="145">
        <v>800</v>
      </c>
      <c r="G40" s="69">
        <f>G41</f>
        <v>2</v>
      </c>
      <c r="H40" s="69">
        <f>H41</f>
        <v>0</v>
      </c>
      <c r="I40" s="69">
        <f t="shared" si="0"/>
        <v>2</v>
      </c>
      <c r="J40" s="69">
        <f>J41</f>
        <v>0</v>
      </c>
      <c r="K40" s="85">
        <f t="shared" si="1"/>
        <v>2</v>
      </c>
      <c r="L40" s="13">
        <f>L41</f>
        <v>0</v>
      </c>
      <c r="M40" s="85">
        <f t="shared" si="2"/>
        <v>2</v>
      </c>
      <c r="N40" s="13">
        <f>N41</f>
        <v>0</v>
      </c>
      <c r="O40" s="85">
        <f t="shared" si="3"/>
        <v>2</v>
      </c>
      <c r="P40" s="13">
        <f>P41</f>
        <v>0</v>
      </c>
      <c r="Q40" s="85">
        <f t="shared" si="4"/>
        <v>2</v>
      </c>
      <c r="R40" s="13">
        <f>R41</f>
        <v>0</v>
      </c>
      <c r="S40" s="85">
        <f t="shared" si="5"/>
        <v>2</v>
      </c>
      <c r="T40" s="13">
        <f>T41</f>
        <v>0</v>
      </c>
      <c r="U40" s="85">
        <f t="shared" si="6"/>
        <v>2</v>
      </c>
    </row>
    <row r="41" spans="1:21" s="148" customFormat="1">
      <c r="A41" s="61" t="str">
        <f t="shared" ca="1" si="12"/>
        <v>Уплата налогов, сборов и иных платежей</v>
      </c>
      <c r="B41" s="145">
        <v>801</v>
      </c>
      <c r="C41" s="8" t="s">
        <v>213</v>
      </c>
      <c r="D41" s="8" t="s">
        <v>216</v>
      </c>
      <c r="E41" s="145" t="s">
        <v>306</v>
      </c>
      <c r="F41" s="145">
        <v>850</v>
      </c>
      <c r="G41" s="69">
        <f>G42</f>
        <v>2</v>
      </c>
      <c r="H41" s="69">
        <f>H42</f>
        <v>0</v>
      </c>
      <c r="I41" s="69">
        <f t="shared" si="0"/>
        <v>2</v>
      </c>
      <c r="J41" s="69">
        <f>J42</f>
        <v>0</v>
      </c>
      <c r="K41" s="85">
        <f t="shared" si="1"/>
        <v>2</v>
      </c>
      <c r="L41" s="13">
        <f>L42</f>
        <v>0</v>
      </c>
      <c r="M41" s="85">
        <f t="shared" si="2"/>
        <v>2</v>
      </c>
      <c r="N41" s="13">
        <f>N42</f>
        <v>0</v>
      </c>
      <c r="O41" s="85">
        <f t="shared" si="3"/>
        <v>2</v>
      </c>
      <c r="P41" s="13">
        <f>P42</f>
        <v>0</v>
      </c>
      <c r="Q41" s="85">
        <f t="shared" si="4"/>
        <v>2</v>
      </c>
      <c r="R41" s="13">
        <f>R42</f>
        <v>0</v>
      </c>
      <c r="S41" s="85">
        <f t="shared" si="5"/>
        <v>2</v>
      </c>
      <c r="T41" s="13">
        <f>T42</f>
        <v>0</v>
      </c>
      <c r="U41" s="85">
        <f t="shared" si="6"/>
        <v>2</v>
      </c>
    </row>
    <row r="42" spans="1:21" s="148" customFormat="1">
      <c r="A42" s="61" t="str">
        <f ca="1">IF(ISERROR(MATCH(F42,Код_КВР,0)),"",INDIRECT(ADDRESS(MATCH(F42,Код_КВР,0)+1,2,,,"КВР")))</f>
        <v>Уплата прочих налогов, сборов и иных платежей</v>
      </c>
      <c r="B42" s="145">
        <v>801</v>
      </c>
      <c r="C42" s="8" t="s">
        <v>213</v>
      </c>
      <c r="D42" s="8" t="s">
        <v>216</v>
      </c>
      <c r="E42" s="145" t="s">
        <v>306</v>
      </c>
      <c r="F42" s="145">
        <v>852</v>
      </c>
      <c r="G42" s="69">
        <v>2</v>
      </c>
      <c r="H42" s="64"/>
      <c r="I42" s="69">
        <f t="shared" si="0"/>
        <v>2</v>
      </c>
      <c r="J42" s="64"/>
      <c r="K42" s="85">
        <f t="shared" si="1"/>
        <v>2</v>
      </c>
      <c r="L42" s="85"/>
      <c r="M42" s="85">
        <f t="shared" si="2"/>
        <v>2</v>
      </c>
      <c r="N42" s="85"/>
      <c r="O42" s="85">
        <f t="shared" si="3"/>
        <v>2</v>
      </c>
      <c r="P42" s="85"/>
      <c r="Q42" s="85">
        <f t="shared" si="4"/>
        <v>2</v>
      </c>
      <c r="R42" s="85"/>
      <c r="S42" s="85">
        <f t="shared" si="5"/>
        <v>2</v>
      </c>
      <c r="T42" s="85"/>
      <c r="U42" s="85">
        <f t="shared" si="6"/>
        <v>2</v>
      </c>
    </row>
    <row r="43" spans="1:21" s="148" customFormat="1" ht="114.75" customHeight="1">
      <c r="A43" s="61" t="str">
        <f ca="1">IF(ISERROR(MATCH(E43,Код_КЦСР,0)),"",INDIRECT(ADDRESS(MATCH(E43,Код_КЦСР,0)+1,2,,,"КЦСР")))</f>
        <v>Осуществление отдельных государственных полномочий по созданию в муниципальных районах и городских округах области комиссий по делам несовершеннолетних и защите их прав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43" s="145">
        <v>801</v>
      </c>
      <c r="C43" s="8" t="s">
        <v>213</v>
      </c>
      <c r="D43" s="8" t="s">
        <v>216</v>
      </c>
      <c r="E43" s="145" t="s">
        <v>376</v>
      </c>
      <c r="F43" s="145"/>
      <c r="G43" s="69">
        <f>G44+G46</f>
        <v>1026.5999999999999</v>
      </c>
      <c r="H43" s="69">
        <f t="shared" ref="H43:J43" si="13">H44+H46</f>
        <v>0</v>
      </c>
      <c r="I43" s="69">
        <f t="shared" si="0"/>
        <v>1026.5999999999999</v>
      </c>
      <c r="J43" s="69">
        <f t="shared" si="13"/>
        <v>0</v>
      </c>
      <c r="K43" s="85">
        <f t="shared" si="1"/>
        <v>1026.5999999999999</v>
      </c>
      <c r="L43" s="13">
        <f t="shared" ref="L43:N43" si="14">L44+L46</f>
        <v>0</v>
      </c>
      <c r="M43" s="85">
        <f t="shared" si="2"/>
        <v>1026.5999999999999</v>
      </c>
      <c r="N43" s="13">
        <f t="shared" si="14"/>
        <v>0</v>
      </c>
      <c r="O43" s="85">
        <f t="shared" si="3"/>
        <v>1026.5999999999999</v>
      </c>
      <c r="P43" s="13">
        <f t="shared" ref="P43:R43" si="15">P44+P46</f>
        <v>0</v>
      </c>
      <c r="Q43" s="85">
        <f t="shared" si="4"/>
        <v>1026.5999999999999</v>
      </c>
      <c r="R43" s="13">
        <f t="shared" si="15"/>
        <v>0</v>
      </c>
      <c r="S43" s="85">
        <f t="shared" si="5"/>
        <v>1026.5999999999999</v>
      </c>
      <c r="T43" s="13">
        <f t="shared" ref="T43" si="16">T44+T46</f>
        <v>0</v>
      </c>
      <c r="U43" s="85">
        <f t="shared" si="6"/>
        <v>1026.5999999999999</v>
      </c>
    </row>
    <row r="44" spans="1:21" s="148" customFormat="1" ht="33">
      <c r="A44" s="61" t="str">
        <f ca="1">IF(ISERROR(MATCH(F44,Код_КВР,0)),"",INDIRECT(ADDRESS(MATCH(F44,Код_КВР,0)+1,2,,,"КВР")))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44" s="145">
        <v>801</v>
      </c>
      <c r="C44" s="8" t="s">
        <v>213</v>
      </c>
      <c r="D44" s="8" t="s">
        <v>216</v>
      </c>
      <c r="E44" s="145" t="s">
        <v>376</v>
      </c>
      <c r="F44" s="145">
        <v>100</v>
      </c>
      <c r="G44" s="69">
        <f>G45</f>
        <v>1016.6</v>
      </c>
      <c r="H44" s="69">
        <f>H45</f>
        <v>0</v>
      </c>
      <c r="I44" s="69">
        <f t="shared" si="0"/>
        <v>1016.6</v>
      </c>
      <c r="J44" s="69">
        <f>J45</f>
        <v>0</v>
      </c>
      <c r="K44" s="85">
        <f t="shared" si="1"/>
        <v>1016.6</v>
      </c>
      <c r="L44" s="13">
        <f>L45</f>
        <v>0</v>
      </c>
      <c r="M44" s="85">
        <f t="shared" si="2"/>
        <v>1016.6</v>
      </c>
      <c r="N44" s="13">
        <f>N45</f>
        <v>0</v>
      </c>
      <c r="O44" s="85">
        <f t="shared" si="3"/>
        <v>1016.6</v>
      </c>
      <c r="P44" s="13">
        <f>P45</f>
        <v>0</v>
      </c>
      <c r="Q44" s="85">
        <f t="shared" si="4"/>
        <v>1016.6</v>
      </c>
      <c r="R44" s="13">
        <f>R45</f>
        <v>0</v>
      </c>
      <c r="S44" s="85">
        <f t="shared" si="5"/>
        <v>1016.6</v>
      </c>
      <c r="T44" s="13">
        <f>T45</f>
        <v>2.2999999999999998</v>
      </c>
      <c r="U44" s="85">
        <f t="shared" si="6"/>
        <v>1018.9</v>
      </c>
    </row>
    <row r="45" spans="1:21" s="148" customFormat="1">
      <c r="A45" s="61" t="str">
        <f ca="1">IF(ISERROR(MATCH(F45,Код_КВР,0)),"",INDIRECT(ADDRESS(MATCH(F45,Код_КВР,0)+1,2,,,"КВР")))</f>
        <v>Расходы на выплаты персоналу муниципальных органов</v>
      </c>
      <c r="B45" s="145">
        <v>801</v>
      </c>
      <c r="C45" s="8" t="s">
        <v>213</v>
      </c>
      <c r="D45" s="8" t="s">
        <v>216</v>
      </c>
      <c r="E45" s="145" t="s">
        <v>376</v>
      </c>
      <c r="F45" s="145">
        <v>120</v>
      </c>
      <c r="G45" s="69">
        <v>1016.6</v>
      </c>
      <c r="H45" s="69"/>
      <c r="I45" s="69">
        <f t="shared" si="0"/>
        <v>1016.6</v>
      </c>
      <c r="J45" s="69"/>
      <c r="K45" s="85">
        <f t="shared" si="1"/>
        <v>1016.6</v>
      </c>
      <c r="L45" s="13"/>
      <c r="M45" s="85">
        <f t="shared" si="2"/>
        <v>1016.6</v>
      </c>
      <c r="N45" s="13"/>
      <c r="O45" s="85">
        <f t="shared" si="3"/>
        <v>1016.6</v>
      </c>
      <c r="P45" s="13"/>
      <c r="Q45" s="85">
        <f t="shared" si="4"/>
        <v>1016.6</v>
      </c>
      <c r="R45" s="13"/>
      <c r="S45" s="85">
        <f t="shared" si="5"/>
        <v>1016.6</v>
      </c>
      <c r="T45" s="13">
        <f>2.3</f>
        <v>2.2999999999999998</v>
      </c>
      <c r="U45" s="85">
        <f t="shared" si="6"/>
        <v>1018.9</v>
      </c>
    </row>
    <row r="46" spans="1:21" s="148" customFormat="1">
      <c r="A46" s="61" t="str">
        <f ca="1">IF(ISERROR(MATCH(F46,Код_КВР,0)),"",INDIRECT(ADDRESS(MATCH(F46,Код_КВР,0)+1,2,,,"КВР")))</f>
        <v>Закупка товаров, работ и услуг для муниципальных нужд</v>
      </c>
      <c r="B46" s="145">
        <v>801</v>
      </c>
      <c r="C46" s="8" t="s">
        <v>213</v>
      </c>
      <c r="D46" s="8" t="s">
        <v>216</v>
      </c>
      <c r="E46" s="145" t="s">
        <v>376</v>
      </c>
      <c r="F46" s="145">
        <v>200</v>
      </c>
      <c r="G46" s="69">
        <f>G47</f>
        <v>10</v>
      </c>
      <c r="H46" s="69">
        <f>H47</f>
        <v>0</v>
      </c>
      <c r="I46" s="69">
        <f t="shared" si="0"/>
        <v>10</v>
      </c>
      <c r="J46" s="69">
        <f>J47</f>
        <v>0</v>
      </c>
      <c r="K46" s="85">
        <f t="shared" si="1"/>
        <v>10</v>
      </c>
      <c r="L46" s="13">
        <f>L47</f>
        <v>0</v>
      </c>
      <c r="M46" s="85">
        <f t="shared" si="2"/>
        <v>10</v>
      </c>
      <c r="N46" s="13">
        <f>N47</f>
        <v>0</v>
      </c>
      <c r="O46" s="85">
        <f t="shared" si="3"/>
        <v>10</v>
      </c>
      <c r="P46" s="13">
        <f>P47</f>
        <v>0</v>
      </c>
      <c r="Q46" s="85">
        <f t="shared" si="4"/>
        <v>10</v>
      </c>
      <c r="R46" s="13">
        <f>R47</f>
        <v>0</v>
      </c>
      <c r="S46" s="85">
        <f t="shared" si="5"/>
        <v>10</v>
      </c>
      <c r="T46" s="13">
        <f>T47</f>
        <v>-2.2999999999999998</v>
      </c>
      <c r="U46" s="85">
        <f t="shared" si="6"/>
        <v>7.7</v>
      </c>
    </row>
    <row r="47" spans="1:21" s="148" customFormat="1" ht="33">
      <c r="A47" s="61" t="str">
        <f ca="1">IF(ISERROR(MATCH(F47,Код_КВР,0)),"",INDIRECT(ADDRESS(MATCH(F47,Код_КВР,0)+1,2,,,"КВР")))</f>
        <v>Иные закупки товаров, работ и услуг для обеспечения муниципальных нужд</v>
      </c>
      <c r="B47" s="145">
        <v>801</v>
      </c>
      <c r="C47" s="8" t="s">
        <v>213</v>
      </c>
      <c r="D47" s="8" t="s">
        <v>216</v>
      </c>
      <c r="E47" s="145" t="s">
        <v>376</v>
      </c>
      <c r="F47" s="145">
        <v>240</v>
      </c>
      <c r="G47" s="69">
        <f>G48</f>
        <v>10</v>
      </c>
      <c r="H47" s="69">
        <f>H48</f>
        <v>0</v>
      </c>
      <c r="I47" s="69">
        <f t="shared" si="0"/>
        <v>10</v>
      </c>
      <c r="J47" s="69">
        <f>J48</f>
        <v>0</v>
      </c>
      <c r="K47" s="85">
        <f t="shared" si="1"/>
        <v>10</v>
      </c>
      <c r="L47" s="13">
        <f>L48</f>
        <v>0</v>
      </c>
      <c r="M47" s="85">
        <f t="shared" si="2"/>
        <v>10</v>
      </c>
      <c r="N47" s="13">
        <f>N48</f>
        <v>0</v>
      </c>
      <c r="O47" s="85">
        <f t="shared" si="3"/>
        <v>10</v>
      </c>
      <c r="P47" s="13">
        <f>P48</f>
        <v>0</v>
      </c>
      <c r="Q47" s="85">
        <f t="shared" si="4"/>
        <v>10</v>
      </c>
      <c r="R47" s="13">
        <f>R48</f>
        <v>0</v>
      </c>
      <c r="S47" s="85">
        <f t="shared" si="5"/>
        <v>10</v>
      </c>
      <c r="T47" s="13">
        <f>T48</f>
        <v>-2.2999999999999998</v>
      </c>
      <c r="U47" s="85">
        <f t="shared" si="6"/>
        <v>7.7</v>
      </c>
    </row>
    <row r="48" spans="1:21" s="148" customFormat="1" ht="33">
      <c r="A48" s="61" t="str">
        <f ca="1">IF(ISERROR(MATCH(F48,Код_КВР,0)),"",INDIRECT(ADDRESS(MATCH(F48,Код_КВР,0)+1,2,,,"КВР")))</f>
        <v xml:space="preserve">Прочая закупка товаров, работ и услуг для обеспечения муниципальных нужд         </v>
      </c>
      <c r="B48" s="145">
        <v>801</v>
      </c>
      <c r="C48" s="8" t="s">
        <v>213</v>
      </c>
      <c r="D48" s="8" t="s">
        <v>216</v>
      </c>
      <c r="E48" s="145" t="s">
        <v>376</v>
      </c>
      <c r="F48" s="145">
        <v>244</v>
      </c>
      <c r="G48" s="69">
        <v>10</v>
      </c>
      <c r="H48" s="64"/>
      <c r="I48" s="69">
        <f t="shared" si="0"/>
        <v>10</v>
      </c>
      <c r="J48" s="64"/>
      <c r="K48" s="85">
        <f t="shared" si="1"/>
        <v>10</v>
      </c>
      <c r="L48" s="85"/>
      <c r="M48" s="85">
        <f t="shared" si="2"/>
        <v>10</v>
      </c>
      <c r="N48" s="85"/>
      <c r="O48" s="85">
        <f t="shared" si="3"/>
        <v>10</v>
      </c>
      <c r="P48" s="85"/>
      <c r="Q48" s="85">
        <f t="shared" si="4"/>
        <v>10</v>
      </c>
      <c r="R48" s="85"/>
      <c r="S48" s="85">
        <f t="shared" si="5"/>
        <v>10</v>
      </c>
      <c r="T48" s="85">
        <f>-2.3</f>
        <v>-2.2999999999999998</v>
      </c>
      <c r="U48" s="85">
        <f t="shared" si="6"/>
        <v>7.7</v>
      </c>
    </row>
    <row r="49" spans="1:21" s="148" customFormat="1" ht="105.75" customHeight="1">
      <c r="A49" s="61" t="str">
        <f ca="1">IF(ISERROR(MATCH(E49,Код_КЦСР,0)),"",INDIRECT(ADDRESS(MATCH(E49,Код_КЦСР,0)+1,2,,,"КЦСР")))</f>
        <v>Осуществление отдельных государственных полномочий по созданию в муниципальных районах и городских округах области административных комиссий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49" s="145">
        <v>801</v>
      </c>
      <c r="C49" s="8" t="s">
        <v>213</v>
      </c>
      <c r="D49" s="8" t="s">
        <v>216</v>
      </c>
      <c r="E49" s="145" t="s">
        <v>377</v>
      </c>
      <c r="F49" s="145"/>
      <c r="G49" s="69">
        <f>G50</f>
        <v>495</v>
      </c>
      <c r="H49" s="69">
        <f t="shared" ref="H49:T49" si="17">H50</f>
        <v>0</v>
      </c>
      <c r="I49" s="69">
        <f t="shared" si="0"/>
        <v>495</v>
      </c>
      <c r="J49" s="69">
        <f t="shared" si="17"/>
        <v>0</v>
      </c>
      <c r="K49" s="85">
        <f t="shared" si="1"/>
        <v>495</v>
      </c>
      <c r="L49" s="13">
        <f t="shared" si="17"/>
        <v>0</v>
      </c>
      <c r="M49" s="85">
        <f t="shared" si="2"/>
        <v>495</v>
      </c>
      <c r="N49" s="13">
        <f t="shared" si="17"/>
        <v>0</v>
      </c>
      <c r="O49" s="85">
        <f t="shared" si="3"/>
        <v>495</v>
      </c>
      <c r="P49" s="13">
        <f t="shared" si="17"/>
        <v>0</v>
      </c>
      <c r="Q49" s="85">
        <f t="shared" si="4"/>
        <v>495</v>
      </c>
      <c r="R49" s="13">
        <f t="shared" si="17"/>
        <v>0</v>
      </c>
      <c r="S49" s="85">
        <f t="shared" si="5"/>
        <v>495</v>
      </c>
      <c r="T49" s="13">
        <f t="shared" si="17"/>
        <v>0</v>
      </c>
      <c r="U49" s="85">
        <f t="shared" si="6"/>
        <v>495</v>
      </c>
    </row>
    <row r="50" spans="1:21" s="148" customFormat="1" ht="33">
      <c r="A50" s="61" t="str">
        <f ca="1">IF(ISERROR(MATCH(F50,Код_КВР,0)),"",INDIRECT(ADDRESS(MATCH(F50,Код_КВР,0)+1,2,,,"КВР")))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0" s="145">
        <v>801</v>
      </c>
      <c r="C50" s="8" t="s">
        <v>213</v>
      </c>
      <c r="D50" s="8" t="s">
        <v>216</v>
      </c>
      <c r="E50" s="145" t="s">
        <v>377</v>
      </c>
      <c r="F50" s="145">
        <v>100</v>
      </c>
      <c r="G50" s="69">
        <f>G51</f>
        <v>495</v>
      </c>
      <c r="H50" s="64"/>
      <c r="I50" s="69">
        <f t="shared" si="0"/>
        <v>495</v>
      </c>
      <c r="J50" s="64"/>
      <c r="K50" s="85">
        <f t="shared" si="1"/>
        <v>495</v>
      </c>
      <c r="L50" s="85"/>
      <c r="M50" s="85">
        <f t="shared" si="2"/>
        <v>495</v>
      </c>
      <c r="N50" s="85"/>
      <c r="O50" s="85">
        <f t="shared" si="3"/>
        <v>495</v>
      </c>
      <c r="P50" s="85"/>
      <c r="Q50" s="85">
        <f t="shared" si="4"/>
        <v>495</v>
      </c>
      <c r="R50" s="85"/>
      <c r="S50" s="85">
        <f t="shared" si="5"/>
        <v>495</v>
      </c>
      <c r="T50" s="85"/>
      <c r="U50" s="85">
        <f t="shared" si="6"/>
        <v>495</v>
      </c>
    </row>
    <row r="51" spans="1:21" s="148" customFormat="1">
      <c r="A51" s="61" t="str">
        <f ca="1">IF(ISERROR(MATCH(F51,Код_КВР,0)),"",INDIRECT(ADDRESS(MATCH(F51,Код_КВР,0)+1,2,,,"КВР")))</f>
        <v>Расходы на выплаты персоналу муниципальных органов</v>
      </c>
      <c r="B51" s="145">
        <v>801</v>
      </c>
      <c r="C51" s="8" t="s">
        <v>213</v>
      </c>
      <c r="D51" s="8" t="s">
        <v>216</v>
      </c>
      <c r="E51" s="145" t="s">
        <v>377</v>
      </c>
      <c r="F51" s="145">
        <v>120</v>
      </c>
      <c r="G51" s="69">
        <v>495</v>
      </c>
      <c r="H51" s="64"/>
      <c r="I51" s="69">
        <f t="shared" si="0"/>
        <v>495</v>
      </c>
      <c r="J51" s="64"/>
      <c r="K51" s="85">
        <f t="shared" si="1"/>
        <v>495</v>
      </c>
      <c r="L51" s="85"/>
      <c r="M51" s="85">
        <f t="shared" si="2"/>
        <v>495</v>
      </c>
      <c r="N51" s="85"/>
      <c r="O51" s="85">
        <f t="shared" si="3"/>
        <v>495</v>
      </c>
      <c r="P51" s="85"/>
      <c r="Q51" s="85">
        <f t="shared" si="4"/>
        <v>495</v>
      </c>
      <c r="R51" s="85"/>
      <c r="S51" s="85">
        <f t="shared" si="5"/>
        <v>495</v>
      </c>
      <c r="T51" s="85"/>
      <c r="U51" s="85">
        <f t="shared" si="6"/>
        <v>495</v>
      </c>
    </row>
    <row r="52" spans="1:21" s="148" customFormat="1" ht="155.25" customHeight="1">
      <c r="A52" s="61" t="str">
        <f ca="1">IF(ISERROR(MATCH(E52,Код_КЦСР,0)),"",INDIRECT(ADDRESS(MATCH(E52,Код_КЦСР,0)+1,2,,,"КЦСР")))</f>
        <v>Осуществление отдельных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соответствующими статьями закона области от 8 декабря 2010 года № 2429-ОЗ «Об административных правонарушениях в Вологодской области», в соответствии с законом области от 28 ноября 2005 года № 1369-ОЗ «О наделении органов местного самоуправления отдельными государственными полномочиями в сфере административных отношений» за счет субвенций из областного бюджета</v>
      </c>
      <c r="B52" s="145">
        <v>801</v>
      </c>
      <c r="C52" s="8" t="s">
        <v>213</v>
      </c>
      <c r="D52" s="8" t="s">
        <v>216</v>
      </c>
      <c r="E52" s="145" t="s">
        <v>378</v>
      </c>
      <c r="F52" s="145"/>
      <c r="G52" s="69">
        <f>G53</f>
        <v>0.7</v>
      </c>
      <c r="H52" s="69">
        <f t="shared" ref="H52:T52" si="18">H53</f>
        <v>0</v>
      </c>
      <c r="I52" s="69">
        <f t="shared" si="0"/>
        <v>0.7</v>
      </c>
      <c r="J52" s="69">
        <f t="shared" si="18"/>
        <v>0</v>
      </c>
      <c r="K52" s="85">
        <f t="shared" si="1"/>
        <v>0.7</v>
      </c>
      <c r="L52" s="13">
        <f t="shared" si="18"/>
        <v>0</v>
      </c>
      <c r="M52" s="85">
        <f t="shared" si="2"/>
        <v>0.7</v>
      </c>
      <c r="N52" s="13">
        <f t="shared" si="18"/>
        <v>0</v>
      </c>
      <c r="O52" s="85">
        <f t="shared" si="3"/>
        <v>0.7</v>
      </c>
      <c r="P52" s="13">
        <f t="shared" si="18"/>
        <v>0</v>
      </c>
      <c r="Q52" s="85">
        <f t="shared" si="4"/>
        <v>0.7</v>
      </c>
      <c r="R52" s="13">
        <f t="shared" si="18"/>
        <v>0</v>
      </c>
      <c r="S52" s="85">
        <f t="shared" si="5"/>
        <v>0.7</v>
      </c>
      <c r="T52" s="13">
        <f t="shared" si="18"/>
        <v>0</v>
      </c>
      <c r="U52" s="85">
        <f t="shared" si="6"/>
        <v>0.7</v>
      </c>
    </row>
    <row r="53" spans="1:21" s="148" customFormat="1">
      <c r="A53" s="61" t="str">
        <f ca="1">IF(ISERROR(MATCH(F53,Код_КВР,0)),"",INDIRECT(ADDRESS(MATCH(F53,Код_КВР,0)+1,2,,,"КВР")))</f>
        <v>Закупка товаров, работ и услуг для муниципальных нужд</v>
      </c>
      <c r="B53" s="145">
        <v>801</v>
      </c>
      <c r="C53" s="8" t="s">
        <v>213</v>
      </c>
      <c r="D53" s="8" t="s">
        <v>216</v>
      </c>
      <c r="E53" s="145" t="s">
        <v>378</v>
      </c>
      <c r="F53" s="145">
        <v>200</v>
      </c>
      <c r="G53" s="69">
        <f>G54</f>
        <v>0.7</v>
      </c>
      <c r="H53" s="69">
        <f>H54</f>
        <v>0</v>
      </c>
      <c r="I53" s="69">
        <f t="shared" si="0"/>
        <v>0.7</v>
      </c>
      <c r="J53" s="69">
        <f>J54</f>
        <v>0</v>
      </c>
      <c r="K53" s="85">
        <f t="shared" si="1"/>
        <v>0.7</v>
      </c>
      <c r="L53" s="13">
        <f>L54</f>
        <v>0</v>
      </c>
      <c r="M53" s="85">
        <f t="shared" si="2"/>
        <v>0.7</v>
      </c>
      <c r="N53" s="13">
        <f>N54</f>
        <v>0</v>
      </c>
      <c r="O53" s="85">
        <f t="shared" si="3"/>
        <v>0.7</v>
      </c>
      <c r="P53" s="13">
        <f>P54</f>
        <v>0</v>
      </c>
      <c r="Q53" s="85">
        <f t="shared" si="4"/>
        <v>0.7</v>
      </c>
      <c r="R53" s="13">
        <f>R54</f>
        <v>0</v>
      </c>
      <c r="S53" s="85">
        <f t="shared" si="5"/>
        <v>0.7</v>
      </c>
      <c r="T53" s="13">
        <f>T54</f>
        <v>0</v>
      </c>
      <c r="U53" s="85">
        <f t="shared" si="6"/>
        <v>0.7</v>
      </c>
    </row>
    <row r="54" spans="1:21" s="148" customFormat="1" ht="33">
      <c r="A54" s="61" t="str">
        <f ca="1">IF(ISERROR(MATCH(F54,Код_КВР,0)),"",INDIRECT(ADDRESS(MATCH(F54,Код_КВР,0)+1,2,,,"КВР")))</f>
        <v>Иные закупки товаров, работ и услуг для обеспечения муниципальных нужд</v>
      </c>
      <c r="B54" s="145">
        <v>801</v>
      </c>
      <c r="C54" s="8" t="s">
        <v>213</v>
      </c>
      <c r="D54" s="8" t="s">
        <v>216</v>
      </c>
      <c r="E54" s="145" t="s">
        <v>378</v>
      </c>
      <c r="F54" s="145">
        <v>240</v>
      </c>
      <c r="G54" s="69">
        <f>G55</f>
        <v>0.7</v>
      </c>
      <c r="H54" s="69">
        <f>H55</f>
        <v>0</v>
      </c>
      <c r="I54" s="69">
        <f t="shared" si="0"/>
        <v>0.7</v>
      </c>
      <c r="J54" s="69">
        <f>J55</f>
        <v>0</v>
      </c>
      <c r="K54" s="85">
        <f t="shared" si="1"/>
        <v>0.7</v>
      </c>
      <c r="L54" s="13">
        <f>L55</f>
        <v>0</v>
      </c>
      <c r="M54" s="85">
        <f t="shared" si="2"/>
        <v>0.7</v>
      </c>
      <c r="N54" s="13">
        <f>N55</f>
        <v>0</v>
      </c>
      <c r="O54" s="85">
        <f t="shared" si="3"/>
        <v>0.7</v>
      </c>
      <c r="P54" s="13">
        <f>P55</f>
        <v>0</v>
      </c>
      <c r="Q54" s="85">
        <f t="shared" si="4"/>
        <v>0.7</v>
      </c>
      <c r="R54" s="13">
        <f>R55</f>
        <v>0</v>
      </c>
      <c r="S54" s="85">
        <f t="shared" si="5"/>
        <v>0.7</v>
      </c>
      <c r="T54" s="13">
        <f>T55</f>
        <v>0</v>
      </c>
      <c r="U54" s="85">
        <f t="shared" si="6"/>
        <v>0.7</v>
      </c>
    </row>
    <row r="55" spans="1:21" s="148" customFormat="1" ht="33">
      <c r="A55" s="61" t="str">
        <f ca="1">IF(ISERROR(MATCH(F55,Код_КВР,0)),"",INDIRECT(ADDRESS(MATCH(F55,Код_КВР,0)+1,2,,,"КВР")))</f>
        <v xml:space="preserve">Прочая закупка товаров, работ и услуг для обеспечения муниципальных нужд         </v>
      </c>
      <c r="B55" s="145">
        <v>801</v>
      </c>
      <c r="C55" s="8" t="s">
        <v>213</v>
      </c>
      <c r="D55" s="8" t="s">
        <v>216</v>
      </c>
      <c r="E55" s="145" t="s">
        <v>378</v>
      </c>
      <c r="F55" s="145">
        <v>244</v>
      </c>
      <c r="G55" s="69">
        <v>0.7</v>
      </c>
      <c r="H55" s="64"/>
      <c r="I55" s="69">
        <f t="shared" si="0"/>
        <v>0.7</v>
      </c>
      <c r="J55" s="64"/>
      <c r="K55" s="85">
        <f t="shared" si="1"/>
        <v>0.7</v>
      </c>
      <c r="L55" s="85"/>
      <c r="M55" s="85">
        <f t="shared" si="2"/>
        <v>0.7</v>
      </c>
      <c r="N55" s="85"/>
      <c r="O55" s="85">
        <f t="shared" si="3"/>
        <v>0.7</v>
      </c>
      <c r="P55" s="85"/>
      <c r="Q55" s="85">
        <f t="shared" si="4"/>
        <v>0.7</v>
      </c>
      <c r="R55" s="85"/>
      <c r="S55" s="85">
        <f t="shared" si="5"/>
        <v>0.7</v>
      </c>
      <c r="T55" s="85"/>
      <c r="U55" s="85">
        <f t="shared" si="6"/>
        <v>0.7</v>
      </c>
    </row>
    <row r="56" spans="1:21" s="148" customFormat="1" ht="92.25" customHeight="1">
      <c r="A56" s="61" t="str">
        <f ca="1">IF(ISERROR(MATCH(E56,Код_КЦСР,0)),"",INDIRECT(ADDRESS(MATCH(E56,Код_КЦСР,0)+1,2,,,"КЦСР")))</f>
        <v>Осуществление отдельных государственных полномочий в соответствии с законом области от 8 ноября 2011 года № 2642-ОЗ «О наделении органов местного самоуправления городского округа «город Череповец» отдельными государственными полномочиями в сфере труда» за счет субвенций из областного бюджета</v>
      </c>
      <c r="B56" s="145">
        <v>801</v>
      </c>
      <c r="C56" s="8" t="s">
        <v>213</v>
      </c>
      <c r="D56" s="8" t="s">
        <v>216</v>
      </c>
      <c r="E56" s="145" t="s">
        <v>403</v>
      </c>
      <c r="F56" s="145"/>
      <c r="G56" s="69"/>
      <c r="H56" s="64"/>
      <c r="I56" s="69"/>
      <c r="J56" s="64"/>
      <c r="K56" s="85"/>
      <c r="L56" s="85"/>
      <c r="M56" s="85"/>
      <c r="N56" s="85"/>
      <c r="O56" s="85"/>
      <c r="P56" s="85"/>
      <c r="Q56" s="85"/>
      <c r="R56" s="85">
        <f>R57+R59</f>
        <v>676.7</v>
      </c>
      <c r="S56" s="85">
        <f t="shared" si="5"/>
        <v>676.7</v>
      </c>
      <c r="T56" s="85">
        <f>T57+T59</f>
        <v>0</v>
      </c>
      <c r="U56" s="85">
        <f t="shared" si="6"/>
        <v>676.7</v>
      </c>
    </row>
    <row r="57" spans="1:21" s="148" customFormat="1" ht="46.5" customHeight="1">
      <c r="A57" s="61" t="str">
        <f ca="1">IF(ISERROR(MATCH(F57,Код_КВР,0)),"",INDIRECT(ADDRESS(MATCH(F57,Код_КВР,0)+1,2,,,"КВР")))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7" s="145">
        <v>801</v>
      </c>
      <c r="C57" s="8" t="s">
        <v>213</v>
      </c>
      <c r="D57" s="8" t="s">
        <v>216</v>
      </c>
      <c r="E57" s="145" t="s">
        <v>403</v>
      </c>
      <c r="F57" s="145">
        <v>100</v>
      </c>
      <c r="G57" s="69"/>
      <c r="H57" s="64"/>
      <c r="I57" s="69"/>
      <c r="J57" s="64"/>
      <c r="K57" s="85"/>
      <c r="L57" s="85"/>
      <c r="M57" s="85"/>
      <c r="N57" s="85"/>
      <c r="O57" s="85"/>
      <c r="P57" s="85"/>
      <c r="Q57" s="85"/>
      <c r="R57" s="85">
        <f>R58</f>
        <v>662.7</v>
      </c>
      <c r="S57" s="85">
        <f t="shared" si="5"/>
        <v>662.7</v>
      </c>
      <c r="T57" s="85">
        <f>T58</f>
        <v>0</v>
      </c>
      <c r="U57" s="85">
        <f t="shared" si="6"/>
        <v>662.7</v>
      </c>
    </row>
    <row r="58" spans="1:21" s="148" customFormat="1" ht="36.75" customHeight="1">
      <c r="A58" s="61" t="str">
        <f ca="1">IF(ISERROR(MATCH(F58,Код_КВР,0)),"",INDIRECT(ADDRESS(MATCH(F58,Код_КВР,0)+1,2,,,"КВР")))</f>
        <v>Расходы на выплаты персоналу муниципальных органов</v>
      </c>
      <c r="B58" s="145">
        <v>801</v>
      </c>
      <c r="C58" s="8" t="s">
        <v>213</v>
      </c>
      <c r="D58" s="8" t="s">
        <v>216</v>
      </c>
      <c r="E58" s="145" t="s">
        <v>403</v>
      </c>
      <c r="F58" s="145">
        <v>120</v>
      </c>
      <c r="G58" s="69"/>
      <c r="H58" s="64"/>
      <c r="I58" s="69"/>
      <c r="J58" s="64"/>
      <c r="K58" s="85"/>
      <c r="L58" s="85"/>
      <c r="M58" s="85"/>
      <c r="N58" s="85"/>
      <c r="O58" s="85"/>
      <c r="P58" s="85"/>
      <c r="Q58" s="85"/>
      <c r="R58" s="85">
        <f>676.7-10.7-3.3</f>
        <v>662.7</v>
      </c>
      <c r="S58" s="85">
        <f t="shared" si="5"/>
        <v>662.7</v>
      </c>
      <c r="T58" s="85"/>
      <c r="U58" s="85">
        <f t="shared" si="6"/>
        <v>662.7</v>
      </c>
    </row>
    <row r="59" spans="1:21" s="148" customFormat="1" ht="36.75" customHeight="1">
      <c r="A59" s="61" t="str">
        <f ca="1">IF(ISERROR(MATCH(F59,Код_КВР,0)),"",INDIRECT(ADDRESS(MATCH(F59,Код_КВР,0)+1,2,,,"КВР")))</f>
        <v>Закупка товаров, работ и услуг для муниципальных нужд</v>
      </c>
      <c r="B59" s="145">
        <v>801</v>
      </c>
      <c r="C59" s="8" t="s">
        <v>213</v>
      </c>
      <c r="D59" s="8" t="s">
        <v>216</v>
      </c>
      <c r="E59" s="145" t="s">
        <v>403</v>
      </c>
      <c r="F59" s="145">
        <v>200</v>
      </c>
      <c r="G59" s="69"/>
      <c r="H59" s="64"/>
      <c r="I59" s="69"/>
      <c r="J59" s="64"/>
      <c r="K59" s="85"/>
      <c r="L59" s="85"/>
      <c r="M59" s="85"/>
      <c r="N59" s="85"/>
      <c r="O59" s="85"/>
      <c r="P59" s="85"/>
      <c r="Q59" s="85"/>
      <c r="R59" s="85">
        <f>R60</f>
        <v>14</v>
      </c>
      <c r="S59" s="85">
        <f t="shared" si="5"/>
        <v>14</v>
      </c>
      <c r="T59" s="85">
        <f>T60</f>
        <v>0</v>
      </c>
      <c r="U59" s="85">
        <f t="shared" si="6"/>
        <v>14</v>
      </c>
    </row>
    <row r="60" spans="1:21" s="148" customFormat="1" ht="36.75" customHeight="1">
      <c r="A60" s="61" t="str">
        <f ca="1">IF(ISERROR(MATCH(F60,Код_КВР,0)),"",INDIRECT(ADDRESS(MATCH(F60,Код_КВР,0)+1,2,,,"КВР")))</f>
        <v>Иные закупки товаров, работ и услуг для обеспечения муниципальных нужд</v>
      </c>
      <c r="B60" s="145">
        <v>801</v>
      </c>
      <c r="C60" s="8" t="s">
        <v>213</v>
      </c>
      <c r="D60" s="8" t="s">
        <v>216</v>
      </c>
      <c r="E60" s="145" t="s">
        <v>403</v>
      </c>
      <c r="F60" s="145">
        <v>240</v>
      </c>
      <c r="G60" s="69"/>
      <c r="H60" s="64"/>
      <c r="I60" s="69"/>
      <c r="J60" s="64"/>
      <c r="K60" s="85"/>
      <c r="L60" s="85"/>
      <c r="M60" s="85"/>
      <c r="N60" s="85"/>
      <c r="O60" s="85"/>
      <c r="P60" s="85"/>
      <c r="Q60" s="85"/>
      <c r="R60" s="85">
        <f>R61</f>
        <v>14</v>
      </c>
      <c r="S60" s="85">
        <f t="shared" si="5"/>
        <v>14</v>
      </c>
      <c r="T60" s="85">
        <f>T61</f>
        <v>0</v>
      </c>
      <c r="U60" s="85">
        <f t="shared" si="6"/>
        <v>14</v>
      </c>
    </row>
    <row r="61" spans="1:21" s="148" customFormat="1" ht="36.75" customHeight="1">
      <c r="A61" s="61" t="str">
        <f ca="1">IF(ISERROR(MATCH(F61,Код_КВР,0)),"",INDIRECT(ADDRESS(MATCH(F61,Код_КВР,0)+1,2,,,"КВР")))</f>
        <v xml:space="preserve">Прочая закупка товаров, работ и услуг для обеспечения муниципальных нужд         </v>
      </c>
      <c r="B61" s="145">
        <v>801</v>
      </c>
      <c r="C61" s="8" t="s">
        <v>213</v>
      </c>
      <c r="D61" s="8" t="s">
        <v>216</v>
      </c>
      <c r="E61" s="145" t="s">
        <v>403</v>
      </c>
      <c r="F61" s="145">
        <v>244</v>
      </c>
      <c r="G61" s="69"/>
      <c r="H61" s="64"/>
      <c r="I61" s="69"/>
      <c r="J61" s="64"/>
      <c r="K61" s="85"/>
      <c r="L61" s="85"/>
      <c r="M61" s="85"/>
      <c r="N61" s="85"/>
      <c r="O61" s="85"/>
      <c r="P61" s="85"/>
      <c r="Q61" s="85"/>
      <c r="R61" s="85">
        <v>14</v>
      </c>
      <c r="S61" s="85">
        <f t="shared" si="5"/>
        <v>14</v>
      </c>
      <c r="T61" s="85"/>
      <c r="U61" s="85">
        <f t="shared" si="6"/>
        <v>14</v>
      </c>
    </row>
    <row r="62" spans="1:21" s="148" customFormat="1" ht="108.75" customHeight="1">
      <c r="A62" s="61" t="str">
        <f ca="1">IF(ISERROR(MATCH(E62,Код_КЦСР,0)),"",INDIRECT(ADDRESS(MATCH(E62,Код_КЦСР,0)+1,2,,,"КЦСР")))</f>
        <v>Осуществление отдельных государственных полномочий в соответствии с законом области от 1 февраля 2013 года № 2985-ОЗ «О наделении органов местного самоуправления отдельными государственными полномочиями по обеспечению жилыми помещениями детей-сирот и детей, оставшихся без попечения родителей» за счет субвенций из областного бюджета</v>
      </c>
      <c r="B62" s="145">
        <v>801</v>
      </c>
      <c r="C62" s="8" t="s">
        <v>213</v>
      </c>
      <c r="D62" s="8" t="s">
        <v>216</v>
      </c>
      <c r="E62" s="145" t="s">
        <v>380</v>
      </c>
      <c r="F62" s="145"/>
      <c r="G62" s="69">
        <f>G63</f>
        <v>341.6</v>
      </c>
      <c r="H62" s="69">
        <f t="shared" ref="H62:T62" si="19">H63</f>
        <v>0</v>
      </c>
      <c r="I62" s="69">
        <f t="shared" si="0"/>
        <v>341.6</v>
      </c>
      <c r="J62" s="69">
        <f t="shared" si="19"/>
        <v>0</v>
      </c>
      <c r="K62" s="85">
        <f t="shared" si="1"/>
        <v>341.6</v>
      </c>
      <c r="L62" s="13">
        <f t="shared" si="19"/>
        <v>0</v>
      </c>
      <c r="M62" s="85">
        <f t="shared" si="2"/>
        <v>341.6</v>
      </c>
      <c r="N62" s="13">
        <f t="shared" si="19"/>
        <v>0</v>
      </c>
      <c r="O62" s="85">
        <f t="shared" si="3"/>
        <v>341.6</v>
      </c>
      <c r="P62" s="13">
        <f t="shared" si="19"/>
        <v>0</v>
      </c>
      <c r="Q62" s="85">
        <f t="shared" si="4"/>
        <v>341.6</v>
      </c>
      <c r="R62" s="13">
        <f t="shared" si="19"/>
        <v>0</v>
      </c>
      <c r="S62" s="85">
        <f t="shared" si="5"/>
        <v>341.6</v>
      </c>
      <c r="T62" s="13">
        <f t="shared" si="19"/>
        <v>0</v>
      </c>
      <c r="U62" s="85">
        <f t="shared" si="6"/>
        <v>341.6</v>
      </c>
    </row>
    <row r="63" spans="1:21" s="148" customFormat="1" ht="33">
      <c r="A63" s="61" t="str">
        <f ca="1">IF(ISERROR(MATCH(F63,Код_КВР,0)),"",INDIRECT(ADDRESS(MATCH(F63,Код_КВР,0)+1,2,,,"КВР")))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63" s="145">
        <v>801</v>
      </c>
      <c r="C63" s="8" t="s">
        <v>213</v>
      </c>
      <c r="D63" s="8" t="s">
        <v>216</v>
      </c>
      <c r="E63" s="145" t="s">
        <v>380</v>
      </c>
      <c r="F63" s="145">
        <v>100</v>
      </c>
      <c r="G63" s="69">
        <f>G64</f>
        <v>341.6</v>
      </c>
      <c r="H63" s="69">
        <f>H64</f>
        <v>0</v>
      </c>
      <c r="I63" s="69">
        <f t="shared" si="0"/>
        <v>341.6</v>
      </c>
      <c r="J63" s="69">
        <f>J64</f>
        <v>0</v>
      </c>
      <c r="K63" s="85">
        <f t="shared" si="1"/>
        <v>341.6</v>
      </c>
      <c r="L63" s="13">
        <f>L64</f>
        <v>0</v>
      </c>
      <c r="M63" s="85">
        <f t="shared" si="2"/>
        <v>341.6</v>
      </c>
      <c r="N63" s="13">
        <f>N64</f>
        <v>0</v>
      </c>
      <c r="O63" s="85">
        <f t="shared" si="3"/>
        <v>341.6</v>
      </c>
      <c r="P63" s="13">
        <f>P64</f>
        <v>0</v>
      </c>
      <c r="Q63" s="85">
        <f t="shared" si="4"/>
        <v>341.6</v>
      </c>
      <c r="R63" s="13">
        <f>R64</f>
        <v>0</v>
      </c>
      <c r="S63" s="85">
        <f t="shared" si="5"/>
        <v>341.6</v>
      </c>
      <c r="T63" s="13">
        <f>T64</f>
        <v>0</v>
      </c>
      <c r="U63" s="85">
        <f t="shared" si="6"/>
        <v>341.6</v>
      </c>
    </row>
    <row r="64" spans="1:21" s="148" customFormat="1">
      <c r="A64" s="61" t="str">
        <f ca="1">IF(ISERROR(MATCH(F64,Код_КВР,0)),"",INDIRECT(ADDRESS(MATCH(F64,Код_КВР,0)+1,2,,,"КВР")))</f>
        <v>Расходы на выплаты персоналу муниципальных органов</v>
      </c>
      <c r="B64" s="145">
        <v>801</v>
      </c>
      <c r="C64" s="8" t="s">
        <v>213</v>
      </c>
      <c r="D64" s="8" t="s">
        <v>216</v>
      </c>
      <c r="E64" s="145" t="s">
        <v>380</v>
      </c>
      <c r="F64" s="145">
        <v>120</v>
      </c>
      <c r="G64" s="69">
        <v>341.6</v>
      </c>
      <c r="H64" s="64"/>
      <c r="I64" s="69">
        <f t="shared" si="0"/>
        <v>341.6</v>
      </c>
      <c r="J64" s="64"/>
      <c r="K64" s="85">
        <f t="shared" si="1"/>
        <v>341.6</v>
      </c>
      <c r="L64" s="85"/>
      <c r="M64" s="85">
        <f t="shared" si="2"/>
        <v>341.6</v>
      </c>
      <c r="N64" s="85"/>
      <c r="O64" s="85">
        <f t="shared" si="3"/>
        <v>341.6</v>
      </c>
      <c r="P64" s="85"/>
      <c r="Q64" s="85">
        <f t="shared" si="4"/>
        <v>341.6</v>
      </c>
      <c r="R64" s="85"/>
      <c r="S64" s="85">
        <f t="shared" si="5"/>
        <v>341.6</v>
      </c>
      <c r="T64" s="85"/>
      <c r="U64" s="85">
        <f t="shared" si="6"/>
        <v>341.6</v>
      </c>
    </row>
    <row r="65" spans="1:21" s="148" customFormat="1">
      <c r="A65" s="76" t="s">
        <v>375</v>
      </c>
      <c r="B65" s="145">
        <v>801</v>
      </c>
      <c r="C65" s="8" t="s">
        <v>213</v>
      </c>
      <c r="D65" s="8" t="s">
        <v>221</v>
      </c>
      <c r="E65" s="145"/>
      <c r="F65" s="145"/>
      <c r="G65" s="69">
        <f>G68</f>
        <v>0</v>
      </c>
      <c r="H65" s="64"/>
      <c r="I65" s="69">
        <f t="shared" si="0"/>
        <v>0</v>
      </c>
      <c r="J65" s="64"/>
      <c r="K65" s="85">
        <f t="shared" si="1"/>
        <v>0</v>
      </c>
      <c r="L65" s="85"/>
      <c r="M65" s="85">
        <f t="shared" si="2"/>
        <v>0</v>
      </c>
      <c r="N65" s="85">
        <f t="shared" ref="N65:T70" si="20">N66</f>
        <v>21.9</v>
      </c>
      <c r="O65" s="85">
        <f t="shared" si="3"/>
        <v>21.9</v>
      </c>
      <c r="P65" s="85">
        <f t="shared" si="20"/>
        <v>0</v>
      </c>
      <c r="Q65" s="85">
        <f t="shared" si="4"/>
        <v>21.9</v>
      </c>
      <c r="R65" s="85">
        <f t="shared" si="20"/>
        <v>0</v>
      </c>
      <c r="S65" s="85">
        <f t="shared" si="5"/>
        <v>21.9</v>
      </c>
      <c r="T65" s="85">
        <f t="shared" si="20"/>
        <v>0</v>
      </c>
      <c r="U65" s="85">
        <f t="shared" si="6"/>
        <v>21.9</v>
      </c>
    </row>
    <row r="66" spans="1:21" s="148" customFormat="1" ht="33">
      <c r="A66" s="61" t="str">
        <f ca="1">IF(ISERROR(MATCH(E66,Код_КЦСР,0)),"",INDIRECT(ADDRESS(MATCH(E66,Код_КЦСР,0)+1,2,,,"КЦСР")))</f>
        <v>Непрограммные направления деятельности органов местного самоуправления</v>
      </c>
      <c r="B66" s="145">
        <v>801</v>
      </c>
      <c r="C66" s="8" t="s">
        <v>213</v>
      </c>
      <c r="D66" s="8" t="s">
        <v>221</v>
      </c>
      <c r="E66" s="145" t="s">
        <v>299</v>
      </c>
      <c r="F66" s="145"/>
      <c r="G66" s="69"/>
      <c r="H66" s="64"/>
      <c r="I66" s="69"/>
      <c r="J66" s="64"/>
      <c r="K66" s="85"/>
      <c r="L66" s="85"/>
      <c r="M66" s="85"/>
      <c r="N66" s="85">
        <f t="shared" si="20"/>
        <v>21.9</v>
      </c>
      <c r="O66" s="85">
        <f t="shared" si="3"/>
        <v>21.9</v>
      </c>
      <c r="P66" s="85">
        <f t="shared" si="20"/>
        <v>0</v>
      </c>
      <c r="Q66" s="85">
        <f t="shared" si="4"/>
        <v>21.9</v>
      </c>
      <c r="R66" s="85">
        <f t="shared" si="20"/>
        <v>0</v>
      </c>
      <c r="S66" s="85">
        <f t="shared" si="5"/>
        <v>21.9</v>
      </c>
      <c r="T66" s="85">
        <f t="shared" si="20"/>
        <v>0</v>
      </c>
      <c r="U66" s="85">
        <f t="shared" si="6"/>
        <v>21.9</v>
      </c>
    </row>
    <row r="67" spans="1:21" s="148" customFormat="1" ht="26.25" customHeight="1">
      <c r="A67" s="61" t="str">
        <f ca="1">IF(ISERROR(MATCH(E67,Код_КЦСР,0)),"",INDIRECT(ADDRESS(MATCH(E67,Код_КЦСР,0)+1,2,,,"КЦСР")))</f>
        <v>Расходы, не включенные в муниципальные программы города Череповца</v>
      </c>
      <c r="B67" s="145">
        <v>801</v>
      </c>
      <c r="C67" s="8" t="s">
        <v>213</v>
      </c>
      <c r="D67" s="8" t="s">
        <v>221</v>
      </c>
      <c r="E67" s="145" t="s">
        <v>301</v>
      </c>
      <c r="F67" s="145"/>
      <c r="G67" s="69"/>
      <c r="H67" s="64"/>
      <c r="I67" s="69"/>
      <c r="J67" s="64"/>
      <c r="K67" s="85"/>
      <c r="L67" s="85"/>
      <c r="M67" s="85"/>
      <c r="N67" s="85">
        <f t="shared" si="20"/>
        <v>21.9</v>
      </c>
      <c r="O67" s="85">
        <f t="shared" si="3"/>
        <v>21.9</v>
      </c>
      <c r="P67" s="85">
        <f t="shared" si="20"/>
        <v>0</v>
      </c>
      <c r="Q67" s="85">
        <f t="shared" si="4"/>
        <v>21.9</v>
      </c>
      <c r="R67" s="85">
        <f t="shared" si="20"/>
        <v>0</v>
      </c>
      <c r="S67" s="85">
        <f t="shared" si="5"/>
        <v>21.9</v>
      </c>
      <c r="T67" s="85">
        <f t="shared" si="20"/>
        <v>0</v>
      </c>
      <c r="U67" s="85">
        <f t="shared" si="6"/>
        <v>21.9</v>
      </c>
    </row>
    <row r="68" spans="1:21" s="148" customFormat="1" ht="66">
      <c r="A68" s="61" t="str">
        <f ca="1">IF(ISERROR(MATCH(E68,Код_КЦСР,0)),"",INDIRECT(ADDRESS(MATCH(E68,Код_КЦСР,0)+1,2,,,"КЦСР")))</f>
        <v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за счет субвенций из федерального бюджета</v>
      </c>
      <c r="B68" s="145">
        <v>801</v>
      </c>
      <c r="C68" s="8" t="s">
        <v>213</v>
      </c>
      <c r="D68" s="8" t="s">
        <v>221</v>
      </c>
      <c r="E68" s="145" t="s">
        <v>383</v>
      </c>
      <c r="F68" s="145"/>
      <c r="G68" s="69">
        <f>G69</f>
        <v>0</v>
      </c>
      <c r="H68" s="64"/>
      <c r="I68" s="69">
        <f t="shared" si="0"/>
        <v>0</v>
      </c>
      <c r="J68" s="64"/>
      <c r="K68" s="85">
        <f t="shared" si="1"/>
        <v>0</v>
      </c>
      <c r="L68" s="85"/>
      <c r="M68" s="85">
        <f t="shared" si="2"/>
        <v>0</v>
      </c>
      <c r="N68" s="85">
        <f t="shared" si="20"/>
        <v>21.9</v>
      </c>
      <c r="O68" s="85">
        <f t="shared" si="3"/>
        <v>21.9</v>
      </c>
      <c r="P68" s="85">
        <f t="shared" si="20"/>
        <v>0</v>
      </c>
      <c r="Q68" s="85">
        <f t="shared" si="4"/>
        <v>21.9</v>
      </c>
      <c r="R68" s="85">
        <f t="shared" si="20"/>
        <v>0</v>
      </c>
      <c r="S68" s="85">
        <f t="shared" si="5"/>
        <v>21.9</v>
      </c>
      <c r="T68" s="85">
        <f t="shared" si="20"/>
        <v>0</v>
      </c>
      <c r="U68" s="85">
        <f t="shared" si="6"/>
        <v>21.9</v>
      </c>
    </row>
    <row r="69" spans="1:21" s="148" customFormat="1">
      <c r="A69" s="61" t="str">
        <f ca="1">IF(ISERROR(MATCH(F69,Код_КВР,0)),"",INDIRECT(ADDRESS(MATCH(F69,Код_КВР,0)+1,2,,,"КВР")))</f>
        <v>Закупка товаров, работ и услуг для муниципальных нужд</v>
      </c>
      <c r="B69" s="145">
        <v>801</v>
      </c>
      <c r="C69" s="8" t="s">
        <v>213</v>
      </c>
      <c r="D69" s="8" t="s">
        <v>221</v>
      </c>
      <c r="E69" s="145" t="s">
        <v>383</v>
      </c>
      <c r="F69" s="145">
        <v>200</v>
      </c>
      <c r="G69" s="69">
        <f>G70</f>
        <v>0</v>
      </c>
      <c r="H69" s="64"/>
      <c r="I69" s="69">
        <f t="shared" si="0"/>
        <v>0</v>
      </c>
      <c r="J69" s="64"/>
      <c r="K69" s="85">
        <f t="shared" si="1"/>
        <v>0</v>
      </c>
      <c r="L69" s="85"/>
      <c r="M69" s="85">
        <f t="shared" si="2"/>
        <v>0</v>
      </c>
      <c r="N69" s="85">
        <f t="shared" si="20"/>
        <v>21.9</v>
      </c>
      <c r="O69" s="85">
        <f t="shared" si="3"/>
        <v>21.9</v>
      </c>
      <c r="P69" s="85">
        <f t="shared" si="20"/>
        <v>0</v>
      </c>
      <c r="Q69" s="85">
        <f t="shared" si="4"/>
        <v>21.9</v>
      </c>
      <c r="R69" s="85">
        <f t="shared" si="20"/>
        <v>0</v>
      </c>
      <c r="S69" s="85">
        <f t="shared" si="5"/>
        <v>21.9</v>
      </c>
      <c r="T69" s="85">
        <f t="shared" si="20"/>
        <v>0</v>
      </c>
      <c r="U69" s="85">
        <f t="shared" si="6"/>
        <v>21.9</v>
      </c>
    </row>
    <row r="70" spans="1:21" s="148" customFormat="1" ht="33">
      <c r="A70" s="61" t="str">
        <f ca="1">IF(ISERROR(MATCH(F70,Код_КВР,0)),"",INDIRECT(ADDRESS(MATCH(F70,Код_КВР,0)+1,2,,,"КВР")))</f>
        <v>Иные закупки товаров, работ и услуг для обеспечения муниципальных нужд</v>
      </c>
      <c r="B70" s="145">
        <v>801</v>
      </c>
      <c r="C70" s="8" t="s">
        <v>213</v>
      </c>
      <c r="D70" s="8" t="s">
        <v>221</v>
      </c>
      <c r="E70" s="145" t="s">
        <v>383</v>
      </c>
      <c r="F70" s="145">
        <v>240</v>
      </c>
      <c r="G70" s="69">
        <f>G71</f>
        <v>0</v>
      </c>
      <c r="H70" s="64"/>
      <c r="I70" s="69">
        <f t="shared" si="0"/>
        <v>0</v>
      </c>
      <c r="J70" s="64"/>
      <c r="K70" s="85">
        <f t="shared" si="1"/>
        <v>0</v>
      </c>
      <c r="L70" s="85"/>
      <c r="M70" s="85">
        <f t="shared" si="2"/>
        <v>0</v>
      </c>
      <c r="N70" s="85">
        <f t="shared" si="20"/>
        <v>21.9</v>
      </c>
      <c r="O70" s="85">
        <f t="shared" si="3"/>
        <v>21.9</v>
      </c>
      <c r="P70" s="85">
        <f t="shared" si="20"/>
        <v>0</v>
      </c>
      <c r="Q70" s="85">
        <f t="shared" si="4"/>
        <v>21.9</v>
      </c>
      <c r="R70" s="85">
        <f t="shared" si="20"/>
        <v>0</v>
      </c>
      <c r="S70" s="85">
        <f t="shared" si="5"/>
        <v>21.9</v>
      </c>
      <c r="T70" s="85">
        <f t="shared" si="20"/>
        <v>0</v>
      </c>
      <c r="U70" s="85">
        <f t="shared" si="6"/>
        <v>21.9</v>
      </c>
    </row>
    <row r="71" spans="1:21" s="148" customFormat="1" ht="33">
      <c r="A71" s="61" t="str">
        <f ca="1">IF(ISERROR(MATCH(F71,Код_КВР,0)),"",INDIRECT(ADDRESS(MATCH(F71,Код_КВР,0)+1,2,,,"КВР")))</f>
        <v xml:space="preserve">Прочая закупка товаров, работ и услуг для обеспечения муниципальных нужд         </v>
      </c>
      <c r="B71" s="145">
        <v>801</v>
      </c>
      <c r="C71" s="8" t="s">
        <v>213</v>
      </c>
      <c r="D71" s="8" t="s">
        <v>221</v>
      </c>
      <c r="E71" s="145" t="s">
        <v>383</v>
      </c>
      <c r="F71" s="145">
        <v>244</v>
      </c>
      <c r="G71" s="69"/>
      <c r="H71" s="64"/>
      <c r="I71" s="69">
        <f t="shared" si="0"/>
        <v>0</v>
      </c>
      <c r="J71" s="64"/>
      <c r="K71" s="85">
        <f t="shared" si="1"/>
        <v>0</v>
      </c>
      <c r="L71" s="85"/>
      <c r="M71" s="85">
        <f t="shared" si="2"/>
        <v>0</v>
      </c>
      <c r="N71" s="85">
        <v>21.9</v>
      </c>
      <c r="O71" s="85">
        <f t="shared" si="3"/>
        <v>21.9</v>
      </c>
      <c r="P71" s="85"/>
      <c r="Q71" s="85">
        <f t="shared" si="4"/>
        <v>21.9</v>
      </c>
      <c r="R71" s="85"/>
      <c r="S71" s="85">
        <f t="shared" si="5"/>
        <v>21.9</v>
      </c>
      <c r="T71" s="85"/>
      <c r="U71" s="85">
        <f t="shared" si="6"/>
        <v>21.9</v>
      </c>
    </row>
    <row r="72" spans="1:21" s="148" customFormat="1">
      <c r="A72" s="12" t="s">
        <v>237</v>
      </c>
      <c r="B72" s="145">
        <v>801</v>
      </c>
      <c r="C72" s="8" t="s">
        <v>213</v>
      </c>
      <c r="D72" s="8" t="s">
        <v>190</v>
      </c>
      <c r="E72" s="145"/>
      <c r="F72" s="145"/>
      <c r="G72" s="69">
        <f>G73+G90+G95+G114+G141+G158+G164</f>
        <v>119681.60000000001</v>
      </c>
      <c r="H72" s="69">
        <f>H73+H90+H95+H114+H141+H158+H164</f>
        <v>0</v>
      </c>
      <c r="I72" s="69">
        <f t="shared" si="0"/>
        <v>119681.60000000001</v>
      </c>
      <c r="J72" s="69">
        <f>J73+J90+J95+J114+J141+J158+J164+J109</f>
        <v>9039.4000000000015</v>
      </c>
      <c r="K72" s="85">
        <f t="shared" si="1"/>
        <v>128721</v>
      </c>
      <c r="L72" s="13">
        <f>L73+L90+L95+L114+L141+L158+L164+L109</f>
        <v>754.3</v>
      </c>
      <c r="M72" s="85">
        <f t="shared" si="2"/>
        <v>129475.3</v>
      </c>
      <c r="N72" s="13">
        <f>N73+N90+N95+N114+N141+N158+N164+N109</f>
        <v>206.1</v>
      </c>
      <c r="O72" s="85">
        <f t="shared" si="3"/>
        <v>129681.40000000001</v>
      </c>
      <c r="P72" s="13">
        <f>P73+P90+P95+P114+P141+P158+P164+P109</f>
        <v>0</v>
      </c>
      <c r="Q72" s="85">
        <f t="shared" si="4"/>
        <v>129681.40000000001</v>
      </c>
      <c r="R72" s="13">
        <f>R73+R90+R95+R114+R141+R158+R164+R109</f>
        <v>242.40000000000009</v>
      </c>
      <c r="S72" s="85">
        <f t="shared" si="5"/>
        <v>129923.8</v>
      </c>
      <c r="T72" s="13">
        <f>T73+T90+T95+T114+T141+T158+T164+T109</f>
        <v>4797.3999999999996</v>
      </c>
      <c r="U72" s="85">
        <f t="shared" si="6"/>
        <v>134721.20000000001</v>
      </c>
    </row>
    <row r="73" spans="1:21" s="148" customFormat="1">
      <c r="A73" s="61" t="str">
        <f ca="1">IF(ISERROR(MATCH(E73,Код_КЦСР,0)),"",INDIRECT(ADDRESS(MATCH(E73,Код_КЦСР,0)+1,2,,,"КЦСР")))</f>
        <v>Муниципальная программа «Развитие архивного дела» на 2013-2018 годы</v>
      </c>
      <c r="B73" s="145">
        <v>801</v>
      </c>
      <c r="C73" s="8" t="s">
        <v>213</v>
      </c>
      <c r="D73" s="8" t="s">
        <v>190</v>
      </c>
      <c r="E73" s="145" t="s">
        <v>535</v>
      </c>
      <c r="F73" s="145"/>
      <c r="G73" s="69">
        <f>G74+G84</f>
        <v>13813.9</v>
      </c>
      <c r="H73" s="69">
        <f t="shared" ref="H73" si="21">H74+H84</f>
        <v>0</v>
      </c>
      <c r="I73" s="69">
        <f t="shared" si="0"/>
        <v>13813.9</v>
      </c>
      <c r="J73" s="69">
        <f>J74+J84</f>
        <v>0</v>
      </c>
      <c r="K73" s="85">
        <f t="shared" si="1"/>
        <v>13813.9</v>
      </c>
      <c r="L73" s="13">
        <f>L74+L84</f>
        <v>-46.7</v>
      </c>
      <c r="M73" s="85">
        <f t="shared" si="2"/>
        <v>13767.199999999999</v>
      </c>
      <c r="N73" s="13">
        <f>N74+N84</f>
        <v>0</v>
      </c>
      <c r="O73" s="85">
        <f t="shared" si="3"/>
        <v>13767.199999999999</v>
      </c>
      <c r="P73" s="13">
        <f>P74+P84</f>
        <v>0</v>
      </c>
      <c r="Q73" s="85">
        <f t="shared" si="4"/>
        <v>13767.199999999999</v>
      </c>
      <c r="R73" s="13">
        <f>R74+R84</f>
        <v>0</v>
      </c>
      <c r="S73" s="85">
        <f t="shared" si="5"/>
        <v>13767.199999999999</v>
      </c>
      <c r="T73" s="13">
        <f>T74+T84</f>
        <v>0</v>
      </c>
      <c r="U73" s="85">
        <f t="shared" si="6"/>
        <v>13767.199999999999</v>
      </c>
    </row>
    <row r="74" spans="1:21" s="148" customFormat="1" ht="49.5" customHeight="1">
      <c r="A74" s="61" t="str">
        <f ca="1">IF(ISERROR(MATCH(E74,Код_КЦСР,0)),"",INDIRECT(ADDRESS(MATCH(E74,Код_КЦСР,0)+1,2,,,"КЦСР")))</f>
        <v>Обеспечение сохранности документов Архивного фонда и других архивных документов и предоставление потребителям ретроспективной информации</v>
      </c>
      <c r="B74" s="145">
        <v>801</v>
      </c>
      <c r="C74" s="8" t="s">
        <v>213</v>
      </c>
      <c r="D74" s="8" t="s">
        <v>190</v>
      </c>
      <c r="E74" s="145" t="s">
        <v>537</v>
      </c>
      <c r="F74" s="145"/>
      <c r="G74" s="69">
        <f>G75+G77+G80</f>
        <v>12741.9</v>
      </c>
      <c r="H74" s="69">
        <f t="shared" ref="H74" si="22">H75+H77+H80</f>
        <v>0</v>
      </c>
      <c r="I74" s="69">
        <f t="shared" si="0"/>
        <v>12741.9</v>
      </c>
      <c r="J74" s="69">
        <f>J75+J77+J80</f>
        <v>0</v>
      </c>
      <c r="K74" s="85">
        <f t="shared" si="1"/>
        <v>12741.9</v>
      </c>
      <c r="L74" s="13">
        <f>L75+L77+L80</f>
        <v>-46.7</v>
      </c>
      <c r="M74" s="85">
        <f t="shared" si="2"/>
        <v>12695.199999999999</v>
      </c>
      <c r="N74" s="13">
        <f>N75+N77+N80</f>
        <v>0</v>
      </c>
      <c r="O74" s="85">
        <f t="shared" si="3"/>
        <v>12695.199999999999</v>
      </c>
      <c r="P74" s="13">
        <f>P75+P77+P80</f>
        <v>0</v>
      </c>
      <c r="Q74" s="85">
        <f t="shared" si="4"/>
        <v>12695.199999999999</v>
      </c>
      <c r="R74" s="13">
        <f>R75+R77+R80</f>
        <v>0</v>
      </c>
      <c r="S74" s="85">
        <f t="shared" si="5"/>
        <v>12695.199999999999</v>
      </c>
      <c r="T74" s="13">
        <f>T75+T77+T80</f>
        <v>0</v>
      </c>
      <c r="U74" s="85">
        <f t="shared" si="6"/>
        <v>12695.199999999999</v>
      </c>
    </row>
    <row r="75" spans="1:21" s="148" customFormat="1" ht="33">
      <c r="A75" s="61" t="str">
        <f t="shared" ref="A75:A81" ca="1" si="23">IF(ISERROR(MATCH(F75,Код_КВР,0)),"",INDIRECT(ADDRESS(MATCH(F75,Код_КВР,0)+1,2,,,"КВР")))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75" s="145">
        <v>801</v>
      </c>
      <c r="C75" s="8" t="s">
        <v>213</v>
      </c>
      <c r="D75" s="8" t="s">
        <v>190</v>
      </c>
      <c r="E75" s="145" t="s">
        <v>537</v>
      </c>
      <c r="F75" s="145">
        <v>100</v>
      </c>
      <c r="G75" s="69">
        <f>G76</f>
        <v>6387</v>
      </c>
      <c r="H75" s="69">
        <f>H76</f>
        <v>0</v>
      </c>
      <c r="I75" s="69">
        <f t="shared" si="0"/>
        <v>6387</v>
      </c>
      <c r="J75" s="69">
        <f>J76</f>
        <v>0</v>
      </c>
      <c r="K75" s="85">
        <f t="shared" si="1"/>
        <v>6387</v>
      </c>
      <c r="L75" s="13">
        <f>L76</f>
        <v>0</v>
      </c>
      <c r="M75" s="85">
        <f t="shared" si="2"/>
        <v>6387</v>
      </c>
      <c r="N75" s="13">
        <f>N76</f>
        <v>0</v>
      </c>
      <c r="O75" s="85">
        <f t="shared" si="3"/>
        <v>6387</v>
      </c>
      <c r="P75" s="13">
        <f>P76</f>
        <v>0</v>
      </c>
      <c r="Q75" s="85">
        <f t="shared" si="4"/>
        <v>6387</v>
      </c>
      <c r="R75" s="13">
        <f>R76</f>
        <v>13</v>
      </c>
      <c r="S75" s="85">
        <f t="shared" si="5"/>
        <v>6400</v>
      </c>
      <c r="T75" s="13">
        <f>T76</f>
        <v>0</v>
      </c>
      <c r="U75" s="85">
        <f t="shared" si="6"/>
        <v>6400</v>
      </c>
    </row>
    <row r="76" spans="1:21" s="148" customFormat="1">
      <c r="A76" s="61" t="str">
        <f t="shared" ca="1" si="23"/>
        <v>Расходы на выплаты персоналу казенных учреждений</v>
      </c>
      <c r="B76" s="145">
        <v>801</v>
      </c>
      <c r="C76" s="8" t="s">
        <v>213</v>
      </c>
      <c r="D76" s="8" t="s">
        <v>190</v>
      </c>
      <c r="E76" s="145" t="s">
        <v>537</v>
      </c>
      <c r="F76" s="145">
        <v>110</v>
      </c>
      <c r="G76" s="69">
        <v>6387</v>
      </c>
      <c r="H76" s="64"/>
      <c r="I76" s="69">
        <f t="shared" si="0"/>
        <v>6387</v>
      </c>
      <c r="J76" s="64"/>
      <c r="K76" s="85">
        <f t="shared" si="1"/>
        <v>6387</v>
      </c>
      <c r="L76" s="85"/>
      <c r="M76" s="85">
        <f t="shared" si="2"/>
        <v>6387</v>
      </c>
      <c r="N76" s="85"/>
      <c r="O76" s="85">
        <f t="shared" si="3"/>
        <v>6387</v>
      </c>
      <c r="P76" s="85"/>
      <c r="Q76" s="85">
        <f t="shared" si="4"/>
        <v>6387</v>
      </c>
      <c r="R76" s="85">
        <v>13</v>
      </c>
      <c r="S76" s="85">
        <f t="shared" si="5"/>
        <v>6400</v>
      </c>
      <c r="T76" s="85"/>
      <c r="U76" s="85">
        <f t="shared" si="6"/>
        <v>6400</v>
      </c>
    </row>
    <row r="77" spans="1:21" s="148" customFormat="1">
      <c r="A77" s="61" t="str">
        <f t="shared" ca="1" si="23"/>
        <v>Закупка товаров, работ и услуг для муниципальных нужд</v>
      </c>
      <c r="B77" s="145">
        <v>801</v>
      </c>
      <c r="C77" s="8" t="s">
        <v>213</v>
      </c>
      <c r="D77" s="8" t="s">
        <v>190</v>
      </c>
      <c r="E77" s="145" t="s">
        <v>537</v>
      </c>
      <c r="F77" s="145">
        <v>200</v>
      </c>
      <c r="G77" s="69">
        <f>G78</f>
        <v>4051.8</v>
      </c>
      <c r="H77" s="69">
        <f>H78</f>
        <v>0</v>
      </c>
      <c r="I77" s="69">
        <f t="shared" si="0"/>
        <v>4051.8</v>
      </c>
      <c r="J77" s="69">
        <f>J78</f>
        <v>-2.6</v>
      </c>
      <c r="K77" s="85">
        <f t="shared" si="1"/>
        <v>4049.2000000000003</v>
      </c>
      <c r="L77" s="13">
        <f>L78</f>
        <v>-46.7</v>
      </c>
      <c r="M77" s="85">
        <f t="shared" si="2"/>
        <v>4002.5000000000005</v>
      </c>
      <c r="N77" s="13">
        <f>N78</f>
        <v>0</v>
      </c>
      <c r="O77" s="85">
        <f t="shared" si="3"/>
        <v>4002.5000000000005</v>
      </c>
      <c r="P77" s="13">
        <f>P78</f>
        <v>0</v>
      </c>
      <c r="Q77" s="85">
        <f t="shared" si="4"/>
        <v>4002.5000000000005</v>
      </c>
      <c r="R77" s="13">
        <f>R78</f>
        <v>-13</v>
      </c>
      <c r="S77" s="85">
        <f t="shared" si="5"/>
        <v>3989.5000000000005</v>
      </c>
      <c r="T77" s="13">
        <f>T78</f>
        <v>-20</v>
      </c>
      <c r="U77" s="85">
        <f t="shared" si="6"/>
        <v>3969.5000000000005</v>
      </c>
    </row>
    <row r="78" spans="1:21" s="148" customFormat="1" ht="33">
      <c r="A78" s="61" t="str">
        <f t="shared" ca="1" si="23"/>
        <v>Иные закупки товаров, работ и услуг для обеспечения муниципальных нужд</v>
      </c>
      <c r="B78" s="145">
        <v>801</v>
      </c>
      <c r="C78" s="8" t="s">
        <v>213</v>
      </c>
      <c r="D78" s="8" t="s">
        <v>190</v>
      </c>
      <c r="E78" s="145" t="s">
        <v>537</v>
      </c>
      <c r="F78" s="145">
        <v>240</v>
      </c>
      <c r="G78" s="69">
        <f>G79</f>
        <v>4051.8</v>
      </c>
      <c r="H78" s="64"/>
      <c r="I78" s="69">
        <f>G78+H78</f>
        <v>4051.8</v>
      </c>
      <c r="J78" s="64">
        <f>J79</f>
        <v>-2.6</v>
      </c>
      <c r="K78" s="85">
        <f t="shared" si="1"/>
        <v>4049.2000000000003</v>
      </c>
      <c r="L78" s="85">
        <f>L79</f>
        <v>-46.7</v>
      </c>
      <c r="M78" s="85">
        <f t="shared" si="2"/>
        <v>4002.5000000000005</v>
      </c>
      <c r="N78" s="85">
        <f>N79</f>
        <v>0</v>
      </c>
      <c r="O78" s="85">
        <f t="shared" si="3"/>
        <v>4002.5000000000005</v>
      </c>
      <c r="P78" s="85">
        <f>P79</f>
        <v>0</v>
      </c>
      <c r="Q78" s="85">
        <f t="shared" si="4"/>
        <v>4002.5000000000005</v>
      </c>
      <c r="R78" s="85">
        <f>R79</f>
        <v>-13</v>
      </c>
      <c r="S78" s="85">
        <f t="shared" si="5"/>
        <v>3989.5000000000005</v>
      </c>
      <c r="T78" s="85">
        <f>T79</f>
        <v>-20</v>
      </c>
      <c r="U78" s="85">
        <f t="shared" si="6"/>
        <v>3969.5000000000005</v>
      </c>
    </row>
    <row r="79" spans="1:21" s="148" customFormat="1" ht="33">
      <c r="A79" s="61" t="str">
        <f t="shared" ca="1" si="23"/>
        <v xml:space="preserve">Прочая закупка товаров, работ и услуг для обеспечения муниципальных нужд         </v>
      </c>
      <c r="B79" s="145">
        <v>801</v>
      </c>
      <c r="C79" s="8" t="s">
        <v>213</v>
      </c>
      <c r="D79" s="8" t="s">
        <v>190</v>
      </c>
      <c r="E79" s="145" t="s">
        <v>537</v>
      </c>
      <c r="F79" s="145">
        <v>244</v>
      </c>
      <c r="G79" s="69">
        <v>4051.8</v>
      </c>
      <c r="H79" s="64"/>
      <c r="I79" s="69">
        <f t="shared" si="0"/>
        <v>4051.8</v>
      </c>
      <c r="J79" s="64">
        <v>-2.6</v>
      </c>
      <c r="K79" s="85">
        <f t="shared" si="1"/>
        <v>4049.2000000000003</v>
      </c>
      <c r="L79" s="85">
        <v>-46.7</v>
      </c>
      <c r="M79" s="85">
        <f t="shared" si="2"/>
        <v>4002.5000000000005</v>
      </c>
      <c r="N79" s="85"/>
      <c r="O79" s="85">
        <f t="shared" si="3"/>
        <v>4002.5000000000005</v>
      </c>
      <c r="P79" s="85"/>
      <c r="Q79" s="85">
        <f t="shared" si="4"/>
        <v>4002.5000000000005</v>
      </c>
      <c r="R79" s="85">
        <v>-13</v>
      </c>
      <c r="S79" s="85">
        <f t="shared" si="5"/>
        <v>3989.5000000000005</v>
      </c>
      <c r="T79" s="85">
        <v>-20</v>
      </c>
      <c r="U79" s="85">
        <f t="shared" si="6"/>
        <v>3969.5000000000005</v>
      </c>
    </row>
    <row r="80" spans="1:21" s="148" customFormat="1">
      <c r="A80" s="61" t="str">
        <f t="shared" ca="1" si="23"/>
        <v>Иные бюджетные ассигнования</v>
      </c>
      <c r="B80" s="145">
        <v>801</v>
      </c>
      <c r="C80" s="8" t="s">
        <v>213</v>
      </c>
      <c r="D80" s="8" t="s">
        <v>190</v>
      </c>
      <c r="E80" s="145" t="s">
        <v>537</v>
      </c>
      <c r="F80" s="145">
        <v>800</v>
      </c>
      <c r="G80" s="69">
        <f>G81</f>
        <v>2303.1</v>
      </c>
      <c r="H80" s="69">
        <f>H81</f>
        <v>0</v>
      </c>
      <c r="I80" s="69">
        <f t="shared" si="0"/>
        <v>2303.1</v>
      </c>
      <c r="J80" s="69">
        <f>J81</f>
        <v>2.6</v>
      </c>
      <c r="K80" s="85">
        <f t="shared" si="1"/>
        <v>2305.6999999999998</v>
      </c>
      <c r="L80" s="13">
        <f>L81</f>
        <v>0</v>
      </c>
      <c r="M80" s="85">
        <f t="shared" si="2"/>
        <v>2305.6999999999998</v>
      </c>
      <c r="N80" s="13">
        <f>N81</f>
        <v>0</v>
      </c>
      <c r="O80" s="85">
        <f t="shared" si="3"/>
        <v>2305.6999999999998</v>
      </c>
      <c r="P80" s="13">
        <f>P81</f>
        <v>0</v>
      </c>
      <c r="Q80" s="85">
        <f t="shared" si="4"/>
        <v>2305.6999999999998</v>
      </c>
      <c r="R80" s="13">
        <f>R81</f>
        <v>0</v>
      </c>
      <c r="S80" s="85">
        <f t="shared" si="5"/>
        <v>2305.6999999999998</v>
      </c>
      <c r="T80" s="13">
        <f>T81</f>
        <v>20</v>
      </c>
      <c r="U80" s="85">
        <f t="shared" si="6"/>
        <v>2325.6999999999998</v>
      </c>
    </row>
    <row r="81" spans="1:21" s="148" customFormat="1">
      <c r="A81" s="61" t="str">
        <f t="shared" ca="1" si="23"/>
        <v>Уплата налогов, сборов и иных платежей</v>
      </c>
      <c r="B81" s="145">
        <v>801</v>
      </c>
      <c r="C81" s="8" t="s">
        <v>213</v>
      </c>
      <c r="D81" s="8" t="s">
        <v>190</v>
      </c>
      <c r="E81" s="145" t="s">
        <v>537</v>
      </c>
      <c r="F81" s="145">
        <v>850</v>
      </c>
      <c r="G81" s="69">
        <f>G82</f>
        <v>2303.1</v>
      </c>
      <c r="H81" s="69">
        <f>H82</f>
        <v>0</v>
      </c>
      <c r="I81" s="69">
        <f t="shared" si="0"/>
        <v>2303.1</v>
      </c>
      <c r="J81" s="69">
        <f>J82+J83</f>
        <v>2.6</v>
      </c>
      <c r="K81" s="85">
        <f t="shared" si="1"/>
        <v>2305.6999999999998</v>
      </c>
      <c r="L81" s="13">
        <f>L82+L83</f>
        <v>0</v>
      </c>
      <c r="M81" s="85">
        <f t="shared" si="2"/>
        <v>2305.6999999999998</v>
      </c>
      <c r="N81" s="13">
        <f>N82+N83</f>
        <v>0</v>
      </c>
      <c r="O81" s="85">
        <f t="shared" si="3"/>
        <v>2305.6999999999998</v>
      </c>
      <c r="P81" s="13">
        <f>P82+P83</f>
        <v>0</v>
      </c>
      <c r="Q81" s="85">
        <f t="shared" si="4"/>
        <v>2305.6999999999998</v>
      </c>
      <c r="R81" s="13">
        <f>R82+R83</f>
        <v>0</v>
      </c>
      <c r="S81" s="85">
        <f t="shared" si="5"/>
        <v>2305.6999999999998</v>
      </c>
      <c r="T81" s="13">
        <f>T82+T83</f>
        <v>20</v>
      </c>
      <c r="U81" s="85">
        <f t="shared" si="6"/>
        <v>2325.6999999999998</v>
      </c>
    </row>
    <row r="82" spans="1:21" s="148" customFormat="1">
      <c r="A82" s="61" t="str">
        <f ca="1">IF(ISERROR(MATCH(F82,Код_КВР,0)),"",INDIRECT(ADDRESS(MATCH(F82,Код_КВР,0)+1,2,,,"КВР")))</f>
        <v>Уплата налога на имущество организаций и земельного налога</v>
      </c>
      <c r="B82" s="145">
        <v>801</v>
      </c>
      <c r="C82" s="8" t="s">
        <v>213</v>
      </c>
      <c r="D82" s="8" t="s">
        <v>190</v>
      </c>
      <c r="E82" s="145" t="s">
        <v>537</v>
      </c>
      <c r="F82" s="145">
        <v>851</v>
      </c>
      <c r="G82" s="69">
        <v>2303.1</v>
      </c>
      <c r="H82" s="69"/>
      <c r="I82" s="69">
        <f t="shared" si="0"/>
        <v>2303.1</v>
      </c>
      <c r="J82" s="69"/>
      <c r="K82" s="85">
        <f t="shared" si="1"/>
        <v>2303.1</v>
      </c>
      <c r="L82" s="13"/>
      <c r="M82" s="85">
        <f t="shared" si="2"/>
        <v>2303.1</v>
      </c>
      <c r="N82" s="13"/>
      <c r="O82" s="85">
        <f t="shared" si="3"/>
        <v>2303.1</v>
      </c>
      <c r="P82" s="13"/>
      <c r="Q82" s="85">
        <f t="shared" si="4"/>
        <v>2303.1</v>
      </c>
      <c r="R82" s="13"/>
      <c r="S82" s="85">
        <f t="shared" si="5"/>
        <v>2303.1</v>
      </c>
      <c r="T82" s="13"/>
      <c r="U82" s="85">
        <f t="shared" si="6"/>
        <v>2303.1</v>
      </c>
    </row>
    <row r="83" spans="1:21" s="148" customFormat="1">
      <c r="A83" s="61" t="str">
        <f ca="1">IF(ISERROR(MATCH(F83,Код_КВР,0)),"",INDIRECT(ADDRESS(MATCH(F83,Код_КВР,0)+1,2,,,"КВР")))</f>
        <v>Уплата прочих налогов, сборов и иных платежей</v>
      </c>
      <c r="B83" s="145">
        <v>801</v>
      </c>
      <c r="C83" s="8" t="s">
        <v>213</v>
      </c>
      <c r="D83" s="8" t="s">
        <v>190</v>
      </c>
      <c r="E83" s="145" t="s">
        <v>537</v>
      </c>
      <c r="F83" s="145">
        <v>852</v>
      </c>
      <c r="G83" s="69"/>
      <c r="H83" s="69"/>
      <c r="I83" s="69"/>
      <c r="J83" s="69">
        <v>2.6</v>
      </c>
      <c r="K83" s="85">
        <f t="shared" si="1"/>
        <v>2.6</v>
      </c>
      <c r="L83" s="13"/>
      <c r="M83" s="85">
        <f t="shared" si="2"/>
        <v>2.6</v>
      </c>
      <c r="N83" s="13"/>
      <c r="O83" s="85">
        <f t="shared" si="3"/>
        <v>2.6</v>
      </c>
      <c r="P83" s="13"/>
      <c r="Q83" s="85">
        <f t="shared" si="4"/>
        <v>2.6</v>
      </c>
      <c r="R83" s="13"/>
      <c r="S83" s="85">
        <f t="shared" si="5"/>
        <v>2.6</v>
      </c>
      <c r="T83" s="13">
        <v>20</v>
      </c>
      <c r="U83" s="85">
        <f t="shared" si="6"/>
        <v>22.6</v>
      </c>
    </row>
    <row r="84" spans="1:21" s="148" customFormat="1" ht="102.75" customHeight="1">
      <c r="A84" s="61" t="str">
        <f ca="1">IF(ISERROR(MATCH(E84,Код_КЦСР,0)),"",INDIRECT(ADDRESS(MATCH(E84,Код_КЦСР,0)+1,2,,,"КЦСР")))</f>
        <v>Осуществление отдельных государственных полномочий в соответствии с законом области от 28 апреля 2006 года № 1443-ОЗ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архивного дела» за счет субвенций из областного бюджета</v>
      </c>
      <c r="B84" s="145">
        <v>801</v>
      </c>
      <c r="C84" s="8" t="s">
        <v>213</v>
      </c>
      <c r="D84" s="8" t="s">
        <v>190</v>
      </c>
      <c r="E84" s="145" t="s">
        <v>384</v>
      </c>
      <c r="F84" s="145"/>
      <c r="G84" s="69">
        <f>G85+G87</f>
        <v>1072</v>
      </c>
      <c r="H84" s="69">
        <f>H85+H87</f>
        <v>0</v>
      </c>
      <c r="I84" s="69">
        <f t="shared" si="0"/>
        <v>1072</v>
      </c>
      <c r="J84" s="69">
        <f>J85+J87</f>
        <v>0</v>
      </c>
      <c r="K84" s="85">
        <f t="shared" si="1"/>
        <v>1072</v>
      </c>
      <c r="L84" s="13">
        <f>L85+L87</f>
        <v>0</v>
      </c>
      <c r="M84" s="85">
        <f t="shared" si="2"/>
        <v>1072</v>
      </c>
      <c r="N84" s="13">
        <f>N85+N87</f>
        <v>0</v>
      </c>
      <c r="O84" s="85">
        <f t="shared" si="3"/>
        <v>1072</v>
      </c>
      <c r="P84" s="13">
        <f>P85+P87</f>
        <v>0</v>
      </c>
      <c r="Q84" s="85">
        <f t="shared" si="4"/>
        <v>1072</v>
      </c>
      <c r="R84" s="13">
        <f>R85+R87</f>
        <v>0</v>
      </c>
      <c r="S84" s="85">
        <f t="shared" si="5"/>
        <v>1072</v>
      </c>
      <c r="T84" s="13">
        <f>T85+T87</f>
        <v>0</v>
      </c>
      <c r="U84" s="85">
        <f t="shared" si="6"/>
        <v>1072</v>
      </c>
    </row>
    <row r="85" spans="1:21" s="148" customFormat="1" ht="33">
      <c r="A85" s="61" t="str">
        <f ca="1">IF(ISERROR(MATCH(F85,Код_КВР,0)),"",INDIRECT(ADDRESS(MATCH(F85,Код_КВР,0)+1,2,,,"КВР")))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85" s="145">
        <v>801</v>
      </c>
      <c r="C85" s="8" t="s">
        <v>213</v>
      </c>
      <c r="D85" s="8" t="s">
        <v>190</v>
      </c>
      <c r="E85" s="145" t="s">
        <v>384</v>
      </c>
      <c r="F85" s="145">
        <v>100</v>
      </c>
      <c r="G85" s="69">
        <f>G86</f>
        <v>305.2</v>
      </c>
      <c r="H85" s="69">
        <f>H86</f>
        <v>0</v>
      </c>
      <c r="I85" s="69">
        <f t="shared" si="0"/>
        <v>305.2</v>
      </c>
      <c r="J85" s="69">
        <f>J86</f>
        <v>0</v>
      </c>
      <c r="K85" s="85">
        <f t="shared" si="1"/>
        <v>305.2</v>
      </c>
      <c r="L85" s="13">
        <f>L86</f>
        <v>0</v>
      </c>
      <c r="M85" s="85">
        <f t="shared" si="2"/>
        <v>305.2</v>
      </c>
      <c r="N85" s="13">
        <f>N86</f>
        <v>0</v>
      </c>
      <c r="O85" s="85">
        <f t="shared" si="3"/>
        <v>305.2</v>
      </c>
      <c r="P85" s="13">
        <f>P86</f>
        <v>0</v>
      </c>
      <c r="Q85" s="85">
        <f t="shared" si="4"/>
        <v>305.2</v>
      </c>
      <c r="R85" s="13">
        <f>R86</f>
        <v>0</v>
      </c>
      <c r="S85" s="85">
        <f t="shared" si="5"/>
        <v>305.2</v>
      </c>
      <c r="T85" s="13">
        <f>T86</f>
        <v>0</v>
      </c>
      <c r="U85" s="85">
        <f t="shared" si="6"/>
        <v>305.2</v>
      </c>
    </row>
    <row r="86" spans="1:21" s="148" customFormat="1">
      <c r="A86" s="61" t="str">
        <f ca="1">IF(ISERROR(MATCH(F86,Код_КВР,0)),"",INDIRECT(ADDRESS(MATCH(F86,Код_КВР,0)+1,2,,,"КВР")))</f>
        <v>Расходы на выплаты персоналу казенных учреждений</v>
      </c>
      <c r="B86" s="145">
        <v>801</v>
      </c>
      <c r="C86" s="8" t="s">
        <v>213</v>
      </c>
      <c r="D86" s="8" t="s">
        <v>190</v>
      </c>
      <c r="E86" s="145" t="s">
        <v>384</v>
      </c>
      <c r="F86" s="145">
        <v>110</v>
      </c>
      <c r="G86" s="69">
        <v>305.2</v>
      </c>
      <c r="H86" s="69"/>
      <c r="I86" s="69">
        <f t="shared" si="0"/>
        <v>305.2</v>
      </c>
      <c r="J86" s="69"/>
      <c r="K86" s="85">
        <f t="shared" si="1"/>
        <v>305.2</v>
      </c>
      <c r="L86" s="13"/>
      <c r="M86" s="85">
        <f t="shared" si="2"/>
        <v>305.2</v>
      </c>
      <c r="N86" s="13"/>
      <c r="O86" s="85">
        <f t="shared" si="3"/>
        <v>305.2</v>
      </c>
      <c r="P86" s="13"/>
      <c r="Q86" s="85">
        <f t="shared" si="4"/>
        <v>305.2</v>
      </c>
      <c r="R86" s="13"/>
      <c r="S86" s="85">
        <f t="shared" si="5"/>
        <v>305.2</v>
      </c>
      <c r="T86" s="13"/>
      <c r="U86" s="85">
        <f t="shared" ref="U86:U153" si="24">S86+T86</f>
        <v>305.2</v>
      </c>
    </row>
    <row r="87" spans="1:21" s="148" customFormat="1">
      <c r="A87" s="61" t="str">
        <f ca="1">IF(ISERROR(MATCH(F87,Код_КВР,0)),"",INDIRECT(ADDRESS(MATCH(F87,Код_КВР,0)+1,2,,,"КВР")))</f>
        <v>Закупка товаров, работ и услуг для муниципальных нужд</v>
      </c>
      <c r="B87" s="145">
        <v>801</v>
      </c>
      <c r="C87" s="8" t="s">
        <v>213</v>
      </c>
      <c r="D87" s="8" t="s">
        <v>190</v>
      </c>
      <c r="E87" s="145" t="s">
        <v>384</v>
      </c>
      <c r="F87" s="145">
        <v>200</v>
      </c>
      <c r="G87" s="69">
        <f>G88</f>
        <v>766.8</v>
      </c>
      <c r="H87" s="69">
        <f>H88</f>
        <v>0</v>
      </c>
      <c r="I87" s="69">
        <f t="shared" si="0"/>
        <v>766.8</v>
      </c>
      <c r="J87" s="69">
        <f>J88</f>
        <v>0</v>
      </c>
      <c r="K87" s="85">
        <f t="shared" si="1"/>
        <v>766.8</v>
      </c>
      <c r="L87" s="13">
        <f>L88</f>
        <v>0</v>
      </c>
      <c r="M87" s="85">
        <f t="shared" si="2"/>
        <v>766.8</v>
      </c>
      <c r="N87" s="13">
        <f>N88</f>
        <v>0</v>
      </c>
      <c r="O87" s="85">
        <f t="shared" si="3"/>
        <v>766.8</v>
      </c>
      <c r="P87" s="13">
        <f>P88</f>
        <v>0</v>
      </c>
      <c r="Q87" s="85">
        <f t="shared" si="4"/>
        <v>766.8</v>
      </c>
      <c r="R87" s="13">
        <f>R88</f>
        <v>0</v>
      </c>
      <c r="S87" s="85">
        <f t="shared" si="5"/>
        <v>766.8</v>
      </c>
      <c r="T87" s="13">
        <f>T88</f>
        <v>0</v>
      </c>
      <c r="U87" s="85">
        <f t="shared" si="24"/>
        <v>766.8</v>
      </c>
    </row>
    <row r="88" spans="1:21" s="148" customFormat="1" ht="33">
      <c r="A88" s="61" t="str">
        <f ca="1">IF(ISERROR(MATCH(F88,Код_КВР,0)),"",INDIRECT(ADDRESS(MATCH(F88,Код_КВР,0)+1,2,,,"КВР")))</f>
        <v>Иные закупки товаров, работ и услуг для обеспечения муниципальных нужд</v>
      </c>
      <c r="B88" s="145">
        <v>801</v>
      </c>
      <c r="C88" s="8" t="s">
        <v>213</v>
      </c>
      <c r="D88" s="8" t="s">
        <v>190</v>
      </c>
      <c r="E88" s="145" t="s">
        <v>384</v>
      </c>
      <c r="F88" s="145">
        <v>240</v>
      </c>
      <c r="G88" s="69">
        <f>G89</f>
        <v>766.8</v>
      </c>
      <c r="H88" s="69">
        <f>H89</f>
        <v>0</v>
      </c>
      <c r="I88" s="69">
        <f t="shared" si="0"/>
        <v>766.8</v>
      </c>
      <c r="J88" s="69">
        <f>J89</f>
        <v>0</v>
      </c>
      <c r="K88" s="85">
        <f t="shared" si="1"/>
        <v>766.8</v>
      </c>
      <c r="L88" s="13">
        <f>L89</f>
        <v>0</v>
      </c>
      <c r="M88" s="85">
        <f t="shared" si="2"/>
        <v>766.8</v>
      </c>
      <c r="N88" s="13">
        <f>N89</f>
        <v>0</v>
      </c>
      <c r="O88" s="85">
        <f t="shared" si="3"/>
        <v>766.8</v>
      </c>
      <c r="P88" s="13">
        <f>P89</f>
        <v>0</v>
      </c>
      <c r="Q88" s="85">
        <f t="shared" si="4"/>
        <v>766.8</v>
      </c>
      <c r="R88" s="13">
        <f>R89</f>
        <v>0</v>
      </c>
      <c r="S88" s="85">
        <f t="shared" si="5"/>
        <v>766.8</v>
      </c>
      <c r="T88" s="13">
        <f>T89</f>
        <v>0</v>
      </c>
      <c r="U88" s="85">
        <f t="shared" si="24"/>
        <v>766.8</v>
      </c>
    </row>
    <row r="89" spans="1:21" s="148" customFormat="1" ht="33">
      <c r="A89" s="61" t="str">
        <f ca="1">IF(ISERROR(MATCH(F89,Код_КВР,0)),"",INDIRECT(ADDRESS(MATCH(F89,Код_КВР,0)+1,2,,,"КВР")))</f>
        <v xml:space="preserve">Прочая закупка товаров, работ и услуг для обеспечения муниципальных нужд         </v>
      </c>
      <c r="B89" s="145">
        <v>801</v>
      </c>
      <c r="C89" s="8" t="s">
        <v>213</v>
      </c>
      <c r="D89" s="8" t="s">
        <v>190</v>
      </c>
      <c r="E89" s="145" t="s">
        <v>384</v>
      </c>
      <c r="F89" s="145">
        <v>244</v>
      </c>
      <c r="G89" s="69">
        <v>766.8</v>
      </c>
      <c r="H89" s="69"/>
      <c r="I89" s="69">
        <f t="shared" si="0"/>
        <v>766.8</v>
      </c>
      <c r="J89" s="69"/>
      <c r="K89" s="85">
        <f t="shared" si="1"/>
        <v>766.8</v>
      </c>
      <c r="L89" s="13"/>
      <c r="M89" s="85">
        <f t="shared" si="2"/>
        <v>766.8</v>
      </c>
      <c r="N89" s="13"/>
      <c r="O89" s="85">
        <f t="shared" si="3"/>
        <v>766.8</v>
      </c>
      <c r="P89" s="13"/>
      <c r="Q89" s="85">
        <f t="shared" si="4"/>
        <v>766.8</v>
      </c>
      <c r="R89" s="13"/>
      <c r="S89" s="85">
        <f t="shared" si="5"/>
        <v>766.8</v>
      </c>
      <c r="T89" s="13"/>
      <c r="U89" s="85">
        <f t="shared" si="24"/>
        <v>766.8</v>
      </c>
    </row>
    <row r="90" spans="1:21" s="148" customFormat="1" ht="33">
      <c r="A90" s="61" t="str">
        <f ca="1">IF(ISERROR(MATCH(E90,Код_КЦСР,0)),"",INDIRECT(ADDRESS(MATCH(E90,Код_КЦСР,0)+1,2,,,"КЦСР")))</f>
        <v>Муниципальная программа «Содействие развитию потребительского рынка в городе Череповце на 2013-2017 годы»</v>
      </c>
      <c r="B90" s="145">
        <v>801</v>
      </c>
      <c r="C90" s="8" t="s">
        <v>213</v>
      </c>
      <c r="D90" s="8" t="s">
        <v>190</v>
      </c>
      <c r="E90" s="145" t="s">
        <v>547</v>
      </c>
      <c r="F90" s="145"/>
      <c r="G90" s="69">
        <f t="shared" ref="G90:T93" si="25">G91</f>
        <v>150</v>
      </c>
      <c r="H90" s="69">
        <f t="shared" si="25"/>
        <v>0</v>
      </c>
      <c r="I90" s="69">
        <f t="shared" si="0"/>
        <v>150</v>
      </c>
      <c r="J90" s="69">
        <f t="shared" si="25"/>
        <v>0</v>
      </c>
      <c r="K90" s="85">
        <f t="shared" si="1"/>
        <v>150</v>
      </c>
      <c r="L90" s="13">
        <f t="shared" si="25"/>
        <v>0</v>
      </c>
      <c r="M90" s="85">
        <f t="shared" si="2"/>
        <v>150</v>
      </c>
      <c r="N90" s="13">
        <f t="shared" si="25"/>
        <v>0</v>
      </c>
      <c r="O90" s="85">
        <f t="shared" si="3"/>
        <v>150</v>
      </c>
      <c r="P90" s="13">
        <f t="shared" si="25"/>
        <v>0</v>
      </c>
      <c r="Q90" s="85">
        <f t="shared" si="4"/>
        <v>150</v>
      </c>
      <c r="R90" s="13">
        <f t="shared" si="25"/>
        <v>0</v>
      </c>
      <c r="S90" s="85">
        <f t="shared" si="5"/>
        <v>150</v>
      </c>
      <c r="T90" s="13">
        <f t="shared" si="25"/>
        <v>0</v>
      </c>
      <c r="U90" s="85">
        <f t="shared" si="24"/>
        <v>150</v>
      </c>
    </row>
    <row r="91" spans="1:21" s="148" customFormat="1" ht="49.5">
      <c r="A91" s="61" t="str">
        <f ca="1">IF(ISERROR(MATCH(E91,Код_КЦСР,0)),"",INDIRECT(ADDRESS(MATCH(E91,Код_КЦСР,0)+1,2,,,"КЦСР")))</f>
        <v>Повышение качества и безопасности товаров и услуг на потребительском рынке посредством проведения конкурсов среди предприятий сферы потребительского рынка</v>
      </c>
      <c r="B91" s="145">
        <v>801</v>
      </c>
      <c r="C91" s="8" t="s">
        <v>213</v>
      </c>
      <c r="D91" s="8" t="s">
        <v>190</v>
      </c>
      <c r="E91" s="145" t="s">
        <v>549</v>
      </c>
      <c r="F91" s="145"/>
      <c r="G91" s="69">
        <f t="shared" si="25"/>
        <v>150</v>
      </c>
      <c r="H91" s="69">
        <f t="shared" si="25"/>
        <v>0</v>
      </c>
      <c r="I91" s="69">
        <f t="shared" si="0"/>
        <v>150</v>
      </c>
      <c r="J91" s="69">
        <f t="shared" si="25"/>
        <v>0</v>
      </c>
      <c r="K91" s="85">
        <f t="shared" si="1"/>
        <v>150</v>
      </c>
      <c r="L91" s="13">
        <f t="shared" si="25"/>
        <v>0</v>
      </c>
      <c r="M91" s="85">
        <f t="shared" si="2"/>
        <v>150</v>
      </c>
      <c r="N91" s="13">
        <f t="shared" si="25"/>
        <v>0</v>
      </c>
      <c r="O91" s="85">
        <f t="shared" si="3"/>
        <v>150</v>
      </c>
      <c r="P91" s="13">
        <f t="shared" si="25"/>
        <v>0</v>
      </c>
      <c r="Q91" s="85">
        <f t="shared" si="4"/>
        <v>150</v>
      </c>
      <c r="R91" s="13">
        <f t="shared" si="25"/>
        <v>0</v>
      </c>
      <c r="S91" s="85">
        <f t="shared" si="5"/>
        <v>150</v>
      </c>
      <c r="T91" s="13">
        <f t="shared" si="25"/>
        <v>0</v>
      </c>
      <c r="U91" s="85">
        <f t="shared" si="24"/>
        <v>150</v>
      </c>
    </row>
    <row r="92" spans="1:21" s="148" customFormat="1">
      <c r="A92" s="61" t="str">
        <f ca="1">IF(ISERROR(MATCH(F92,Код_КВР,0)),"",INDIRECT(ADDRESS(MATCH(F92,Код_КВР,0)+1,2,,,"КВР")))</f>
        <v>Закупка товаров, работ и услуг для муниципальных нужд</v>
      </c>
      <c r="B92" s="145">
        <v>801</v>
      </c>
      <c r="C92" s="8" t="s">
        <v>213</v>
      </c>
      <c r="D92" s="8" t="s">
        <v>190</v>
      </c>
      <c r="E92" s="145" t="s">
        <v>549</v>
      </c>
      <c r="F92" s="145">
        <v>200</v>
      </c>
      <c r="G92" s="69">
        <f t="shared" si="25"/>
        <v>150</v>
      </c>
      <c r="H92" s="69">
        <f t="shared" si="25"/>
        <v>0</v>
      </c>
      <c r="I92" s="69">
        <f t="shared" si="0"/>
        <v>150</v>
      </c>
      <c r="J92" s="69">
        <f t="shared" si="25"/>
        <v>0</v>
      </c>
      <c r="K92" s="85">
        <f t="shared" si="1"/>
        <v>150</v>
      </c>
      <c r="L92" s="13">
        <f t="shared" si="25"/>
        <v>0</v>
      </c>
      <c r="M92" s="85">
        <f t="shared" si="2"/>
        <v>150</v>
      </c>
      <c r="N92" s="13">
        <f t="shared" si="25"/>
        <v>0</v>
      </c>
      <c r="O92" s="85">
        <f t="shared" si="3"/>
        <v>150</v>
      </c>
      <c r="P92" s="13">
        <f t="shared" si="25"/>
        <v>0</v>
      </c>
      <c r="Q92" s="85">
        <f t="shared" ref="Q92:Q159" si="26">O92+P92</f>
        <v>150</v>
      </c>
      <c r="R92" s="13">
        <f t="shared" si="25"/>
        <v>0</v>
      </c>
      <c r="S92" s="85">
        <f t="shared" ref="S92:S159" si="27">Q92+R92</f>
        <v>150</v>
      </c>
      <c r="T92" s="13">
        <f t="shared" si="25"/>
        <v>0</v>
      </c>
      <c r="U92" s="85">
        <f t="shared" si="24"/>
        <v>150</v>
      </c>
    </row>
    <row r="93" spans="1:21" s="148" customFormat="1" ht="33">
      <c r="A93" s="61" t="str">
        <f ca="1">IF(ISERROR(MATCH(F93,Код_КВР,0)),"",INDIRECT(ADDRESS(MATCH(F93,Код_КВР,0)+1,2,,,"КВР")))</f>
        <v>Иные закупки товаров, работ и услуг для обеспечения муниципальных нужд</v>
      </c>
      <c r="B93" s="145">
        <v>801</v>
      </c>
      <c r="C93" s="8" t="s">
        <v>213</v>
      </c>
      <c r="D93" s="8" t="s">
        <v>190</v>
      </c>
      <c r="E93" s="145" t="s">
        <v>549</v>
      </c>
      <c r="F93" s="145">
        <v>240</v>
      </c>
      <c r="G93" s="69">
        <f t="shared" si="25"/>
        <v>150</v>
      </c>
      <c r="H93" s="69">
        <f t="shared" si="25"/>
        <v>0</v>
      </c>
      <c r="I93" s="69">
        <f t="shared" si="0"/>
        <v>150</v>
      </c>
      <c r="J93" s="69">
        <f t="shared" si="25"/>
        <v>0</v>
      </c>
      <c r="K93" s="85">
        <f t="shared" si="1"/>
        <v>150</v>
      </c>
      <c r="L93" s="13">
        <f t="shared" si="25"/>
        <v>0</v>
      </c>
      <c r="M93" s="85">
        <f t="shared" si="2"/>
        <v>150</v>
      </c>
      <c r="N93" s="13">
        <f t="shared" si="25"/>
        <v>0</v>
      </c>
      <c r="O93" s="85">
        <f t="shared" si="3"/>
        <v>150</v>
      </c>
      <c r="P93" s="13">
        <f t="shared" si="25"/>
        <v>0</v>
      </c>
      <c r="Q93" s="85">
        <f t="shared" si="26"/>
        <v>150</v>
      </c>
      <c r="R93" s="13">
        <f t="shared" si="25"/>
        <v>0</v>
      </c>
      <c r="S93" s="85">
        <f t="shared" si="27"/>
        <v>150</v>
      </c>
      <c r="T93" s="13">
        <f t="shared" si="25"/>
        <v>0</v>
      </c>
      <c r="U93" s="85">
        <f t="shared" si="24"/>
        <v>150</v>
      </c>
    </row>
    <row r="94" spans="1:21" s="148" customFormat="1" ht="33">
      <c r="A94" s="61" t="str">
        <f ca="1">IF(ISERROR(MATCH(F94,Код_КВР,0)),"",INDIRECT(ADDRESS(MATCH(F94,Код_КВР,0)+1,2,,,"КВР")))</f>
        <v xml:space="preserve">Прочая закупка товаров, работ и услуг для обеспечения муниципальных нужд         </v>
      </c>
      <c r="B94" s="145">
        <v>801</v>
      </c>
      <c r="C94" s="8" t="s">
        <v>213</v>
      </c>
      <c r="D94" s="8" t="s">
        <v>190</v>
      </c>
      <c r="E94" s="145" t="s">
        <v>549</v>
      </c>
      <c r="F94" s="145">
        <v>244</v>
      </c>
      <c r="G94" s="69">
        <v>150</v>
      </c>
      <c r="H94" s="69"/>
      <c r="I94" s="69">
        <f t="shared" si="0"/>
        <v>150</v>
      </c>
      <c r="J94" s="69"/>
      <c r="K94" s="85">
        <f t="shared" si="1"/>
        <v>150</v>
      </c>
      <c r="L94" s="13"/>
      <c r="M94" s="85">
        <f t="shared" ref="M94:M161" si="28">K94+L94</f>
        <v>150</v>
      </c>
      <c r="N94" s="13"/>
      <c r="O94" s="85">
        <f t="shared" ref="O94:O161" si="29">M94+N94</f>
        <v>150</v>
      </c>
      <c r="P94" s="13"/>
      <c r="Q94" s="85">
        <f t="shared" si="26"/>
        <v>150</v>
      </c>
      <c r="R94" s="13"/>
      <c r="S94" s="85">
        <f t="shared" si="27"/>
        <v>150</v>
      </c>
      <c r="T94" s="13"/>
      <c r="U94" s="85">
        <f t="shared" si="24"/>
        <v>150</v>
      </c>
    </row>
    <row r="95" spans="1:21" s="148" customFormat="1">
      <c r="A95" s="61" t="str">
        <f ca="1">IF(ISERROR(MATCH(E95,Код_КЦСР,0)),"",INDIRECT(ADDRESS(MATCH(E95,Код_КЦСР,0)+1,2,,,"КЦСР")))</f>
        <v>Муниципальная программа «Здоровый город» на 2014-2022 годы</v>
      </c>
      <c r="B95" s="145">
        <v>801</v>
      </c>
      <c r="C95" s="8" t="s">
        <v>213</v>
      </c>
      <c r="D95" s="8" t="s">
        <v>190</v>
      </c>
      <c r="E95" s="145" t="s">
        <v>570</v>
      </c>
      <c r="F95" s="145"/>
      <c r="G95" s="69">
        <f>G96+G105</f>
        <v>1353.4</v>
      </c>
      <c r="H95" s="69">
        <f>H96+H105</f>
        <v>0</v>
      </c>
      <c r="I95" s="69">
        <f t="shared" ref="I95:I170" si="30">G95+H95</f>
        <v>1353.4</v>
      </c>
      <c r="J95" s="69">
        <f>J96+J105</f>
        <v>0</v>
      </c>
      <c r="K95" s="85">
        <f t="shared" ref="K95:K170" si="31">I95+J95</f>
        <v>1353.4</v>
      </c>
      <c r="L95" s="13">
        <f>L96+L105</f>
        <v>0</v>
      </c>
      <c r="M95" s="85">
        <f t="shared" si="28"/>
        <v>1353.4</v>
      </c>
      <c r="N95" s="13">
        <f>N96+N105</f>
        <v>0</v>
      </c>
      <c r="O95" s="85">
        <f t="shared" si="29"/>
        <v>1353.4</v>
      </c>
      <c r="P95" s="13">
        <f>P96+P105</f>
        <v>0</v>
      </c>
      <c r="Q95" s="85">
        <f t="shared" si="26"/>
        <v>1353.4</v>
      </c>
      <c r="R95" s="13">
        <f>R96+R105</f>
        <v>-30</v>
      </c>
      <c r="S95" s="85">
        <f t="shared" si="27"/>
        <v>1323.4</v>
      </c>
      <c r="T95" s="13">
        <f>T96+T105</f>
        <v>0</v>
      </c>
      <c r="U95" s="85">
        <f t="shared" si="24"/>
        <v>1323.4</v>
      </c>
    </row>
    <row r="96" spans="1:21" s="148" customFormat="1">
      <c r="A96" s="61" t="str">
        <f ca="1">IF(ISERROR(MATCH(E96,Код_КЦСР,0)),"",INDIRECT(ADDRESS(MATCH(E96,Код_КЦСР,0)+1,2,,,"КЦСР")))</f>
        <v>Организационно-методическое обеспечение Программы</v>
      </c>
      <c r="B96" s="145">
        <v>801</v>
      </c>
      <c r="C96" s="8" t="s">
        <v>213</v>
      </c>
      <c r="D96" s="8" t="s">
        <v>190</v>
      </c>
      <c r="E96" s="145" t="s">
        <v>572</v>
      </c>
      <c r="F96" s="145"/>
      <c r="G96" s="69">
        <f>G97+G103</f>
        <v>954</v>
      </c>
      <c r="H96" s="69">
        <f>H97+H103</f>
        <v>0</v>
      </c>
      <c r="I96" s="69">
        <f t="shared" si="30"/>
        <v>954</v>
      </c>
      <c r="J96" s="69">
        <f>J97+J100</f>
        <v>0</v>
      </c>
      <c r="K96" s="85">
        <f t="shared" si="31"/>
        <v>954</v>
      </c>
      <c r="L96" s="13">
        <f>L97+L100</f>
        <v>0</v>
      </c>
      <c r="M96" s="85">
        <f t="shared" si="28"/>
        <v>954</v>
      </c>
      <c r="N96" s="13">
        <f>N97+N100</f>
        <v>0</v>
      </c>
      <c r="O96" s="85">
        <f t="shared" si="29"/>
        <v>954</v>
      </c>
      <c r="P96" s="13">
        <f>P97+P100</f>
        <v>0</v>
      </c>
      <c r="Q96" s="85">
        <f t="shared" si="26"/>
        <v>954</v>
      </c>
      <c r="R96" s="13">
        <f>R97+R100</f>
        <v>-14.3</v>
      </c>
      <c r="S96" s="85">
        <f t="shared" si="27"/>
        <v>939.7</v>
      </c>
      <c r="T96" s="13">
        <f>T97+T100</f>
        <v>0</v>
      </c>
      <c r="U96" s="85">
        <f t="shared" si="24"/>
        <v>939.7</v>
      </c>
    </row>
    <row r="97" spans="1:21" s="148" customFormat="1">
      <c r="A97" s="61" t="str">
        <f t="shared" ref="A97:A104" ca="1" si="32">IF(ISERROR(MATCH(F97,Код_КВР,0)),"",INDIRECT(ADDRESS(MATCH(F97,Код_КВР,0)+1,2,,,"КВР")))</f>
        <v>Закупка товаров, работ и услуг для муниципальных нужд</v>
      </c>
      <c r="B97" s="145">
        <v>801</v>
      </c>
      <c r="C97" s="8" t="s">
        <v>213</v>
      </c>
      <c r="D97" s="8" t="s">
        <v>190</v>
      </c>
      <c r="E97" s="145" t="s">
        <v>572</v>
      </c>
      <c r="F97" s="145">
        <v>200</v>
      </c>
      <c r="G97" s="69">
        <f>G98</f>
        <v>276</v>
      </c>
      <c r="H97" s="69">
        <f>H98</f>
        <v>0</v>
      </c>
      <c r="I97" s="69">
        <f t="shared" si="30"/>
        <v>276</v>
      </c>
      <c r="J97" s="69">
        <f>J98</f>
        <v>-130</v>
      </c>
      <c r="K97" s="85">
        <f t="shared" si="31"/>
        <v>146</v>
      </c>
      <c r="L97" s="13">
        <f>L98</f>
        <v>0</v>
      </c>
      <c r="M97" s="85">
        <f t="shared" si="28"/>
        <v>146</v>
      </c>
      <c r="N97" s="13">
        <f>N98</f>
        <v>0</v>
      </c>
      <c r="O97" s="85">
        <f t="shared" si="29"/>
        <v>146</v>
      </c>
      <c r="P97" s="13">
        <f>P98</f>
        <v>0</v>
      </c>
      <c r="Q97" s="85">
        <f t="shared" si="26"/>
        <v>146</v>
      </c>
      <c r="R97" s="13">
        <f>R98</f>
        <v>-8.6</v>
      </c>
      <c r="S97" s="85">
        <f t="shared" si="27"/>
        <v>137.4</v>
      </c>
      <c r="T97" s="13">
        <f>T98</f>
        <v>0</v>
      </c>
      <c r="U97" s="85">
        <f t="shared" si="24"/>
        <v>137.4</v>
      </c>
    </row>
    <row r="98" spans="1:21" s="148" customFormat="1" ht="33">
      <c r="A98" s="61" t="str">
        <f t="shared" ca="1" si="32"/>
        <v>Иные закупки товаров, работ и услуг для обеспечения муниципальных нужд</v>
      </c>
      <c r="B98" s="145">
        <v>801</v>
      </c>
      <c r="C98" s="8" t="s">
        <v>213</v>
      </c>
      <c r="D98" s="8" t="s">
        <v>190</v>
      </c>
      <c r="E98" s="145" t="s">
        <v>572</v>
      </c>
      <c r="F98" s="145">
        <v>240</v>
      </c>
      <c r="G98" s="69">
        <f>G99</f>
        <v>276</v>
      </c>
      <c r="H98" s="69">
        <f>H99</f>
        <v>0</v>
      </c>
      <c r="I98" s="69">
        <f t="shared" si="30"/>
        <v>276</v>
      </c>
      <c r="J98" s="69">
        <f>J99</f>
        <v>-130</v>
      </c>
      <c r="K98" s="85">
        <f t="shared" si="31"/>
        <v>146</v>
      </c>
      <c r="L98" s="13">
        <f>L99</f>
        <v>0</v>
      </c>
      <c r="M98" s="85">
        <f t="shared" si="28"/>
        <v>146</v>
      </c>
      <c r="N98" s="13">
        <f>N99</f>
        <v>0</v>
      </c>
      <c r="O98" s="85">
        <f t="shared" si="29"/>
        <v>146</v>
      </c>
      <c r="P98" s="13">
        <f>P99</f>
        <v>0</v>
      </c>
      <c r="Q98" s="85">
        <f t="shared" si="26"/>
        <v>146</v>
      </c>
      <c r="R98" s="13">
        <f>R99</f>
        <v>-8.6</v>
      </c>
      <c r="S98" s="85">
        <f t="shared" si="27"/>
        <v>137.4</v>
      </c>
      <c r="T98" s="13">
        <f>T99</f>
        <v>0</v>
      </c>
      <c r="U98" s="85">
        <f t="shared" si="24"/>
        <v>137.4</v>
      </c>
    </row>
    <row r="99" spans="1:21" s="148" customFormat="1" ht="33">
      <c r="A99" s="61" t="str">
        <f t="shared" ca="1" si="32"/>
        <v xml:space="preserve">Прочая закупка товаров, работ и услуг для обеспечения муниципальных нужд         </v>
      </c>
      <c r="B99" s="145">
        <v>801</v>
      </c>
      <c r="C99" s="8" t="s">
        <v>213</v>
      </c>
      <c r="D99" s="8" t="s">
        <v>190</v>
      </c>
      <c r="E99" s="145" t="s">
        <v>572</v>
      </c>
      <c r="F99" s="145">
        <v>244</v>
      </c>
      <c r="G99" s="69">
        <v>276</v>
      </c>
      <c r="H99" s="69"/>
      <c r="I99" s="69">
        <f t="shared" si="30"/>
        <v>276</v>
      </c>
      <c r="J99" s="69">
        <v>-130</v>
      </c>
      <c r="K99" s="85">
        <f t="shared" si="31"/>
        <v>146</v>
      </c>
      <c r="L99" s="13"/>
      <c r="M99" s="85">
        <f t="shared" si="28"/>
        <v>146</v>
      </c>
      <c r="N99" s="13"/>
      <c r="O99" s="85">
        <f t="shared" si="29"/>
        <v>146</v>
      </c>
      <c r="P99" s="13"/>
      <c r="Q99" s="85">
        <f t="shared" si="26"/>
        <v>146</v>
      </c>
      <c r="R99" s="13">
        <v>-8.6</v>
      </c>
      <c r="S99" s="85">
        <f t="shared" si="27"/>
        <v>137.4</v>
      </c>
      <c r="T99" s="13"/>
      <c r="U99" s="85">
        <f t="shared" si="24"/>
        <v>137.4</v>
      </c>
    </row>
    <row r="100" spans="1:21" s="148" customFormat="1">
      <c r="A100" s="61" t="str">
        <f t="shared" ca="1" si="32"/>
        <v>Иные бюджетные ассигнования</v>
      </c>
      <c r="B100" s="145">
        <v>801</v>
      </c>
      <c r="C100" s="8" t="s">
        <v>213</v>
      </c>
      <c r="D100" s="8" t="s">
        <v>190</v>
      </c>
      <c r="E100" s="145" t="s">
        <v>572</v>
      </c>
      <c r="F100" s="145">
        <v>800</v>
      </c>
      <c r="G100" s="69"/>
      <c r="H100" s="69"/>
      <c r="I100" s="69">
        <f>I101+I103</f>
        <v>678</v>
      </c>
      <c r="J100" s="69">
        <f>J101+J103</f>
        <v>130</v>
      </c>
      <c r="K100" s="85">
        <f t="shared" si="31"/>
        <v>808</v>
      </c>
      <c r="L100" s="13">
        <f>L101+L103</f>
        <v>0</v>
      </c>
      <c r="M100" s="85">
        <f t="shared" si="28"/>
        <v>808</v>
      </c>
      <c r="N100" s="13">
        <f>N101+N103</f>
        <v>0</v>
      </c>
      <c r="O100" s="85">
        <f t="shared" si="29"/>
        <v>808</v>
      </c>
      <c r="P100" s="13">
        <f>P101+P103</f>
        <v>0</v>
      </c>
      <c r="Q100" s="85">
        <f t="shared" si="26"/>
        <v>808</v>
      </c>
      <c r="R100" s="13">
        <f>R101+R103</f>
        <v>-5.7</v>
      </c>
      <c r="S100" s="85">
        <f t="shared" si="27"/>
        <v>802.3</v>
      </c>
      <c r="T100" s="13">
        <f>T101+T103</f>
        <v>0</v>
      </c>
      <c r="U100" s="85">
        <f t="shared" si="24"/>
        <v>802.3</v>
      </c>
    </row>
    <row r="101" spans="1:21" s="148" customFormat="1">
      <c r="A101" s="61" t="str">
        <f t="shared" ca="1" si="32"/>
        <v>Уплата налогов, сборов и иных платежей</v>
      </c>
      <c r="B101" s="145">
        <v>801</v>
      </c>
      <c r="C101" s="8" t="s">
        <v>213</v>
      </c>
      <c r="D101" s="8" t="s">
        <v>190</v>
      </c>
      <c r="E101" s="145" t="s">
        <v>572</v>
      </c>
      <c r="F101" s="145">
        <v>850</v>
      </c>
      <c r="G101" s="69"/>
      <c r="H101" s="69"/>
      <c r="I101" s="69"/>
      <c r="J101" s="69">
        <f>J102</f>
        <v>678</v>
      </c>
      <c r="K101" s="85">
        <f t="shared" si="31"/>
        <v>678</v>
      </c>
      <c r="L101" s="13">
        <f>L102</f>
        <v>0</v>
      </c>
      <c r="M101" s="85">
        <f t="shared" si="28"/>
        <v>678</v>
      </c>
      <c r="N101" s="13">
        <f>N102</f>
        <v>0</v>
      </c>
      <c r="O101" s="85">
        <f t="shared" si="29"/>
        <v>678</v>
      </c>
      <c r="P101" s="13">
        <f>P102</f>
        <v>0</v>
      </c>
      <c r="Q101" s="85">
        <f t="shared" si="26"/>
        <v>678</v>
      </c>
      <c r="R101" s="13">
        <f>R102</f>
        <v>0</v>
      </c>
      <c r="S101" s="85">
        <f t="shared" si="27"/>
        <v>678</v>
      </c>
      <c r="T101" s="13">
        <f>T102</f>
        <v>0</v>
      </c>
      <c r="U101" s="85">
        <f t="shared" si="24"/>
        <v>678</v>
      </c>
    </row>
    <row r="102" spans="1:21" s="148" customFormat="1">
      <c r="A102" s="61" t="str">
        <f t="shared" ca="1" si="32"/>
        <v>Уплата прочих налогов, сборов и иных платежей</v>
      </c>
      <c r="B102" s="145">
        <v>801</v>
      </c>
      <c r="C102" s="8" t="s">
        <v>213</v>
      </c>
      <c r="D102" s="8" t="s">
        <v>190</v>
      </c>
      <c r="E102" s="145" t="s">
        <v>572</v>
      </c>
      <c r="F102" s="145">
        <v>852</v>
      </c>
      <c r="G102" s="69"/>
      <c r="H102" s="69"/>
      <c r="I102" s="69"/>
      <c r="J102" s="69">
        <v>678</v>
      </c>
      <c r="K102" s="85">
        <f t="shared" si="31"/>
        <v>678</v>
      </c>
      <c r="L102" s="13"/>
      <c r="M102" s="85">
        <f t="shared" si="28"/>
        <v>678</v>
      </c>
      <c r="N102" s="13"/>
      <c r="O102" s="85">
        <f t="shared" si="29"/>
        <v>678</v>
      </c>
      <c r="P102" s="13"/>
      <c r="Q102" s="85">
        <f t="shared" si="26"/>
        <v>678</v>
      </c>
      <c r="R102" s="13"/>
      <c r="S102" s="85">
        <f t="shared" si="27"/>
        <v>678</v>
      </c>
      <c r="T102" s="13"/>
      <c r="U102" s="85">
        <f t="shared" si="24"/>
        <v>678</v>
      </c>
    </row>
    <row r="103" spans="1:21" s="148" customFormat="1" ht="33">
      <c r="A103" s="61" t="str">
        <f t="shared" ca="1" si="32"/>
        <v>Предоставление платежей, взносов, безвозмездных перечислений субъектам международного права</v>
      </c>
      <c r="B103" s="145">
        <v>801</v>
      </c>
      <c r="C103" s="8" t="s">
        <v>213</v>
      </c>
      <c r="D103" s="8" t="s">
        <v>190</v>
      </c>
      <c r="E103" s="145" t="s">
        <v>572</v>
      </c>
      <c r="F103" s="145">
        <v>860</v>
      </c>
      <c r="G103" s="69">
        <f>G104</f>
        <v>678</v>
      </c>
      <c r="H103" s="69">
        <f>H104</f>
        <v>0</v>
      </c>
      <c r="I103" s="69">
        <f t="shared" si="30"/>
        <v>678</v>
      </c>
      <c r="J103" s="69">
        <f>J104</f>
        <v>-548</v>
      </c>
      <c r="K103" s="85">
        <f t="shared" si="31"/>
        <v>130</v>
      </c>
      <c r="L103" s="13">
        <f>L104</f>
        <v>0</v>
      </c>
      <c r="M103" s="85">
        <f t="shared" si="28"/>
        <v>130</v>
      </c>
      <c r="N103" s="13">
        <f>N104</f>
        <v>0</v>
      </c>
      <c r="O103" s="85">
        <f t="shared" si="29"/>
        <v>130</v>
      </c>
      <c r="P103" s="13">
        <f>P104</f>
        <v>0</v>
      </c>
      <c r="Q103" s="85">
        <f t="shared" si="26"/>
        <v>130</v>
      </c>
      <c r="R103" s="13">
        <f>R104</f>
        <v>-5.7</v>
      </c>
      <c r="S103" s="85">
        <f t="shared" si="27"/>
        <v>124.3</v>
      </c>
      <c r="T103" s="13">
        <f>T104</f>
        <v>0</v>
      </c>
      <c r="U103" s="85">
        <f t="shared" si="24"/>
        <v>124.3</v>
      </c>
    </row>
    <row r="104" spans="1:21" s="148" customFormat="1">
      <c r="A104" s="61" t="str">
        <f t="shared" ca="1" si="32"/>
        <v>Взносы в международные организации</v>
      </c>
      <c r="B104" s="145">
        <v>801</v>
      </c>
      <c r="C104" s="8" t="s">
        <v>213</v>
      </c>
      <c r="D104" s="8" t="s">
        <v>190</v>
      </c>
      <c r="E104" s="145" t="s">
        <v>572</v>
      </c>
      <c r="F104" s="145">
        <v>862</v>
      </c>
      <c r="G104" s="69">
        <v>678</v>
      </c>
      <c r="H104" s="69"/>
      <c r="I104" s="69">
        <f t="shared" si="30"/>
        <v>678</v>
      </c>
      <c r="J104" s="69">
        <f>130-678</f>
        <v>-548</v>
      </c>
      <c r="K104" s="85">
        <f t="shared" si="31"/>
        <v>130</v>
      </c>
      <c r="L104" s="13"/>
      <c r="M104" s="85">
        <f t="shared" si="28"/>
        <v>130</v>
      </c>
      <c r="N104" s="13"/>
      <c r="O104" s="85">
        <f t="shared" si="29"/>
        <v>130</v>
      </c>
      <c r="P104" s="13"/>
      <c r="Q104" s="85">
        <f t="shared" si="26"/>
        <v>130</v>
      </c>
      <c r="R104" s="13">
        <v>-5.7</v>
      </c>
      <c r="S104" s="85">
        <f t="shared" si="27"/>
        <v>124.3</v>
      </c>
      <c r="T104" s="13"/>
      <c r="U104" s="85">
        <f t="shared" si="24"/>
        <v>124.3</v>
      </c>
    </row>
    <row r="105" spans="1:21" s="148" customFormat="1">
      <c r="A105" s="61" t="str">
        <f ca="1">IF(ISERROR(MATCH(E105,Код_КЦСР,0)),"",INDIRECT(ADDRESS(MATCH(E105,Код_КЦСР,0)+1,2,,,"КЦСР")))</f>
        <v>Пропаганда здорового образа жизни</v>
      </c>
      <c r="B105" s="145">
        <v>801</v>
      </c>
      <c r="C105" s="8" t="s">
        <v>213</v>
      </c>
      <c r="D105" s="8" t="s">
        <v>190</v>
      </c>
      <c r="E105" s="145" t="s">
        <v>575</v>
      </c>
      <c r="F105" s="145"/>
      <c r="G105" s="69">
        <f t="shared" ref="G105:T107" si="33">G106</f>
        <v>399.4</v>
      </c>
      <c r="H105" s="69">
        <f t="shared" si="33"/>
        <v>0</v>
      </c>
      <c r="I105" s="69">
        <f t="shared" si="30"/>
        <v>399.4</v>
      </c>
      <c r="J105" s="69">
        <f t="shared" si="33"/>
        <v>0</v>
      </c>
      <c r="K105" s="85">
        <f t="shared" si="31"/>
        <v>399.4</v>
      </c>
      <c r="L105" s="13">
        <f t="shared" si="33"/>
        <v>0</v>
      </c>
      <c r="M105" s="85">
        <f t="shared" si="28"/>
        <v>399.4</v>
      </c>
      <c r="N105" s="13">
        <f t="shared" si="33"/>
        <v>0</v>
      </c>
      <c r="O105" s="85">
        <f t="shared" si="29"/>
        <v>399.4</v>
      </c>
      <c r="P105" s="13">
        <f t="shared" si="33"/>
        <v>0</v>
      </c>
      <c r="Q105" s="85">
        <f t="shared" si="26"/>
        <v>399.4</v>
      </c>
      <c r="R105" s="13">
        <f t="shared" si="33"/>
        <v>-15.7</v>
      </c>
      <c r="S105" s="85">
        <f t="shared" si="27"/>
        <v>383.7</v>
      </c>
      <c r="T105" s="13">
        <f t="shared" si="33"/>
        <v>0</v>
      </c>
      <c r="U105" s="85">
        <f t="shared" si="24"/>
        <v>383.7</v>
      </c>
    </row>
    <row r="106" spans="1:21" s="148" customFormat="1">
      <c r="A106" s="61" t="str">
        <f ca="1">IF(ISERROR(MATCH(F106,Код_КВР,0)),"",INDIRECT(ADDRESS(MATCH(F106,Код_КВР,0)+1,2,,,"КВР")))</f>
        <v>Закупка товаров, работ и услуг для муниципальных нужд</v>
      </c>
      <c r="B106" s="145">
        <v>801</v>
      </c>
      <c r="C106" s="8" t="s">
        <v>213</v>
      </c>
      <c r="D106" s="8" t="s">
        <v>190</v>
      </c>
      <c r="E106" s="145" t="s">
        <v>575</v>
      </c>
      <c r="F106" s="145">
        <v>200</v>
      </c>
      <c r="G106" s="69">
        <f t="shared" si="33"/>
        <v>399.4</v>
      </c>
      <c r="H106" s="69">
        <f t="shared" si="33"/>
        <v>0</v>
      </c>
      <c r="I106" s="69">
        <f t="shared" si="30"/>
        <v>399.4</v>
      </c>
      <c r="J106" s="69">
        <f t="shared" si="33"/>
        <v>0</v>
      </c>
      <c r="K106" s="85">
        <f t="shared" si="31"/>
        <v>399.4</v>
      </c>
      <c r="L106" s="13">
        <f t="shared" si="33"/>
        <v>0</v>
      </c>
      <c r="M106" s="85">
        <f t="shared" si="28"/>
        <v>399.4</v>
      </c>
      <c r="N106" s="13">
        <f t="shared" si="33"/>
        <v>0</v>
      </c>
      <c r="O106" s="85">
        <f t="shared" si="29"/>
        <v>399.4</v>
      </c>
      <c r="P106" s="13">
        <f t="shared" si="33"/>
        <v>0</v>
      </c>
      <c r="Q106" s="85">
        <f t="shared" si="26"/>
        <v>399.4</v>
      </c>
      <c r="R106" s="13">
        <f t="shared" si="33"/>
        <v>-15.7</v>
      </c>
      <c r="S106" s="85">
        <f t="shared" si="27"/>
        <v>383.7</v>
      </c>
      <c r="T106" s="13">
        <f t="shared" si="33"/>
        <v>0</v>
      </c>
      <c r="U106" s="85">
        <f t="shared" si="24"/>
        <v>383.7</v>
      </c>
    </row>
    <row r="107" spans="1:21" s="148" customFormat="1" ht="33">
      <c r="A107" s="61" t="str">
        <f ca="1">IF(ISERROR(MATCH(F107,Код_КВР,0)),"",INDIRECT(ADDRESS(MATCH(F107,Код_КВР,0)+1,2,,,"КВР")))</f>
        <v>Иные закупки товаров, работ и услуг для обеспечения муниципальных нужд</v>
      </c>
      <c r="B107" s="145">
        <v>801</v>
      </c>
      <c r="C107" s="8" t="s">
        <v>213</v>
      </c>
      <c r="D107" s="8" t="s">
        <v>190</v>
      </c>
      <c r="E107" s="145" t="s">
        <v>575</v>
      </c>
      <c r="F107" s="145">
        <v>240</v>
      </c>
      <c r="G107" s="69">
        <f t="shared" si="33"/>
        <v>399.4</v>
      </c>
      <c r="H107" s="69">
        <f t="shared" si="33"/>
        <v>0</v>
      </c>
      <c r="I107" s="69">
        <f t="shared" si="30"/>
        <v>399.4</v>
      </c>
      <c r="J107" s="69">
        <f t="shared" si="33"/>
        <v>0</v>
      </c>
      <c r="K107" s="85">
        <f t="shared" si="31"/>
        <v>399.4</v>
      </c>
      <c r="L107" s="13">
        <f t="shared" si="33"/>
        <v>0</v>
      </c>
      <c r="M107" s="85">
        <f t="shared" si="28"/>
        <v>399.4</v>
      </c>
      <c r="N107" s="13">
        <f t="shared" si="33"/>
        <v>0</v>
      </c>
      <c r="O107" s="85">
        <f t="shared" si="29"/>
        <v>399.4</v>
      </c>
      <c r="P107" s="13">
        <f t="shared" si="33"/>
        <v>0</v>
      </c>
      <c r="Q107" s="85">
        <f t="shared" si="26"/>
        <v>399.4</v>
      </c>
      <c r="R107" s="13">
        <f t="shared" si="33"/>
        <v>-15.7</v>
      </c>
      <c r="S107" s="85">
        <f t="shared" si="27"/>
        <v>383.7</v>
      </c>
      <c r="T107" s="13">
        <f t="shared" si="33"/>
        <v>0</v>
      </c>
      <c r="U107" s="85">
        <f t="shared" si="24"/>
        <v>383.7</v>
      </c>
    </row>
    <row r="108" spans="1:21" s="148" customFormat="1" ht="33">
      <c r="A108" s="61" t="str">
        <f ca="1">IF(ISERROR(MATCH(F108,Код_КВР,0)),"",INDIRECT(ADDRESS(MATCH(F108,Код_КВР,0)+1,2,,,"КВР")))</f>
        <v xml:space="preserve">Прочая закупка товаров, работ и услуг для обеспечения муниципальных нужд         </v>
      </c>
      <c r="B108" s="145">
        <v>801</v>
      </c>
      <c r="C108" s="8" t="s">
        <v>213</v>
      </c>
      <c r="D108" s="8" t="s">
        <v>190</v>
      </c>
      <c r="E108" s="145" t="s">
        <v>575</v>
      </c>
      <c r="F108" s="145">
        <v>244</v>
      </c>
      <c r="G108" s="69">
        <v>399.4</v>
      </c>
      <c r="H108" s="69"/>
      <c r="I108" s="69">
        <f t="shared" si="30"/>
        <v>399.4</v>
      </c>
      <c r="J108" s="69"/>
      <c r="K108" s="85">
        <f t="shared" si="31"/>
        <v>399.4</v>
      </c>
      <c r="L108" s="13"/>
      <c r="M108" s="85">
        <f t="shared" si="28"/>
        <v>399.4</v>
      </c>
      <c r="N108" s="13"/>
      <c r="O108" s="85">
        <f t="shared" si="29"/>
        <v>399.4</v>
      </c>
      <c r="P108" s="13"/>
      <c r="Q108" s="85">
        <f t="shared" si="26"/>
        <v>399.4</v>
      </c>
      <c r="R108" s="13">
        <v>-15.7</v>
      </c>
      <c r="S108" s="85">
        <f t="shared" si="27"/>
        <v>383.7</v>
      </c>
      <c r="T108" s="13"/>
      <c r="U108" s="85">
        <f t="shared" si="24"/>
        <v>383.7</v>
      </c>
    </row>
    <row r="109" spans="1:21" s="148" customFormat="1" ht="33">
      <c r="A109" s="61" t="str">
        <f ca="1">IF(ISERROR(MATCH(E109,Код_КЦСР,0)),"",INDIRECT(ADDRESS(MATCH(E109,Код_КЦСР,0)+1,2,,,"КЦСР")))</f>
        <v>Муниципальная программа «Развитие земельно-имущественного комплекса  города Череповца» на 2014-2018 годы</v>
      </c>
      <c r="B109" s="145">
        <v>801</v>
      </c>
      <c r="C109" s="8" t="s">
        <v>213</v>
      </c>
      <c r="D109" s="8" t="s">
        <v>190</v>
      </c>
      <c r="E109" s="145" t="s">
        <v>61</v>
      </c>
      <c r="F109" s="145"/>
      <c r="G109" s="69"/>
      <c r="H109" s="69"/>
      <c r="I109" s="69"/>
      <c r="J109" s="69">
        <f>J110</f>
        <v>7674.9000000000005</v>
      </c>
      <c r="K109" s="85">
        <f t="shared" si="31"/>
        <v>7674.9000000000005</v>
      </c>
      <c r="L109" s="13">
        <f>L110</f>
        <v>1130</v>
      </c>
      <c r="M109" s="85">
        <f t="shared" si="28"/>
        <v>8804.9000000000015</v>
      </c>
      <c r="N109" s="13">
        <f>N110</f>
        <v>0</v>
      </c>
      <c r="O109" s="85">
        <f t="shared" si="29"/>
        <v>8804.9000000000015</v>
      </c>
      <c r="P109" s="13">
        <f>P110</f>
        <v>0</v>
      </c>
      <c r="Q109" s="85">
        <f t="shared" si="26"/>
        <v>8804.9000000000015</v>
      </c>
      <c r="R109" s="13">
        <f>R110</f>
        <v>-1292.4000000000001</v>
      </c>
      <c r="S109" s="85">
        <f t="shared" si="27"/>
        <v>7512.5000000000018</v>
      </c>
      <c r="T109" s="13">
        <f>T110</f>
        <v>0</v>
      </c>
      <c r="U109" s="85">
        <f t="shared" si="24"/>
        <v>7512.5000000000018</v>
      </c>
    </row>
    <row r="110" spans="1:21" s="148" customFormat="1" ht="33">
      <c r="A110" s="61" t="str">
        <f ca="1">IF(ISERROR(MATCH(E110,Код_КЦСР,0)),"",INDIRECT(ADDRESS(MATCH(E110,Код_КЦСР,0)+1,2,,,"КЦСР")))</f>
        <v>Формирование и обеспечение сохранности муниципального земельно-имущественного комплекса</v>
      </c>
      <c r="B110" s="145">
        <v>801</v>
      </c>
      <c r="C110" s="8" t="s">
        <v>213</v>
      </c>
      <c r="D110" s="8" t="s">
        <v>190</v>
      </c>
      <c r="E110" s="145" t="s">
        <v>63</v>
      </c>
      <c r="F110" s="145"/>
      <c r="G110" s="69"/>
      <c r="H110" s="69"/>
      <c r="I110" s="69"/>
      <c r="J110" s="69">
        <f>J111</f>
        <v>7674.9000000000005</v>
      </c>
      <c r="K110" s="85">
        <f t="shared" si="31"/>
        <v>7674.9000000000005</v>
      </c>
      <c r="L110" s="13">
        <f>L111</f>
        <v>1130</v>
      </c>
      <c r="M110" s="85">
        <f t="shared" si="28"/>
        <v>8804.9000000000015</v>
      </c>
      <c r="N110" s="13">
        <f>N111</f>
        <v>0</v>
      </c>
      <c r="O110" s="85">
        <f t="shared" si="29"/>
        <v>8804.9000000000015</v>
      </c>
      <c r="P110" s="13">
        <f>P111</f>
        <v>0</v>
      </c>
      <c r="Q110" s="85">
        <f t="shared" si="26"/>
        <v>8804.9000000000015</v>
      </c>
      <c r="R110" s="13">
        <f>R111</f>
        <v>-1292.4000000000001</v>
      </c>
      <c r="S110" s="85">
        <f t="shared" si="27"/>
        <v>7512.5000000000018</v>
      </c>
      <c r="T110" s="13">
        <f>T111</f>
        <v>0</v>
      </c>
      <c r="U110" s="85">
        <f t="shared" si="24"/>
        <v>7512.5000000000018</v>
      </c>
    </row>
    <row r="111" spans="1:21" s="148" customFormat="1">
      <c r="A111" s="61" t="str">
        <f ca="1">IF(ISERROR(MATCH(F111,Код_КВР,0)),"",INDIRECT(ADDRESS(MATCH(F111,Код_КВР,0)+1,2,,,"КВР")))</f>
        <v>Закупка товаров, работ и услуг для муниципальных нужд</v>
      </c>
      <c r="B111" s="145">
        <v>801</v>
      </c>
      <c r="C111" s="8" t="s">
        <v>213</v>
      </c>
      <c r="D111" s="8" t="s">
        <v>190</v>
      </c>
      <c r="E111" s="145" t="s">
        <v>63</v>
      </c>
      <c r="F111" s="145">
        <v>200</v>
      </c>
      <c r="G111" s="69"/>
      <c r="H111" s="69"/>
      <c r="I111" s="69"/>
      <c r="J111" s="69">
        <f>J112</f>
        <v>7674.9000000000005</v>
      </c>
      <c r="K111" s="85">
        <f t="shared" si="31"/>
        <v>7674.9000000000005</v>
      </c>
      <c r="L111" s="13">
        <f>L112</f>
        <v>1130</v>
      </c>
      <c r="M111" s="85">
        <f t="shared" si="28"/>
        <v>8804.9000000000015</v>
      </c>
      <c r="N111" s="13">
        <f>N112</f>
        <v>0</v>
      </c>
      <c r="O111" s="85">
        <f t="shared" si="29"/>
        <v>8804.9000000000015</v>
      </c>
      <c r="P111" s="13">
        <f>P112</f>
        <v>0</v>
      </c>
      <c r="Q111" s="85">
        <f t="shared" si="26"/>
        <v>8804.9000000000015</v>
      </c>
      <c r="R111" s="13">
        <f>R112</f>
        <v>-1292.4000000000001</v>
      </c>
      <c r="S111" s="85">
        <f t="shared" si="27"/>
        <v>7512.5000000000018</v>
      </c>
      <c r="T111" s="13">
        <f>T112</f>
        <v>0</v>
      </c>
      <c r="U111" s="85">
        <f t="shared" si="24"/>
        <v>7512.5000000000018</v>
      </c>
    </row>
    <row r="112" spans="1:21" s="148" customFormat="1" ht="33">
      <c r="A112" s="61" t="str">
        <f ca="1">IF(ISERROR(MATCH(F112,Код_КВР,0)),"",INDIRECT(ADDRESS(MATCH(F112,Код_КВР,0)+1,2,,,"КВР")))</f>
        <v>Иные закупки товаров, работ и услуг для обеспечения муниципальных нужд</v>
      </c>
      <c r="B112" s="145">
        <v>801</v>
      </c>
      <c r="C112" s="8" t="s">
        <v>213</v>
      </c>
      <c r="D112" s="8" t="s">
        <v>190</v>
      </c>
      <c r="E112" s="145" t="s">
        <v>63</v>
      </c>
      <c r="F112" s="145">
        <v>240</v>
      </c>
      <c r="G112" s="69"/>
      <c r="H112" s="69"/>
      <c r="I112" s="69"/>
      <c r="J112" s="69">
        <f>J113</f>
        <v>7674.9000000000005</v>
      </c>
      <c r="K112" s="85">
        <f t="shared" si="31"/>
        <v>7674.9000000000005</v>
      </c>
      <c r="L112" s="13">
        <f>L113</f>
        <v>1130</v>
      </c>
      <c r="M112" s="85">
        <f t="shared" si="28"/>
        <v>8804.9000000000015</v>
      </c>
      <c r="N112" s="13">
        <f>N113</f>
        <v>0</v>
      </c>
      <c r="O112" s="85">
        <f t="shared" si="29"/>
        <v>8804.9000000000015</v>
      </c>
      <c r="P112" s="13">
        <f>P113</f>
        <v>0</v>
      </c>
      <c r="Q112" s="85">
        <f t="shared" si="26"/>
        <v>8804.9000000000015</v>
      </c>
      <c r="R112" s="13">
        <f>R113</f>
        <v>-1292.4000000000001</v>
      </c>
      <c r="S112" s="85">
        <f t="shared" si="27"/>
        <v>7512.5000000000018</v>
      </c>
      <c r="T112" s="13">
        <f>T113</f>
        <v>0</v>
      </c>
      <c r="U112" s="85">
        <f t="shared" si="24"/>
        <v>7512.5000000000018</v>
      </c>
    </row>
    <row r="113" spans="1:21" s="148" customFormat="1" ht="33">
      <c r="A113" s="61" t="str">
        <f ca="1">IF(ISERROR(MATCH(F113,Код_КВР,0)),"",INDIRECT(ADDRESS(MATCH(F113,Код_КВР,0)+1,2,,,"КВР")))</f>
        <v xml:space="preserve">Прочая закупка товаров, работ и услуг для обеспечения муниципальных нужд         </v>
      </c>
      <c r="B113" s="145">
        <v>801</v>
      </c>
      <c r="C113" s="8" t="s">
        <v>213</v>
      </c>
      <c r="D113" s="8" t="s">
        <v>190</v>
      </c>
      <c r="E113" s="145" t="s">
        <v>63</v>
      </c>
      <c r="F113" s="145">
        <v>244</v>
      </c>
      <c r="G113" s="69"/>
      <c r="H113" s="69"/>
      <c r="I113" s="69"/>
      <c r="J113" s="69">
        <f>7758.6-83.7</f>
        <v>7674.9000000000005</v>
      </c>
      <c r="K113" s="85">
        <f t="shared" si="31"/>
        <v>7674.9000000000005</v>
      </c>
      <c r="L113" s="13">
        <v>1130</v>
      </c>
      <c r="M113" s="85">
        <f t="shared" si="28"/>
        <v>8804.9000000000015</v>
      </c>
      <c r="N113" s="13"/>
      <c r="O113" s="85">
        <f t="shared" si="29"/>
        <v>8804.9000000000015</v>
      </c>
      <c r="P113" s="13"/>
      <c r="Q113" s="85">
        <f t="shared" si="26"/>
        <v>8804.9000000000015</v>
      </c>
      <c r="R113" s="13">
        <f>-289-1003.4</f>
        <v>-1292.4000000000001</v>
      </c>
      <c r="S113" s="85">
        <f t="shared" si="27"/>
        <v>7512.5000000000018</v>
      </c>
      <c r="T113" s="13"/>
      <c r="U113" s="85">
        <f t="shared" si="24"/>
        <v>7512.5000000000018</v>
      </c>
    </row>
    <row r="114" spans="1:21" s="148" customFormat="1" ht="33">
      <c r="A114" s="61" t="str">
        <f ca="1">IF(ISERROR(MATCH(E114,Код_КЦСР,0)),"",INDIRECT(ADDRESS(MATCH(E114,Код_КЦСР,0)+1,2,,,"КЦСР")))</f>
        <v>Муниципальная программа «Совершенствование муниципального управления в городе Череповце» на 2014-2018 годы</v>
      </c>
      <c r="B114" s="145">
        <v>801</v>
      </c>
      <c r="C114" s="8" t="s">
        <v>213</v>
      </c>
      <c r="D114" s="8" t="s">
        <v>190</v>
      </c>
      <c r="E114" s="145" t="s">
        <v>123</v>
      </c>
      <c r="F114" s="145"/>
      <c r="G114" s="69">
        <f>G115+G126+G131</f>
        <v>102561.1</v>
      </c>
      <c r="H114" s="69">
        <f>H115+H126+H131</f>
        <v>0</v>
      </c>
      <c r="I114" s="69">
        <f t="shared" si="30"/>
        <v>102561.1</v>
      </c>
      <c r="J114" s="69">
        <f>J115+J126+J131</f>
        <v>1364.5</v>
      </c>
      <c r="K114" s="85">
        <f t="shared" si="31"/>
        <v>103925.6</v>
      </c>
      <c r="L114" s="13">
        <f>L115+L126+L131</f>
        <v>-207</v>
      </c>
      <c r="M114" s="85">
        <f t="shared" si="28"/>
        <v>103718.6</v>
      </c>
      <c r="N114" s="13">
        <f>N115+N126+N131</f>
        <v>0</v>
      </c>
      <c r="O114" s="85">
        <f t="shared" si="29"/>
        <v>103718.6</v>
      </c>
      <c r="P114" s="13">
        <f>P115+P126+P131</f>
        <v>0</v>
      </c>
      <c r="Q114" s="85">
        <f t="shared" si="26"/>
        <v>103718.6</v>
      </c>
      <c r="R114" s="13">
        <f>R115+R126+R131</f>
        <v>1375.9</v>
      </c>
      <c r="S114" s="85">
        <f t="shared" si="27"/>
        <v>105094.5</v>
      </c>
      <c r="T114" s="13">
        <f>T115+T126+T131</f>
        <v>4797.3999999999996</v>
      </c>
      <c r="U114" s="85">
        <f t="shared" si="24"/>
        <v>109891.9</v>
      </c>
    </row>
    <row r="115" spans="1:21" s="148" customFormat="1" ht="33">
      <c r="A115" s="61" t="str">
        <f ca="1">IF(ISERROR(MATCH(E115,Код_КЦСР,0)),"",INDIRECT(ADDRESS(MATCH(E115,Код_КЦСР,0)+1,2,,,"КЦСР")))</f>
        <v>Создание условий для обеспечения выполнения органами муниципальной власти своих полномочий</v>
      </c>
      <c r="B115" s="145">
        <v>801</v>
      </c>
      <c r="C115" s="8" t="s">
        <v>213</v>
      </c>
      <c r="D115" s="8" t="s">
        <v>190</v>
      </c>
      <c r="E115" s="145" t="s">
        <v>124</v>
      </c>
      <c r="F115" s="145"/>
      <c r="G115" s="69">
        <f>G116</f>
        <v>74353.2</v>
      </c>
      <c r="H115" s="69">
        <f>H116</f>
        <v>0</v>
      </c>
      <c r="I115" s="69">
        <f t="shared" si="30"/>
        <v>74353.2</v>
      </c>
      <c r="J115" s="69">
        <f>J116</f>
        <v>1364.5</v>
      </c>
      <c r="K115" s="85">
        <f t="shared" si="31"/>
        <v>75717.7</v>
      </c>
      <c r="L115" s="13">
        <f>L116</f>
        <v>0</v>
      </c>
      <c r="M115" s="85">
        <f t="shared" si="28"/>
        <v>75717.7</v>
      </c>
      <c r="N115" s="13">
        <f>N116</f>
        <v>0</v>
      </c>
      <c r="O115" s="85">
        <f t="shared" si="29"/>
        <v>75717.7</v>
      </c>
      <c r="P115" s="13">
        <f>P116</f>
        <v>0</v>
      </c>
      <c r="Q115" s="85">
        <f t="shared" si="26"/>
        <v>75717.7</v>
      </c>
      <c r="R115" s="13">
        <f>R116</f>
        <v>1355.9</v>
      </c>
      <c r="S115" s="85">
        <f t="shared" si="27"/>
        <v>77073.599999999991</v>
      </c>
      <c r="T115" s="13">
        <f>T116</f>
        <v>200</v>
      </c>
      <c r="U115" s="85">
        <f t="shared" si="24"/>
        <v>77273.599999999991</v>
      </c>
    </row>
    <row r="116" spans="1:21" s="148" customFormat="1" ht="33">
      <c r="A116" s="61" t="str">
        <f ca="1">IF(ISERROR(MATCH(E116,Код_КЦСР,0)),"",INDIRECT(ADDRESS(MATCH(E116,Код_КЦСР,0)+1,2,,,"КЦСР")))</f>
        <v>Материально-техническое обеспечение деятельности работников местного самоуправления</v>
      </c>
      <c r="B116" s="145">
        <v>801</v>
      </c>
      <c r="C116" s="8" t="s">
        <v>213</v>
      </c>
      <c r="D116" s="8" t="s">
        <v>190</v>
      </c>
      <c r="E116" s="145" t="s">
        <v>128</v>
      </c>
      <c r="F116" s="145"/>
      <c r="G116" s="69">
        <f>G117+G119+G122</f>
        <v>74353.2</v>
      </c>
      <c r="H116" s="69">
        <f>H117+H119+H122</f>
        <v>0</v>
      </c>
      <c r="I116" s="69">
        <f t="shared" si="30"/>
        <v>74353.2</v>
      </c>
      <c r="J116" s="69">
        <f>J117+J119+J122</f>
        <v>1364.5</v>
      </c>
      <c r="K116" s="85">
        <f t="shared" si="31"/>
        <v>75717.7</v>
      </c>
      <c r="L116" s="13">
        <f>L117+L119+L122</f>
        <v>0</v>
      </c>
      <c r="M116" s="85">
        <f t="shared" si="28"/>
        <v>75717.7</v>
      </c>
      <c r="N116" s="13">
        <f>N117+N119+N122</f>
        <v>0</v>
      </c>
      <c r="O116" s="85">
        <f t="shared" si="29"/>
        <v>75717.7</v>
      </c>
      <c r="P116" s="13">
        <f>P117+P119+P122</f>
        <v>0</v>
      </c>
      <c r="Q116" s="85">
        <f t="shared" si="26"/>
        <v>75717.7</v>
      </c>
      <c r="R116" s="13">
        <f>R117+R119+R122</f>
        <v>1355.9</v>
      </c>
      <c r="S116" s="85">
        <f t="shared" si="27"/>
        <v>77073.599999999991</v>
      </c>
      <c r="T116" s="13">
        <f>T117+T119+T122</f>
        <v>200</v>
      </c>
      <c r="U116" s="85">
        <f t="shared" si="24"/>
        <v>77273.599999999991</v>
      </c>
    </row>
    <row r="117" spans="1:21" s="148" customFormat="1" ht="33">
      <c r="A117" s="61" t="str">
        <f t="shared" ref="A117:A123" ca="1" si="34">IF(ISERROR(MATCH(F117,Код_КВР,0)),"",INDIRECT(ADDRESS(MATCH(F117,Код_КВР,0)+1,2,,,"КВР")))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17" s="145">
        <v>801</v>
      </c>
      <c r="C117" s="8" t="s">
        <v>213</v>
      </c>
      <c r="D117" s="8" t="s">
        <v>190</v>
      </c>
      <c r="E117" s="145" t="s">
        <v>128</v>
      </c>
      <c r="F117" s="145">
        <v>100</v>
      </c>
      <c r="G117" s="69">
        <f>G118</f>
        <v>37037.1</v>
      </c>
      <c r="H117" s="69">
        <f>H118</f>
        <v>0</v>
      </c>
      <c r="I117" s="69">
        <f t="shared" si="30"/>
        <v>37037.1</v>
      </c>
      <c r="J117" s="69">
        <f>J118</f>
        <v>431.7</v>
      </c>
      <c r="K117" s="85">
        <f t="shared" si="31"/>
        <v>37468.799999999996</v>
      </c>
      <c r="L117" s="13">
        <f>L118</f>
        <v>0</v>
      </c>
      <c r="M117" s="85">
        <f t="shared" si="28"/>
        <v>37468.799999999996</v>
      </c>
      <c r="N117" s="13">
        <f>N118</f>
        <v>0</v>
      </c>
      <c r="O117" s="85">
        <f t="shared" si="29"/>
        <v>37468.799999999996</v>
      </c>
      <c r="P117" s="13">
        <f>P118</f>
        <v>0</v>
      </c>
      <c r="Q117" s="85">
        <f t="shared" si="26"/>
        <v>37468.799999999996</v>
      </c>
      <c r="R117" s="13">
        <f>R118</f>
        <v>0</v>
      </c>
      <c r="S117" s="85">
        <f t="shared" si="27"/>
        <v>37468.799999999996</v>
      </c>
      <c r="T117" s="13">
        <f>T118</f>
        <v>0</v>
      </c>
      <c r="U117" s="85">
        <f t="shared" si="24"/>
        <v>37468.799999999996</v>
      </c>
    </row>
    <row r="118" spans="1:21" s="148" customFormat="1">
      <c r="A118" s="61" t="str">
        <f t="shared" ca="1" si="34"/>
        <v>Расходы на выплаты персоналу казенных учреждений</v>
      </c>
      <c r="B118" s="145">
        <v>801</v>
      </c>
      <c r="C118" s="8" t="s">
        <v>213</v>
      </c>
      <c r="D118" s="8" t="s">
        <v>190</v>
      </c>
      <c r="E118" s="145" t="s">
        <v>128</v>
      </c>
      <c r="F118" s="145">
        <v>110</v>
      </c>
      <c r="G118" s="69">
        <f>36851.2+185.9</f>
        <v>37037.1</v>
      </c>
      <c r="H118" s="69"/>
      <c r="I118" s="69">
        <f t="shared" si="30"/>
        <v>37037.1</v>
      </c>
      <c r="J118" s="69">
        <f>348+83.7</f>
        <v>431.7</v>
      </c>
      <c r="K118" s="85">
        <f t="shared" si="31"/>
        <v>37468.799999999996</v>
      </c>
      <c r="L118" s="13"/>
      <c r="M118" s="85">
        <f t="shared" si="28"/>
        <v>37468.799999999996</v>
      </c>
      <c r="N118" s="13"/>
      <c r="O118" s="85">
        <f t="shared" si="29"/>
        <v>37468.799999999996</v>
      </c>
      <c r="P118" s="13"/>
      <c r="Q118" s="85">
        <f t="shared" si="26"/>
        <v>37468.799999999996</v>
      </c>
      <c r="R118" s="13"/>
      <c r="S118" s="85">
        <f t="shared" si="27"/>
        <v>37468.799999999996</v>
      </c>
      <c r="T118" s="13"/>
      <c r="U118" s="85">
        <f t="shared" si="24"/>
        <v>37468.799999999996</v>
      </c>
    </row>
    <row r="119" spans="1:21" s="148" customFormat="1">
      <c r="A119" s="61" t="str">
        <f t="shared" ca="1" si="34"/>
        <v>Закупка товаров, работ и услуг для муниципальных нужд</v>
      </c>
      <c r="B119" s="145">
        <v>801</v>
      </c>
      <c r="C119" s="8" t="s">
        <v>213</v>
      </c>
      <c r="D119" s="8" t="s">
        <v>190</v>
      </c>
      <c r="E119" s="145" t="s">
        <v>128</v>
      </c>
      <c r="F119" s="145">
        <v>200</v>
      </c>
      <c r="G119" s="69">
        <f>G120</f>
        <v>34357.800000000003</v>
      </c>
      <c r="H119" s="69">
        <f>H120</f>
        <v>0</v>
      </c>
      <c r="I119" s="69">
        <f t="shared" si="30"/>
        <v>34357.800000000003</v>
      </c>
      <c r="J119" s="69">
        <f>J120</f>
        <v>932.8</v>
      </c>
      <c r="K119" s="85">
        <f t="shared" si="31"/>
        <v>35290.600000000006</v>
      </c>
      <c r="L119" s="13">
        <f>L120</f>
        <v>0</v>
      </c>
      <c r="M119" s="85">
        <f t="shared" si="28"/>
        <v>35290.600000000006</v>
      </c>
      <c r="N119" s="13">
        <f>N120</f>
        <v>0</v>
      </c>
      <c r="O119" s="85">
        <f t="shared" si="29"/>
        <v>35290.600000000006</v>
      </c>
      <c r="P119" s="13">
        <f>P120</f>
        <v>0</v>
      </c>
      <c r="Q119" s="85">
        <f t="shared" si="26"/>
        <v>35290.600000000006</v>
      </c>
      <c r="R119" s="13">
        <f>R120</f>
        <v>1355.9</v>
      </c>
      <c r="S119" s="85">
        <f t="shared" si="27"/>
        <v>36646.500000000007</v>
      </c>
      <c r="T119" s="13">
        <f>T120</f>
        <v>200</v>
      </c>
      <c r="U119" s="85">
        <f t="shared" si="24"/>
        <v>36846.500000000007</v>
      </c>
    </row>
    <row r="120" spans="1:21" s="148" customFormat="1" ht="33">
      <c r="A120" s="61" t="str">
        <f t="shared" ca="1" si="34"/>
        <v>Иные закупки товаров, работ и услуг для обеспечения муниципальных нужд</v>
      </c>
      <c r="B120" s="145">
        <v>801</v>
      </c>
      <c r="C120" s="8" t="s">
        <v>213</v>
      </c>
      <c r="D120" s="8" t="s">
        <v>190</v>
      </c>
      <c r="E120" s="145" t="s">
        <v>128</v>
      </c>
      <c r="F120" s="145">
        <v>240</v>
      </c>
      <c r="G120" s="69">
        <f>G121</f>
        <v>34357.800000000003</v>
      </c>
      <c r="H120" s="69">
        <f>H121</f>
        <v>0</v>
      </c>
      <c r="I120" s="69">
        <f t="shared" si="30"/>
        <v>34357.800000000003</v>
      </c>
      <c r="J120" s="69">
        <f>J121</f>
        <v>932.8</v>
      </c>
      <c r="K120" s="85">
        <f t="shared" si="31"/>
        <v>35290.600000000006</v>
      </c>
      <c r="L120" s="13">
        <f>L121</f>
        <v>0</v>
      </c>
      <c r="M120" s="85">
        <f t="shared" si="28"/>
        <v>35290.600000000006</v>
      </c>
      <c r="N120" s="13">
        <f>N121</f>
        <v>0</v>
      </c>
      <c r="O120" s="85">
        <f t="shared" si="29"/>
        <v>35290.600000000006</v>
      </c>
      <c r="P120" s="13">
        <f>P121</f>
        <v>0</v>
      </c>
      <c r="Q120" s="85">
        <f t="shared" si="26"/>
        <v>35290.600000000006</v>
      </c>
      <c r="R120" s="13">
        <f>R121</f>
        <v>1355.9</v>
      </c>
      <c r="S120" s="85">
        <f t="shared" si="27"/>
        <v>36646.500000000007</v>
      </c>
      <c r="T120" s="13">
        <f>T121</f>
        <v>200</v>
      </c>
      <c r="U120" s="85">
        <f t="shared" si="24"/>
        <v>36846.500000000007</v>
      </c>
    </row>
    <row r="121" spans="1:21" s="148" customFormat="1" ht="33">
      <c r="A121" s="61" t="str">
        <f t="shared" ca="1" si="34"/>
        <v xml:space="preserve">Прочая закупка товаров, работ и услуг для обеспечения муниципальных нужд         </v>
      </c>
      <c r="B121" s="145">
        <v>801</v>
      </c>
      <c r="C121" s="8" t="s">
        <v>213</v>
      </c>
      <c r="D121" s="8" t="s">
        <v>190</v>
      </c>
      <c r="E121" s="145" t="s">
        <v>128</v>
      </c>
      <c r="F121" s="145">
        <v>244</v>
      </c>
      <c r="G121" s="69">
        <v>34357.800000000003</v>
      </c>
      <c r="H121" s="69"/>
      <c r="I121" s="69">
        <f t="shared" si="30"/>
        <v>34357.800000000003</v>
      </c>
      <c r="J121" s="69">
        <f>504.7+361.6+66.5</f>
        <v>932.8</v>
      </c>
      <c r="K121" s="85">
        <f t="shared" si="31"/>
        <v>35290.600000000006</v>
      </c>
      <c r="L121" s="13"/>
      <c r="M121" s="85">
        <f t="shared" si="28"/>
        <v>35290.600000000006</v>
      </c>
      <c r="N121" s="13"/>
      <c r="O121" s="85">
        <f t="shared" si="29"/>
        <v>35290.600000000006</v>
      </c>
      <c r="P121" s="13"/>
      <c r="Q121" s="85">
        <f t="shared" si="26"/>
        <v>35290.600000000006</v>
      </c>
      <c r="R121" s="13">
        <f>289+63.5+1003.4</f>
        <v>1355.9</v>
      </c>
      <c r="S121" s="85">
        <f t="shared" si="27"/>
        <v>36646.500000000007</v>
      </c>
      <c r="T121" s="13">
        <v>200</v>
      </c>
      <c r="U121" s="85">
        <f t="shared" si="24"/>
        <v>36846.500000000007</v>
      </c>
    </row>
    <row r="122" spans="1:21" s="148" customFormat="1">
      <c r="A122" s="61" t="str">
        <f t="shared" ca="1" si="34"/>
        <v>Иные бюджетные ассигнования</v>
      </c>
      <c r="B122" s="145">
        <v>801</v>
      </c>
      <c r="C122" s="8" t="s">
        <v>213</v>
      </c>
      <c r="D122" s="8" t="s">
        <v>190</v>
      </c>
      <c r="E122" s="145" t="s">
        <v>128</v>
      </c>
      <c r="F122" s="145">
        <v>800</v>
      </c>
      <c r="G122" s="69">
        <f>G123</f>
        <v>2958.2999999999997</v>
      </c>
      <c r="H122" s="69">
        <f>H123</f>
        <v>0</v>
      </c>
      <c r="I122" s="69">
        <f t="shared" si="30"/>
        <v>2958.2999999999997</v>
      </c>
      <c r="J122" s="69">
        <f>J123</f>
        <v>0</v>
      </c>
      <c r="K122" s="85">
        <f t="shared" si="31"/>
        <v>2958.2999999999997</v>
      </c>
      <c r="L122" s="13">
        <f>L123</f>
        <v>0</v>
      </c>
      <c r="M122" s="85">
        <f t="shared" si="28"/>
        <v>2958.2999999999997</v>
      </c>
      <c r="N122" s="13">
        <f>N123</f>
        <v>0</v>
      </c>
      <c r="O122" s="85">
        <f t="shared" si="29"/>
        <v>2958.2999999999997</v>
      </c>
      <c r="P122" s="13">
        <f>P123</f>
        <v>0</v>
      </c>
      <c r="Q122" s="85">
        <f t="shared" si="26"/>
        <v>2958.2999999999997</v>
      </c>
      <c r="R122" s="13">
        <f>R123</f>
        <v>0</v>
      </c>
      <c r="S122" s="85">
        <f t="shared" si="27"/>
        <v>2958.2999999999997</v>
      </c>
      <c r="T122" s="13">
        <f>T123</f>
        <v>0</v>
      </c>
      <c r="U122" s="85">
        <f t="shared" si="24"/>
        <v>2958.2999999999997</v>
      </c>
    </row>
    <row r="123" spans="1:21" s="148" customFormat="1">
      <c r="A123" s="61" t="str">
        <f t="shared" ca="1" si="34"/>
        <v>Уплата налогов, сборов и иных платежей</v>
      </c>
      <c r="B123" s="145">
        <v>801</v>
      </c>
      <c r="C123" s="8" t="s">
        <v>213</v>
      </c>
      <c r="D123" s="8" t="s">
        <v>190</v>
      </c>
      <c r="E123" s="145" t="s">
        <v>128</v>
      </c>
      <c r="F123" s="145">
        <v>850</v>
      </c>
      <c r="G123" s="69">
        <f>SUM(G124:G125)</f>
        <v>2958.2999999999997</v>
      </c>
      <c r="H123" s="69">
        <f>SUM(H124:H125)</f>
        <v>0</v>
      </c>
      <c r="I123" s="69">
        <f t="shared" si="30"/>
        <v>2958.2999999999997</v>
      </c>
      <c r="J123" s="69">
        <f>SUM(J124:J125)</f>
        <v>0</v>
      </c>
      <c r="K123" s="85">
        <f t="shared" si="31"/>
        <v>2958.2999999999997</v>
      </c>
      <c r="L123" s="13">
        <f>SUM(L124:L125)</f>
        <v>0</v>
      </c>
      <c r="M123" s="85">
        <f t="shared" si="28"/>
        <v>2958.2999999999997</v>
      </c>
      <c r="N123" s="13">
        <f>SUM(N124:N125)</f>
        <v>0</v>
      </c>
      <c r="O123" s="85">
        <f t="shared" si="29"/>
        <v>2958.2999999999997</v>
      </c>
      <c r="P123" s="13">
        <f>SUM(P124:P125)</f>
        <v>0</v>
      </c>
      <c r="Q123" s="85">
        <f t="shared" si="26"/>
        <v>2958.2999999999997</v>
      </c>
      <c r="R123" s="13">
        <f>SUM(R124:R125)</f>
        <v>0</v>
      </c>
      <c r="S123" s="85">
        <f t="shared" si="27"/>
        <v>2958.2999999999997</v>
      </c>
      <c r="T123" s="13">
        <f>SUM(T124:T125)</f>
        <v>0</v>
      </c>
      <c r="U123" s="85">
        <f t="shared" si="24"/>
        <v>2958.2999999999997</v>
      </c>
    </row>
    <row r="124" spans="1:21" s="148" customFormat="1">
      <c r="A124" s="61" t="str">
        <f ca="1">IF(ISERROR(MATCH(F124,Код_КВР,0)),"",INDIRECT(ADDRESS(MATCH(F124,Код_КВР,0)+1,2,,,"КВР")))</f>
        <v>Уплата налога на имущество организаций и земельного налога</v>
      </c>
      <c r="B124" s="145">
        <v>801</v>
      </c>
      <c r="C124" s="8" t="s">
        <v>213</v>
      </c>
      <c r="D124" s="8" t="s">
        <v>190</v>
      </c>
      <c r="E124" s="145" t="s">
        <v>128</v>
      </c>
      <c r="F124" s="145">
        <v>851</v>
      </c>
      <c r="G124" s="69">
        <v>2591.6</v>
      </c>
      <c r="H124" s="69"/>
      <c r="I124" s="69">
        <f t="shared" si="30"/>
        <v>2591.6</v>
      </c>
      <c r="J124" s="69"/>
      <c r="K124" s="85">
        <f t="shared" si="31"/>
        <v>2591.6</v>
      </c>
      <c r="L124" s="13"/>
      <c r="M124" s="85">
        <f t="shared" si="28"/>
        <v>2591.6</v>
      </c>
      <c r="N124" s="13"/>
      <c r="O124" s="85">
        <f t="shared" si="29"/>
        <v>2591.6</v>
      </c>
      <c r="P124" s="13"/>
      <c r="Q124" s="85">
        <f t="shared" si="26"/>
        <v>2591.6</v>
      </c>
      <c r="R124" s="13">
        <v>30</v>
      </c>
      <c r="S124" s="85">
        <f t="shared" si="27"/>
        <v>2621.6</v>
      </c>
      <c r="T124" s="13"/>
      <c r="U124" s="85">
        <f t="shared" si="24"/>
        <v>2621.6</v>
      </c>
    </row>
    <row r="125" spans="1:21" s="148" customFormat="1">
      <c r="A125" s="61" t="str">
        <f ca="1">IF(ISERROR(MATCH(F125,Код_КВР,0)),"",INDIRECT(ADDRESS(MATCH(F125,Код_КВР,0)+1,2,,,"КВР")))</f>
        <v>Уплата прочих налогов, сборов и иных платежей</v>
      </c>
      <c r="B125" s="145">
        <v>801</v>
      </c>
      <c r="C125" s="8" t="s">
        <v>213</v>
      </c>
      <c r="D125" s="8" t="s">
        <v>190</v>
      </c>
      <c r="E125" s="145" t="s">
        <v>128</v>
      </c>
      <c r="F125" s="145">
        <v>852</v>
      </c>
      <c r="G125" s="69">
        <v>366.7</v>
      </c>
      <c r="H125" s="69"/>
      <c r="I125" s="69">
        <f t="shared" si="30"/>
        <v>366.7</v>
      </c>
      <c r="J125" s="69"/>
      <c r="K125" s="85">
        <f t="shared" si="31"/>
        <v>366.7</v>
      </c>
      <c r="L125" s="13"/>
      <c r="M125" s="85">
        <f t="shared" si="28"/>
        <v>366.7</v>
      </c>
      <c r="N125" s="13"/>
      <c r="O125" s="85">
        <f t="shared" si="29"/>
        <v>366.7</v>
      </c>
      <c r="P125" s="13"/>
      <c r="Q125" s="85">
        <f t="shared" si="26"/>
        <v>366.7</v>
      </c>
      <c r="R125" s="13">
        <v>-30</v>
      </c>
      <c r="S125" s="85">
        <f t="shared" si="27"/>
        <v>336.7</v>
      </c>
      <c r="T125" s="13"/>
      <c r="U125" s="85">
        <f t="shared" si="24"/>
        <v>336.7</v>
      </c>
    </row>
    <row r="126" spans="1:21" s="148" customFormat="1">
      <c r="A126" s="61" t="str">
        <f ca="1">IF(ISERROR(MATCH(E126,Код_КЦСР,0)),"",INDIRECT(ADDRESS(MATCH(E126,Код_КЦСР,0)+1,2,,,"КЦСР")))</f>
        <v>Развитие муниципальной службы в мэрии города Череповца</v>
      </c>
      <c r="B126" s="145">
        <v>801</v>
      </c>
      <c r="C126" s="8" t="s">
        <v>213</v>
      </c>
      <c r="D126" s="8" t="s">
        <v>190</v>
      </c>
      <c r="E126" s="145" t="s">
        <v>130</v>
      </c>
      <c r="F126" s="145"/>
      <c r="G126" s="69">
        <f t="shared" ref="G126:T129" si="35">G127</f>
        <v>350</v>
      </c>
      <c r="H126" s="69">
        <f t="shared" si="35"/>
        <v>0</v>
      </c>
      <c r="I126" s="69">
        <f t="shared" si="30"/>
        <v>350</v>
      </c>
      <c r="J126" s="69">
        <f t="shared" si="35"/>
        <v>0</v>
      </c>
      <c r="K126" s="85">
        <f t="shared" si="31"/>
        <v>350</v>
      </c>
      <c r="L126" s="13">
        <f t="shared" si="35"/>
        <v>-77</v>
      </c>
      <c r="M126" s="85">
        <f t="shared" si="28"/>
        <v>273</v>
      </c>
      <c r="N126" s="13">
        <f t="shared" si="35"/>
        <v>0</v>
      </c>
      <c r="O126" s="85">
        <f t="shared" si="29"/>
        <v>273</v>
      </c>
      <c r="P126" s="13">
        <f t="shared" si="35"/>
        <v>0</v>
      </c>
      <c r="Q126" s="85">
        <f t="shared" si="26"/>
        <v>273</v>
      </c>
      <c r="R126" s="13">
        <f t="shared" si="35"/>
        <v>20</v>
      </c>
      <c r="S126" s="85">
        <f t="shared" si="27"/>
        <v>293</v>
      </c>
      <c r="T126" s="13">
        <f t="shared" si="35"/>
        <v>0</v>
      </c>
      <c r="U126" s="85">
        <f t="shared" si="24"/>
        <v>293</v>
      </c>
    </row>
    <row r="127" spans="1:21" s="148" customFormat="1" ht="38.25" customHeight="1">
      <c r="A127" s="61" t="str">
        <f ca="1">IF(ISERROR(MATCH(E127,Код_КЦСР,0)),"",INDIRECT(ADDRESS(MATCH(E127,Код_КЦСР,0)+1,2,,,"КЦСР")))</f>
        <v>Совершенствование организационных и правовых механизмов профессиональной служебной деятельности муниципальных служащих</v>
      </c>
      <c r="B127" s="145">
        <v>801</v>
      </c>
      <c r="C127" s="8" t="s">
        <v>213</v>
      </c>
      <c r="D127" s="8" t="s">
        <v>190</v>
      </c>
      <c r="E127" s="145" t="s">
        <v>132</v>
      </c>
      <c r="F127" s="145"/>
      <c r="G127" s="69">
        <f t="shared" si="35"/>
        <v>350</v>
      </c>
      <c r="H127" s="69">
        <f t="shared" si="35"/>
        <v>0</v>
      </c>
      <c r="I127" s="69">
        <f t="shared" si="30"/>
        <v>350</v>
      </c>
      <c r="J127" s="69">
        <f t="shared" si="35"/>
        <v>0</v>
      </c>
      <c r="K127" s="85">
        <f t="shared" si="31"/>
        <v>350</v>
      </c>
      <c r="L127" s="13">
        <f t="shared" si="35"/>
        <v>-77</v>
      </c>
      <c r="M127" s="85">
        <f t="shared" si="28"/>
        <v>273</v>
      </c>
      <c r="N127" s="13">
        <f t="shared" si="35"/>
        <v>0</v>
      </c>
      <c r="O127" s="85">
        <f t="shared" si="29"/>
        <v>273</v>
      </c>
      <c r="P127" s="13">
        <f t="shared" si="35"/>
        <v>0</v>
      </c>
      <c r="Q127" s="85">
        <f t="shared" si="26"/>
        <v>273</v>
      </c>
      <c r="R127" s="13">
        <f t="shared" si="35"/>
        <v>20</v>
      </c>
      <c r="S127" s="85">
        <f t="shared" si="27"/>
        <v>293</v>
      </c>
      <c r="T127" s="13">
        <f t="shared" si="35"/>
        <v>0</v>
      </c>
      <c r="U127" s="85">
        <f t="shared" si="24"/>
        <v>293</v>
      </c>
    </row>
    <row r="128" spans="1:21" s="148" customFormat="1">
      <c r="A128" s="61" t="str">
        <f ca="1">IF(ISERROR(MATCH(F128,Код_КВР,0)),"",INDIRECT(ADDRESS(MATCH(F128,Код_КВР,0)+1,2,,,"КВР")))</f>
        <v>Закупка товаров, работ и услуг для муниципальных нужд</v>
      </c>
      <c r="B128" s="145">
        <v>801</v>
      </c>
      <c r="C128" s="8" t="s">
        <v>213</v>
      </c>
      <c r="D128" s="8" t="s">
        <v>190</v>
      </c>
      <c r="E128" s="145" t="s">
        <v>132</v>
      </c>
      <c r="F128" s="145">
        <v>200</v>
      </c>
      <c r="G128" s="69">
        <f t="shared" si="35"/>
        <v>350</v>
      </c>
      <c r="H128" s="69">
        <f t="shared" si="35"/>
        <v>0</v>
      </c>
      <c r="I128" s="69">
        <f t="shared" si="30"/>
        <v>350</v>
      </c>
      <c r="J128" s="69">
        <f t="shared" si="35"/>
        <v>0</v>
      </c>
      <c r="K128" s="85">
        <f t="shared" si="31"/>
        <v>350</v>
      </c>
      <c r="L128" s="13">
        <f t="shared" si="35"/>
        <v>-77</v>
      </c>
      <c r="M128" s="85">
        <f t="shared" si="28"/>
        <v>273</v>
      </c>
      <c r="N128" s="13">
        <f t="shared" si="35"/>
        <v>0</v>
      </c>
      <c r="O128" s="85">
        <f t="shared" si="29"/>
        <v>273</v>
      </c>
      <c r="P128" s="13">
        <f t="shared" si="35"/>
        <v>0</v>
      </c>
      <c r="Q128" s="85">
        <f t="shared" si="26"/>
        <v>273</v>
      </c>
      <c r="R128" s="13">
        <f t="shared" si="35"/>
        <v>20</v>
      </c>
      <c r="S128" s="85">
        <f t="shared" si="27"/>
        <v>293</v>
      </c>
      <c r="T128" s="13">
        <f t="shared" si="35"/>
        <v>0</v>
      </c>
      <c r="U128" s="85">
        <f t="shared" si="24"/>
        <v>293</v>
      </c>
    </row>
    <row r="129" spans="1:22" s="148" customFormat="1" ht="33">
      <c r="A129" s="61" t="str">
        <f ca="1">IF(ISERROR(MATCH(F129,Код_КВР,0)),"",INDIRECT(ADDRESS(MATCH(F129,Код_КВР,0)+1,2,,,"КВР")))</f>
        <v>Иные закупки товаров, работ и услуг для обеспечения муниципальных нужд</v>
      </c>
      <c r="B129" s="145">
        <v>801</v>
      </c>
      <c r="C129" s="8" t="s">
        <v>213</v>
      </c>
      <c r="D129" s="8" t="s">
        <v>190</v>
      </c>
      <c r="E129" s="145" t="s">
        <v>132</v>
      </c>
      <c r="F129" s="145">
        <v>240</v>
      </c>
      <c r="G129" s="69">
        <f t="shared" si="35"/>
        <v>350</v>
      </c>
      <c r="H129" s="69">
        <f t="shared" si="35"/>
        <v>0</v>
      </c>
      <c r="I129" s="69">
        <f t="shared" si="30"/>
        <v>350</v>
      </c>
      <c r="J129" s="69">
        <f t="shared" si="35"/>
        <v>0</v>
      </c>
      <c r="K129" s="85">
        <f t="shared" si="31"/>
        <v>350</v>
      </c>
      <c r="L129" s="13">
        <f t="shared" si="35"/>
        <v>-77</v>
      </c>
      <c r="M129" s="85">
        <f t="shared" si="28"/>
        <v>273</v>
      </c>
      <c r="N129" s="13">
        <f t="shared" si="35"/>
        <v>0</v>
      </c>
      <c r="O129" s="85">
        <f t="shared" si="29"/>
        <v>273</v>
      </c>
      <c r="P129" s="13">
        <f t="shared" si="35"/>
        <v>0</v>
      </c>
      <c r="Q129" s="85">
        <f t="shared" si="26"/>
        <v>273</v>
      </c>
      <c r="R129" s="13">
        <f t="shared" si="35"/>
        <v>20</v>
      </c>
      <c r="S129" s="85">
        <f t="shared" si="27"/>
        <v>293</v>
      </c>
      <c r="T129" s="13">
        <f t="shared" si="35"/>
        <v>0</v>
      </c>
      <c r="U129" s="85">
        <f t="shared" si="24"/>
        <v>293</v>
      </c>
    </row>
    <row r="130" spans="1:22" s="148" customFormat="1" ht="33">
      <c r="A130" s="61" t="str">
        <f ca="1">IF(ISERROR(MATCH(F130,Код_КВР,0)),"",INDIRECT(ADDRESS(MATCH(F130,Код_КВР,0)+1,2,,,"КВР")))</f>
        <v xml:space="preserve">Прочая закупка товаров, работ и услуг для обеспечения муниципальных нужд         </v>
      </c>
      <c r="B130" s="145">
        <v>801</v>
      </c>
      <c r="C130" s="8" t="s">
        <v>213</v>
      </c>
      <c r="D130" s="8" t="s">
        <v>190</v>
      </c>
      <c r="E130" s="145" t="s">
        <v>132</v>
      </c>
      <c r="F130" s="145">
        <v>244</v>
      </c>
      <c r="G130" s="69">
        <v>350</v>
      </c>
      <c r="H130" s="69"/>
      <c r="I130" s="69">
        <f t="shared" si="30"/>
        <v>350</v>
      </c>
      <c r="J130" s="69"/>
      <c r="K130" s="85">
        <f t="shared" si="31"/>
        <v>350</v>
      </c>
      <c r="L130" s="13">
        <v>-77</v>
      </c>
      <c r="M130" s="85">
        <f t="shared" si="28"/>
        <v>273</v>
      </c>
      <c r="N130" s="13"/>
      <c r="O130" s="85">
        <f t="shared" si="29"/>
        <v>273</v>
      </c>
      <c r="P130" s="13"/>
      <c r="Q130" s="85">
        <f t="shared" si="26"/>
        <v>273</v>
      </c>
      <c r="R130" s="13">
        <v>20</v>
      </c>
      <c r="S130" s="85">
        <f t="shared" si="27"/>
        <v>293</v>
      </c>
      <c r="T130" s="13"/>
      <c r="U130" s="85">
        <f t="shared" si="24"/>
        <v>293</v>
      </c>
    </row>
    <row r="131" spans="1:22" s="148" customFormat="1" ht="70.7" customHeight="1">
      <c r="A131" s="61" t="str">
        <f ca="1">IF(ISERROR(MATCH(E131,Код_КЦСР,0)),"",INDIRECT(ADDRESS(MATCH(E131,Код_КЦСР,0)+1,2,,,"КЦСР")))</f>
        <v>Снижение административных барьеров, повышение качества и доступности муниципальных услуг, в том числе на базе многофункционального центра организации предоставления государственных и муниципальных услуг</v>
      </c>
      <c r="B131" s="145">
        <v>801</v>
      </c>
      <c r="C131" s="8" t="s">
        <v>213</v>
      </c>
      <c r="D131" s="8" t="s">
        <v>190</v>
      </c>
      <c r="E131" s="145" t="s">
        <v>135</v>
      </c>
      <c r="F131" s="145"/>
      <c r="G131" s="69">
        <f t="shared" ref="G131:T133" si="36">G132</f>
        <v>27857.9</v>
      </c>
      <c r="H131" s="69">
        <f t="shared" si="36"/>
        <v>0</v>
      </c>
      <c r="I131" s="69">
        <f t="shared" si="30"/>
        <v>27857.9</v>
      </c>
      <c r="J131" s="69">
        <f t="shared" si="36"/>
        <v>0</v>
      </c>
      <c r="K131" s="85">
        <f t="shared" si="31"/>
        <v>27857.9</v>
      </c>
      <c r="L131" s="13">
        <f t="shared" si="36"/>
        <v>-130</v>
      </c>
      <c r="M131" s="85">
        <f t="shared" si="28"/>
        <v>27727.9</v>
      </c>
      <c r="N131" s="13">
        <f t="shared" si="36"/>
        <v>0</v>
      </c>
      <c r="O131" s="85">
        <f t="shared" si="29"/>
        <v>27727.9</v>
      </c>
      <c r="P131" s="13">
        <f t="shared" si="36"/>
        <v>0</v>
      </c>
      <c r="Q131" s="85">
        <f t="shared" si="26"/>
        <v>27727.9</v>
      </c>
      <c r="R131" s="13">
        <f t="shared" si="36"/>
        <v>0</v>
      </c>
      <c r="S131" s="85">
        <f t="shared" si="27"/>
        <v>27727.9</v>
      </c>
      <c r="T131" s="13">
        <f>T132+T137</f>
        <v>4597.3999999999996</v>
      </c>
      <c r="U131" s="85">
        <f t="shared" si="24"/>
        <v>32325.300000000003</v>
      </c>
    </row>
    <row r="132" spans="1:22" s="148" customFormat="1">
      <c r="A132" s="61" t="str">
        <f ca="1">IF(ISERROR(MATCH(E132,Код_КЦСР,0)),"",INDIRECT(ADDRESS(MATCH(E132,Код_КЦСР,0)+1,2,,,"КЦСР")))</f>
        <v>Создание и организация деятельности многофункционального центра</v>
      </c>
      <c r="B132" s="145">
        <v>801</v>
      </c>
      <c r="C132" s="8" t="s">
        <v>213</v>
      </c>
      <c r="D132" s="8" t="s">
        <v>190</v>
      </c>
      <c r="E132" s="145" t="s">
        <v>139</v>
      </c>
      <c r="F132" s="145"/>
      <c r="G132" s="69">
        <f t="shared" si="36"/>
        <v>27857.9</v>
      </c>
      <c r="H132" s="69">
        <f t="shared" si="36"/>
        <v>0</v>
      </c>
      <c r="I132" s="69">
        <f t="shared" si="30"/>
        <v>27857.9</v>
      </c>
      <c r="J132" s="69">
        <f t="shared" si="36"/>
        <v>0</v>
      </c>
      <c r="K132" s="85">
        <f t="shared" si="31"/>
        <v>27857.9</v>
      </c>
      <c r="L132" s="13">
        <f t="shared" si="36"/>
        <v>-130</v>
      </c>
      <c r="M132" s="85">
        <f t="shared" si="28"/>
        <v>27727.9</v>
      </c>
      <c r="N132" s="13">
        <f t="shared" si="36"/>
        <v>0</v>
      </c>
      <c r="O132" s="85">
        <f t="shared" si="29"/>
        <v>27727.9</v>
      </c>
      <c r="P132" s="13">
        <f t="shared" si="36"/>
        <v>0</v>
      </c>
      <c r="Q132" s="85">
        <f t="shared" si="26"/>
        <v>27727.9</v>
      </c>
      <c r="R132" s="13">
        <f t="shared" si="36"/>
        <v>0</v>
      </c>
      <c r="S132" s="85">
        <f t="shared" si="27"/>
        <v>27727.9</v>
      </c>
      <c r="T132" s="13">
        <f t="shared" si="36"/>
        <v>0</v>
      </c>
      <c r="U132" s="85">
        <f t="shared" si="24"/>
        <v>27727.9</v>
      </c>
    </row>
    <row r="133" spans="1:22" s="148" customFormat="1" ht="33">
      <c r="A133" s="61" t="str">
        <f ca="1">IF(ISERROR(MATCH(F133,Код_КВР,0)),"",INDIRECT(ADDRESS(MATCH(F133,Код_КВР,0)+1,2,,,"КВР")))</f>
        <v>Предоставление субсидий бюджетным, автономным учреждениям и иным некоммерческим организациям</v>
      </c>
      <c r="B133" s="145">
        <v>801</v>
      </c>
      <c r="C133" s="8" t="s">
        <v>213</v>
      </c>
      <c r="D133" s="8" t="s">
        <v>190</v>
      </c>
      <c r="E133" s="145" t="s">
        <v>139</v>
      </c>
      <c r="F133" s="145">
        <v>600</v>
      </c>
      <c r="G133" s="69">
        <f t="shared" si="36"/>
        <v>27857.9</v>
      </c>
      <c r="H133" s="69">
        <f t="shared" si="36"/>
        <v>0</v>
      </c>
      <c r="I133" s="69">
        <f t="shared" si="30"/>
        <v>27857.9</v>
      </c>
      <c r="J133" s="69">
        <f t="shared" si="36"/>
        <v>0</v>
      </c>
      <c r="K133" s="85">
        <f t="shared" si="31"/>
        <v>27857.9</v>
      </c>
      <c r="L133" s="13">
        <f t="shared" si="36"/>
        <v>-130</v>
      </c>
      <c r="M133" s="85">
        <f t="shared" si="28"/>
        <v>27727.9</v>
      </c>
      <c r="N133" s="13">
        <f t="shared" si="36"/>
        <v>0</v>
      </c>
      <c r="O133" s="85">
        <f t="shared" si="29"/>
        <v>27727.9</v>
      </c>
      <c r="P133" s="13">
        <f t="shared" si="36"/>
        <v>0</v>
      </c>
      <c r="Q133" s="85">
        <f t="shared" si="26"/>
        <v>27727.9</v>
      </c>
      <c r="R133" s="13">
        <f t="shared" si="36"/>
        <v>0</v>
      </c>
      <c r="S133" s="85">
        <f t="shared" si="27"/>
        <v>27727.9</v>
      </c>
      <c r="T133" s="13">
        <f t="shared" si="36"/>
        <v>0</v>
      </c>
      <c r="U133" s="85">
        <f t="shared" si="24"/>
        <v>27727.9</v>
      </c>
    </row>
    <row r="134" spans="1:22" s="148" customFormat="1">
      <c r="A134" s="61" t="str">
        <f ca="1">IF(ISERROR(MATCH(F134,Код_КВР,0)),"",INDIRECT(ADDRESS(MATCH(F134,Код_КВР,0)+1,2,,,"КВР")))</f>
        <v>Субсидии бюджетным учреждениям</v>
      </c>
      <c r="B134" s="145">
        <v>801</v>
      </c>
      <c r="C134" s="8" t="s">
        <v>213</v>
      </c>
      <c r="D134" s="8" t="s">
        <v>190</v>
      </c>
      <c r="E134" s="145" t="s">
        <v>139</v>
      </c>
      <c r="F134" s="145">
        <v>610</v>
      </c>
      <c r="G134" s="69">
        <f>SUM(G135:G136)</f>
        <v>27857.9</v>
      </c>
      <c r="H134" s="69">
        <f>SUM(H135:H136)</f>
        <v>0</v>
      </c>
      <c r="I134" s="69">
        <f t="shared" si="30"/>
        <v>27857.9</v>
      </c>
      <c r="J134" s="69">
        <f>SUM(J135:J136)</f>
        <v>0</v>
      </c>
      <c r="K134" s="85">
        <f t="shared" si="31"/>
        <v>27857.9</v>
      </c>
      <c r="L134" s="13">
        <f>SUM(L135:L136)</f>
        <v>-130</v>
      </c>
      <c r="M134" s="85">
        <f t="shared" si="28"/>
        <v>27727.9</v>
      </c>
      <c r="N134" s="13">
        <f>SUM(N135:N136)</f>
        <v>0</v>
      </c>
      <c r="O134" s="85">
        <f t="shared" si="29"/>
        <v>27727.9</v>
      </c>
      <c r="P134" s="13">
        <f>SUM(P135:P136)</f>
        <v>0</v>
      </c>
      <c r="Q134" s="85">
        <f t="shared" si="26"/>
        <v>27727.9</v>
      </c>
      <c r="R134" s="13">
        <f>SUM(R135:R136)</f>
        <v>0</v>
      </c>
      <c r="S134" s="85">
        <f t="shared" si="27"/>
        <v>27727.9</v>
      </c>
      <c r="T134" s="13">
        <f>SUM(T135:T136)</f>
        <v>0</v>
      </c>
      <c r="U134" s="85">
        <f t="shared" si="24"/>
        <v>27727.9</v>
      </c>
    </row>
    <row r="135" spans="1:22" s="148" customFormat="1" ht="49.5">
      <c r="A135" s="61" t="str">
        <f ca="1">IF(ISERROR(MATCH(F135,Код_КВР,0)),"",INDIRECT(ADDRESS(MATCH(F135,Код_КВР,0)+1,2,,,"КВР")))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35" s="145">
        <v>801</v>
      </c>
      <c r="C135" s="8" t="s">
        <v>213</v>
      </c>
      <c r="D135" s="8" t="s">
        <v>190</v>
      </c>
      <c r="E135" s="145" t="s">
        <v>139</v>
      </c>
      <c r="F135" s="145">
        <v>611</v>
      </c>
      <c r="G135" s="69">
        <v>27757.9</v>
      </c>
      <c r="H135" s="69"/>
      <c r="I135" s="69">
        <f t="shared" si="30"/>
        <v>27757.9</v>
      </c>
      <c r="J135" s="69"/>
      <c r="K135" s="85">
        <f t="shared" si="31"/>
        <v>27757.9</v>
      </c>
      <c r="L135" s="13">
        <f>-65-65</f>
        <v>-130</v>
      </c>
      <c r="M135" s="85">
        <f t="shared" si="28"/>
        <v>27627.9</v>
      </c>
      <c r="N135" s="13"/>
      <c r="O135" s="85">
        <f t="shared" si="29"/>
        <v>27627.9</v>
      </c>
      <c r="P135" s="13"/>
      <c r="Q135" s="85">
        <f t="shared" si="26"/>
        <v>27627.9</v>
      </c>
      <c r="R135" s="13"/>
      <c r="S135" s="85">
        <f t="shared" si="27"/>
        <v>27627.9</v>
      </c>
      <c r="T135" s="13"/>
      <c r="U135" s="85">
        <f t="shared" si="24"/>
        <v>27627.9</v>
      </c>
    </row>
    <row r="136" spans="1:22" s="148" customFormat="1">
      <c r="A136" s="61" t="str">
        <f ca="1">IF(ISERROR(MATCH(F136,Код_КВР,0)),"",INDIRECT(ADDRESS(MATCH(F136,Код_КВР,0)+1,2,,,"КВР")))</f>
        <v>Субсидии бюджетным учреждениям на иные цели</v>
      </c>
      <c r="B136" s="145">
        <v>801</v>
      </c>
      <c r="C136" s="8" t="s">
        <v>213</v>
      </c>
      <c r="D136" s="8" t="s">
        <v>190</v>
      </c>
      <c r="E136" s="145" t="s">
        <v>139</v>
      </c>
      <c r="F136" s="145">
        <v>612</v>
      </c>
      <c r="G136" s="69">
        <v>100</v>
      </c>
      <c r="H136" s="69"/>
      <c r="I136" s="69">
        <f t="shared" si="30"/>
        <v>100</v>
      </c>
      <c r="J136" s="69"/>
      <c r="K136" s="85">
        <f t="shared" si="31"/>
        <v>100</v>
      </c>
      <c r="L136" s="13"/>
      <c r="M136" s="85">
        <f t="shared" si="28"/>
        <v>100</v>
      </c>
      <c r="N136" s="13"/>
      <c r="O136" s="85">
        <f t="shared" si="29"/>
        <v>100</v>
      </c>
      <c r="P136" s="13"/>
      <c r="Q136" s="85">
        <f t="shared" si="26"/>
        <v>100</v>
      </c>
      <c r="R136" s="13"/>
      <c r="S136" s="85">
        <f t="shared" si="27"/>
        <v>100</v>
      </c>
      <c r="T136" s="13"/>
      <c r="U136" s="85">
        <f t="shared" si="24"/>
        <v>100</v>
      </c>
    </row>
    <row r="137" spans="1:22" s="148" customFormat="1" ht="67.5" customHeight="1">
      <c r="A137" s="61" t="str">
        <f ca="1">IF(ISERROR(MATCH(E137,Код_КЦСР,0)),"",INDIRECT(ADDRESS(MATCH(E137,Код_КЦСР,0)+1,2,,,"КЦСР")))</f>
        <v>Создание и развитие сети многофункциональных центров предоставления государственных и муниципальных услуг за счет иных межбюджетных трасфертов из федерального бюджета</v>
      </c>
      <c r="B137" s="145">
        <v>801</v>
      </c>
      <c r="C137" s="8" t="s">
        <v>213</v>
      </c>
      <c r="D137" s="8" t="s">
        <v>190</v>
      </c>
      <c r="E137" s="145" t="s">
        <v>689</v>
      </c>
      <c r="F137" s="145"/>
      <c r="G137" s="69"/>
      <c r="H137" s="69"/>
      <c r="I137" s="69"/>
      <c r="J137" s="69"/>
      <c r="K137" s="85"/>
      <c r="L137" s="13"/>
      <c r="M137" s="85"/>
      <c r="N137" s="13"/>
      <c r="O137" s="85"/>
      <c r="P137" s="13"/>
      <c r="Q137" s="85"/>
      <c r="R137" s="13"/>
      <c r="S137" s="85"/>
      <c r="T137" s="13">
        <f>T138</f>
        <v>4597.3999999999996</v>
      </c>
      <c r="U137" s="85">
        <f t="shared" si="24"/>
        <v>4597.3999999999996</v>
      </c>
    </row>
    <row r="138" spans="1:22" s="148" customFormat="1" ht="33">
      <c r="A138" s="61" t="str">
        <f ca="1">IF(ISERROR(MATCH(F138,Код_КВР,0)),"",INDIRECT(ADDRESS(MATCH(F138,Код_КВР,0)+1,2,,,"КВР")))</f>
        <v>Предоставление субсидий бюджетным, автономным учреждениям и иным некоммерческим организациям</v>
      </c>
      <c r="B138" s="145">
        <v>801</v>
      </c>
      <c r="C138" s="8" t="s">
        <v>213</v>
      </c>
      <c r="D138" s="8" t="s">
        <v>190</v>
      </c>
      <c r="E138" s="145" t="s">
        <v>689</v>
      </c>
      <c r="F138" s="145">
        <v>600</v>
      </c>
      <c r="G138" s="69"/>
      <c r="H138" s="69"/>
      <c r="I138" s="69"/>
      <c r="J138" s="69"/>
      <c r="K138" s="85"/>
      <c r="L138" s="13"/>
      <c r="M138" s="85"/>
      <c r="N138" s="13"/>
      <c r="O138" s="85"/>
      <c r="P138" s="13"/>
      <c r="Q138" s="85"/>
      <c r="R138" s="13"/>
      <c r="S138" s="85"/>
      <c r="T138" s="13">
        <f>T139</f>
        <v>4597.3999999999996</v>
      </c>
      <c r="U138" s="85">
        <f t="shared" si="24"/>
        <v>4597.3999999999996</v>
      </c>
    </row>
    <row r="139" spans="1:22" s="148" customFormat="1">
      <c r="A139" s="61" t="str">
        <f ca="1">IF(ISERROR(MATCH(F139,Код_КВР,0)),"",INDIRECT(ADDRESS(MATCH(F139,Код_КВР,0)+1,2,,,"КВР")))</f>
        <v>Субсидии бюджетным учреждениям</v>
      </c>
      <c r="B139" s="145">
        <v>801</v>
      </c>
      <c r="C139" s="8" t="s">
        <v>213</v>
      </c>
      <c r="D139" s="8" t="s">
        <v>190</v>
      </c>
      <c r="E139" s="145" t="s">
        <v>689</v>
      </c>
      <c r="F139" s="145">
        <v>610</v>
      </c>
      <c r="G139" s="69"/>
      <c r="H139" s="69"/>
      <c r="I139" s="69"/>
      <c r="J139" s="69"/>
      <c r="K139" s="85"/>
      <c r="L139" s="13"/>
      <c r="M139" s="85"/>
      <c r="N139" s="13"/>
      <c r="O139" s="85"/>
      <c r="P139" s="13"/>
      <c r="Q139" s="85"/>
      <c r="R139" s="13"/>
      <c r="S139" s="85"/>
      <c r="T139" s="13">
        <f>T140</f>
        <v>4597.3999999999996</v>
      </c>
      <c r="U139" s="85">
        <f t="shared" si="24"/>
        <v>4597.3999999999996</v>
      </c>
    </row>
    <row r="140" spans="1:22" s="148" customFormat="1" ht="18.75" customHeight="1">
      <c r="A140" s="61" t="str">
        <f ca="1">IF(ISERROR(MATCH(F140,Код_КВР,0)),"",INDIRECT(ADDRESS(MATCH(F140,Код_КВР,0)+1,2,,,"КВР")))</f>
        <v>Субсидии бюджетным учреждениям на иные цели</v>
      </c>
      <c r="B140" s="145">
        <v>801</v>
      </c>
      <c r="C140" s="8" t="s">
        <v>213</v>
      </c>
      <c r="D140" s="8" t="s">
        <v>190</v>
      </c>
      <c r="E140" s="145" t="s">
        <v>689</v>
      </c>
      <c r="F140" s="145">
        <v>612</v>
      </c>
      <c r="G140" s="69"/>
      <c r="H140" s="69"/>
      <c r="I140" s="69"/>
      <c r="J140" s="69"/>
      <c r="K140" s="85"/>
      <c r="L140" s="13"/>
      <c r="M140" s="85"/>
      <c r="N140" s="13"/>
      <c r="O140" s="85"/>
      <c r="P140" s="13"/>
      <c r="Q140" s="85"/>
      <c r="R140" s="13"/>
      <c r="S140" s="85"/>
      <c r="T140" s="13">
        <v>4597.3999999999996</v>
      </c>
      <c r="U140" s="85">
        <f t="shared" si="24"/>
        <v>4597.3999999999996</v>
      </c>
    </row>
    <row r="141" spans="1:22" s="148" customFormat="1" ht="49.5">
      <c r="A141" s="61" t="str">
        <f ca="1">IF(ISERROR(MATCH(E141,Код_КЦСР,0)),"",INDIRECT(ADDRESS(MATCH(E141,Код_КЦСР,0)+1,2,,,"КЦСР")))</f>
        <v>Муниципальная программа «Содействие развитию институтов гражданского общества и информационной открытости органов местного самоуправления в городе Череповце» на 2014-2018 годы</v>
      </c>
      <c r="B141" s="145">
        <v>801</v>
      </c>
      <c r="C141" s="8" t="s">
        <v>213</v>
      </c>
      <c r="D141" s="8" t="s">
        <v>190</v>
      </c>
      <c r="E141" s="145" t="s">
        <v>141</v>
      </c>
      <c r="F141" s="145"/>
      <c r="G141" s="69">
        <f>G142+G146+G150+G154</f>
        <v>1683.2</v>
      </c>
      <c r="H141" s="69">
        <f>H142+H146+H150+H154</f>
        <v>0</v>
      </c>
      <c r="I141" s="69">
        <f t="shared" si="30"/>
        <v>1683.2</v>
      </c>
      <c r="J141" s="69">
        <f>J142+J146+J150+J154</f>
        <v>0</v>
      </c>
      <c r="K141" s="85">
        <f t="shared" si="31"/>
        <v>1683.2</v>
      </c>
      <c r="L141" s="13">
        <f>L142+L146+L150+L154</f>
        <v>-72</v>
      </c>
      <c r="M141" s="85">
        <f t="shared" si="28"/>
        <v>1611.2</v>
      </c>
      <c r="N141" s="13">
        <f>N142+N146+N150+N154</f>
        <v>205.6</v>
      </c>
      <c r="O141" s="85">
        <f t="shared" si="29"/>
        <v>1816.8</v>
      </c>
      <c r="P141" s="13">
        <f>P142+P146+P150+P154</f>
        <v>0</v>
      </c>
      <c r="Q141" s="85">
        <f t="shared" si="26"/>
        <v>1816.8</v>
      </c>
      <c r="R141" s="13">
        <f>R142+R146+R150+R154</f>
        <v>188.89999999999998</v>
      </c>
      <c r="S141" s="85">
        <f t="shared" si="27"/>
        <v>2005.6999999999998</v>
      </c>
      <c r="T141" s="13">
        <f>T142+T146+T150+T154</f>
        <v>0</v>
      </c>
      <c r="U141" s="85">
        <f t="shared" si="24"/>
        <v>2005.6999999999998</v>
      </c>
    </row>
    <row r="142" spans="1:22" s="148" customFormat="1" ht="49.5" hidden="1">
      <c r="A142" s="61" t="str">
        <f ca="1">IF(ISERROR(MATCH(E142,Код_КЦСР,0)),"",INDIRECT(ADDRESS(MATCH(E142,Код_КЦСР,0)+1,2,,,"КЦСР")))</f>
        <v>Формирование положительного имиджа Череповца, как социально ориентированного города, посредством изготовления и размещения социальной рекламы</v>
      </c>
      <c r="B142" s="145">
        <v>801</v>
      </c>
      <c r="C142" s="8" t="s">
        <v>213</v>
      </c>
      <c r="D142" s="8" t="s">
        <v>190</v>
      </c>
      <c r="E142" s="145" t="s">
        <v>142</v>
      </c>
      <c r="F142" s="145"/>
      <c r="G142" s="69">
        <f t="shared" ref="G142:T144" si="37">G143</f>
        <v>72</v>
      </c>
      <c r="H142" s="69">
        <f t="shared" si="37"/>
        <v>0</v>
      </c>
      <c r="I142" s="69">
        <f t="shared" si="30"/>
        <v>72</v>
      </c>
      <c r="J142" s="69">
        <f t="shared" si="37"/>
        <v>0</v>
      </c>
      <c r="K142" s="85">
        <f t="shared" si="31"/>
        <v>72</v>
      </c>
      <c r="L142" s="13">
        <f t="shared" si="37"/>
        <v>-72</v>
      </c>
      <c r="M142" s="85">
        <f t="shared" si="28"/>
        <v>0</v>
      </c>
      <c r="N142" s="13">
        <f t="shared" si="37"/>
        <v>0</v>
      </c>
      <c r="O142" s="85">
        <f t="shared" si="29"/>
        <v>0</v>
      </c>
      <c r="P142" s="13">
        <f t="shared" si="37"/>
        <v>0</v>
      </c>
      <c r="Q142" s="85">
        <f t="shared" si="26"/>
        <v>0</v>
      </c>
      <c r="R142" s="13">
        <f t="shared" si="37"/>
        <v>0</v>
      </c>
      <c r="S142" s="85">
        <f t="shared" si="27"/>
        <v>0</v>
      </c>
      <c r="T142" s="13">
        <f t="shared" si="37"/>
        <v>0</v>
      </c>
      <c r="U142" s="85">
        <f t="shared" si="24"/>
        <v>0</v>
      </c>
      <c r="V142" s="155" t="s">
        <v>715</v>
      </c>
    </row>
    <row r="143" spans="1:22" s="148" customFormat="1" hidden="1">
      <c r="A143" s="61" t="str">
        <f ca="1">IF(ISERROR(MATCH(F143,Код_КВР,0)),"",INDIRECT(ADDRESS(MATCH(F143,Код_КВР,0)+1,2,,,"КВР")))</f>
        <v>Закупка товаров, работ и услуг для муниципальных нужд</v>
      </c>
      <c r="B143" s="145">
        <v>801</v>
      </c>
      <c r="C143" s="8" t="s">
        <v>213</v>
      </c>
      <c r="D143" s="8" t="s">
        <v>190</v>
      </c>
      <c r="E143" s="145" t="s">
        <v>142</v>
      </c>
      <c r="F143" s="145">
        <v>200</v>
      </c>
      <c r="G143" s="69">
        <f t="shared" si="37"/>
        <v>72</v>
      </c>
      <c r="H143" s="69">
        <f t="shared" si="37"/>
        <v>0</v>
      </c>
      <c r="I143" s="69">
        <f t="shared" si="30"/>
        <v>72</v>
      </c>
      <c r="J143" s="69">
        <f t="shared" si="37"/>
        <v>0</v>
      </c>
      <c r="K143" s="85">
        <f t="shared" si="31"/>
        <v>72</v>
      </c>
      <c r="L143" s="13">
        <f t="shared" si="37"/>
        <v>-72</v>
      </c>
      <c r="M143" s="85">
        <f t="shared" si="28"/>
        <v>0</v>
      </c>
      <c r="N143" s="13">
        <f t="shared" si="37"/>
        <v>0</v>
      </c>
      <c r="O143" s="85">
        <f t="shared" si="29"/>
        <v>0</v>
      </c>
      <c r="P143" s="13">
        <f t="shared" si="37"/>
        <v>0</v>
      </c>
      <c r="Q143" s="85">
        <f t="shared" si="26"/>
        <v>0</v>
      </c>
      <c r="R143" s="13">
        <f t="shared" si="37"/>
        <v>0</v>
      </c>
      <c r="S143" s="85">
        <f t="shared" si="27"/>
        <v>0</v>
      </c>
      <c r="T143" s="13">
        <f t="shared" si="37"/>
        <v>0</v>
      </c>
      <c r="U143" s="85">
        <f t="shared" si="24"/>
        <v>0</v>
      </c>
      <c r="V143" s="155" t="s">
        <v>715</v>
      </c>
    </row>
    <row r="144" spans="1:22" s="148" customFormat="1" ht="33" hidden="1">
      <c r="A144" s="61" t="str">
        <f ca="1">IF(ISERROR(MATCH(F144,Код_КВР,0)),"",INDIRECT(ADDRESS(MATCH(F144,Код_КВР,0)+1,2,,,"КВР")))</f>
        <v>Иные закупки товаров, работ и услуг для обеспечения муниципальных нужд</v>
      </c>
      <c r="B144" s="145">
        <v>801</v>
      </c>
      <c r="C144" s="8" t="s">
        <v>213</v>
      </c>
      <c r="D144" s="8" t="s">
        <v>190</v>
      </c>
      <c r="E144" s="145" t="s">
        <v>142</v>
      </c>
      <c r="F144" s="145">
        <v>240</v>
      </c>
      <c r="G144" s="69">
        <f t="shared" si="37"/>
        <v>72</v>
      </c>
      <c r="H144" s="69">
        <f t="shared" si="37"/>
        <v>0</v>
      </c>
      <c r="I144" s="69">
        <f t="shared" si="30"/>
        <v>72</v>
      </c>
      <c r="J144" s="69">
        <f t="shared" si="37"/>
        <v>0</v>
      </c>
      <c r="K144" s="85">
        <f t="shared" si="31"/>
        <v>72</v>
      </c>
      <c r="L144" s="13">
        <f t="shared" si="37"/>
        <v>-72</v>
      </c>
      <c r="M144" s="85">
        <f t="shared" si="28"/>
        <v>0</v>
      </c>
      <c r="N144" s="13">
        <f t="shared" si="37"/>
        <v>0</v>
      </c>
      <c r="O144" s="85">
        <f t="shared" si="29"/>
        <v>0</v>
      </c>
      <c r="P144" s="13">
        <f t="shared" si="37"/>
        <v>0</v>
      </c>
      <c r="Q144" s="85">
        <f t="shared" si="26"/>
        <v>0</v>
      </c>
      <c r="R144" s="13">
        <f t="shared" si="37"/>
        <v>0</v>
      </c>
      <c r="S144" s="85">
        <f t="shared" si="27"/>
        <v>0</v>
      </c>
      <c r="T144" s="13">
        <f t="shared" si="37"/>
        <v>0</v>
      </c>
      <c r="U144" s="85">
        <f t="shared" si="24"/>
        <v>0</v>
      </c>
      <c r="V144" s="155" t="s">
        <v>715</v>
      </c>
    </row>
    <row r="145" spans="1:22" s="148" customFormat="1" ht="33" hidden="1">
      <c r="A145" s="61" t="str">
        <f ca="1">IF(ISERROR(MATCH(F145,Код_КВР,0)),"",INDIRECT(ADDRESS(MATCH(F145,Код_КВР,0)+1,2,,,"КВР")))</f>
        <v xml:space="preserve">Прочая закупка товаров, работ и услуг для обеспечения муниципальных нужд         </v>
      </c>
      <c r="B145" s="145">
        <v>801</v>
      </c>
      <c r="C145" s="8" t="s">
        <v>213</v>
      </c>
      <c r="D145" s="8" t="s">
        <v>190</v>
      </c>
      <c r="E145" s="145" t="s">
        <v>142</v>
      </c>
      <c r="F145" s="145">
        <v>244</v>
      </c>
      <c r="G145" s="69">
        <v>72</v>
      </c>
      <c r="H145" s="69"/>
      <c r="I145" s="69">
        <f t="shared" si="30"/>
        <v>72</v>
      </c>
      <c r="J145" s="69"/>
      <c r="K145" s="85">
        <f t="shared" si="31"/>
        <v>72</v>
      </c>
      <c r="L145" s="13">
        <v>-72</v>
      </c>
      <c r="M145" s="85">
        <f t="shared" si="28"/>
        <v>0</v>
      </c>
      <c r="N145" s="13"/>
      <c r="O145" s="85">
        <f t="shared" si="29"/>
        <v>0</v>
      </c>
      <c r="P145" s="13"/>
      <c r="Q145" s="85">
        <f t="shared" si="26"/>
        <v>0</v>
      </c>
      <c r="R145" s="13"/>
      <c r="S145" s="85">
        <f t="shared" si="27"/>
        <v>0</v>
      </c>
      <c r="T145" s="13"/>
      <c r="U145" s="85">
        <f t="shared" si="24"/>
        <v>0</v>
      </c>
      <c r="V145" s="155" t="s">
        <v>715</v>
      </c>
    </row>
    <row r="146" spans="1:22" s="148" customFormat="1" ht="64.5" customHeight="1">
      <c r="A146" s="61" t="str">
        <f ca="1">IF(ISERROR(MATCH(E146,Код_КЦСР,0)),"",INDIRECT(ADDRESS(MATCH(E146,Код_КЦСР,0)+1,2,,,"КЦСР")))</f>
        <v>Формирование положительного имиджа Череповца на внутреннем, межрегиональном и международном уровнях посредством проведения имиджевых мероприятий, стимулирующих формирование общественного мнения</v>
      </c>
      <c r="B146" s="145">
        <v>801</v>
      </c>
      <c r="C146" s="8" t="s">
        <v>213</v>
      </c>
      <c r="D146" s="8" t="s">
        <v>190</v>
      </c>
      <c r="E146" s="145" t="s">
        <v>143</v>
      </c>
      <c r="F146" s="145"/>
      <c r="G146" s="69">
        <f t="shared" ref="G146:T148" si="38">G147</f>
        <v>411.5</v>
      </c>
      <c r="H146" s="69">
        <f t="shared" si="38"/>
        <v>0</v>
      </c>
      <c r="I146" s="69">
        <f t="shared" si="30"/>
        <v>411.5</v>
      </c>
      <c r="J146" s="69">
        <f t="shared" si="38"/>
        <v>0</v>
      </c>
      <c r="K146" s="85">
        <f t="shared" si="31"/>
        <v>411.5</v>
      </c>
      <c r="L146" s="13">
        <f t="shared" si="38"/>
        <v>0</v>
      </c>
      <c r="M146" s="85">
        <f t="shared" si="28"/>
        <v>411.5</v>
      </c>
      <c r="N146" s="13">
        <f t="shared" si="38"/>
        <v>0</v>
      </c>
      <c r="O146" s="85">
        <f t="shared" si="29"/>
        <v>411.5</v>
      </c>
      <c r="P146" s="13">
        <f t="shared" si="38"/>
        <v>0</v>
      </c>
      <c r="Q146" s="85">
        <f t="shared" si="26"/>
        <v>411.5</v>
      </c>
      <c r="R146" s="13">
        <f t="shared" si="38"/>
        <v>59.5</v>
      </c>
      <c r="S146" s="85">
        <f t="shared" si="27"/>
        <v>471</v>
      </c>
      <c r="T146" s="13">
        <f t="shared" si="38"/>
        <v>0</v>
      </c>
      <c r="U146" s="85">
        <f t="shared" si="24"/>
        <v>471</v>
      </c>
    </row>
    <row r="147" spans="1:22" s="148" customFormat="1">
      <c r="A147" s="61" t="str">
        <f ca="1">IF(ISERROR(MATCH(F147,Код_КВР,0)),"",INDIRECT(ADDRESS(MATCH(F147,Код_КВР,0)+1,2,,,"КВР")))</f>
        <v>Закупка товаров, работ и услуг для муниципальных нужд</v>
      </c>
      <c r="B147" s="145">
        <v>801</v>
      </c>
      <c r="C147" s="8" t="s">
        <v>213</v>
      </c>
      <c r="D147" s="8" t="s">
        <v>190</v>
      </c>
      <c r="E147" s="145" t="s">
        <v>143</v>
      </c>
      <c r="F147" s="145">
        <v>200</v>
      </c>
      <c r="G147" s="69">
        <f t="shared" si="38"/>
        <v>411.5</v>
      </c>
      <c r="H147" s="69">
        <f t="shared" si="38"/>
        <v>0</v>
      </c>
      <c r="I147" s="69">
        <f t="shared" si="30"/>
        <v>411.5</v>
      </c>
      <c r="J147" s="69">
        <f t="shared" si="38"/>
        <v>0</v>
      </c>
      <c r="K147" s="85">
        <f t="shared" si="31"/>
        <v>411.5</v>
      </c>
      <c r="L147" s="13">
        <f t="shared" si="38"/>
        <v>0</v>
      </c>
      <c r="M147" s="85">
        <f t="shared" si="28"/>
        <v>411.5</v>
      </c>
      <c r="N147" s="13">
        <f t="shared" si="38"/>
        <v>0</v>
      </c>
      <c r="O147" s="85">
        <f t="shared" si="29"/>
        <v>411.5</v>
      </c>
      <c r="P147" s="13">
        <f t="shared" si="38"/>
        <v>0</v>
      </c>
      <c r="Q147" s="85">
        <f t="shared" si="26"/>
        <v>411.5</v>
      </c>
      <c r="R147" s="13">
        <f t="shared" si="38"/>
        <v>59.5</v>
      </c>
      <c r="S147" s="85">
        <f t="shared" si="27"/>
        <v>471</v>
      </c>
      <c r="T147" s="13">
        <f t="shared" si="38"/>
        <v>0</v>
      </c>
      <c r="U147" s="85">
        <f t="shared" si="24"/>
        <v>471</v>
      </c>
    </row>
    <row r="148" spans="1:22" s="148" customFormat="1" ht="33">
      <c r="A148" s="61" t="str">
        <f ca="1">IF(ISERROR(MATCH(F148,Код_КВР,0)),"",INDIRECT(ADDRESS(MATCH(F148,Код_КВР,0)+1,2,,,"КВР")))</f>
        <v>Иные закупки товаров, работ и услуг для обеспечения муниципальных нужд</v>
      </c>
      <c r="B148" s="145">
        <v>801</v>
      </c>
      <c r="C148" s="8" t="s">
        <v>213</v>
      </c>
      <c r="D148" s="8" t="s">
        <v>190</v>
      </c>
      <c r="E148" s="145" t="s">
        <v>143</v>
      </c>
      <c r="F148" s="145">
        <v>240</v>
      </c>
      <c r="G148" s="69">
        <f t="shared" si="38"/>
        <v>411.5</v>
      </c>
      <c r="H148" s="69">
        <f t="shared" si="38"/>
        <v>0</v>
      </c>
      <c r="I148" s="69">
        <f t="shared" si="30"/>
        <v>411.5</v>
      </c>
      <c r="J148" s="69">
        <f t="shared" si="38"/>
        <v>0</v>
      </c>
      <c r="K148" s="85">
        <f t="shared" si="31"/>
        <v>411.5</v>
      </c>
      <c r="L148" s="13">
        <f t="shared" si="38"/>
        <v>0</v>
      </c>
      <c r="M148" s="85">
        <f t="shared" si="28"/>
        <v>411.5</v>
      </c>
      <c r="N148" s="13">
        <f t="shared" si="38"/>
        <v>0</v>
      </c>
      <c r="O148" s="85">
        <f t="shared" si="29"/>
        <v>411.5</v>
      </c>
      <c r="P148" s="13">
        <f t="shared" si="38"/>
        <v>0</v>
      </c>
      <c r="Q148" s="85">
        <f t="shared" si="26"/>
        <v>411.5</v>
      </c>
      <c r="R148" s="13">
        <f t="shared" si="38"/>
        <v>59.5</v>
      </c>
      <c r="S148" s="85">
        <f t="shared" si="27"/>
        <v>471</v>
      </c>
      <c r="T148" s="13">
        <f t="shared" si="38"/>
        <v>0</v>
      </c>
      <c r="U148" s="85">
        <f t="shared" si="24"/>
        <v>471</v>
      </c>
    </row>
    <row r="149" spans="1:22" s="148" customFormat="1" ht="33">
      <c r="A149" s="61" t="str">
        <f ca="1">IF(ISERROR(MATCH(F149,Код_КВР,0)),"",INDIRECT(ADDRESS(MATCH(F149,Код_КВР,0)+1,2,,,"КВР")))</f>
        <v xml:space="preserve">Прочая закупка товаров, работ и услуг для обеспечения муниципальных нужд         </v>
      </c>
      <c r="B149" s="145">
        <v>801</v>
      </c>
      <c r="C149" s="8" t="s">
        <v>213</v>
      </c>
      <c r="D149" s="8" t="s">
        <v>190</v>
      </c>
      <c r="E149" s="145" t="s">
        <v>143</v>
      </c>
      <c r="F149" s="145">
        <v>244</v>
      </c>
      <c r="G149" s="69">
        <v>411.5</v>
      </c>
      <c r="H149" s="69"/>
      <c r="I149" s="69">
        <f t="shared" si="30"/>
        <v>411.5</v>
      </c>
      <c r="J149" s="69"/>
      <c r="K149" s="85">
        <f t="shared" si="31"/>
        <v>411.5</v>
      </c>
      <c r="L149" s="13"/>
      <c r="M149" s="85">
        <f t="shared" si="28"/>
        <v>411.5</v>
      </c>
      <c r="N149" s="13"/>
      <c r="O149" s="85">
        <f t="shared" si="29"/>
        <v>411.5</v>
      </c>
      <c r="P149" s="13"/>
      <c r="Q149" s="85">
        <f t="shared" si="26"/>
        <v>411.5</v>
      </c>
      <c r="R149" s="13">
        <f>11.5+48</f>
        <v>59.5</v>
      </c>
      <c r="S149" s="85">
        <f t="shared" si="27"/>
        <v>471</v>
      </c>
      <c r="T149" s="13"/>
      <c r="U149" s="85">
        <f t="shared" si="24"/>
        <v>471</v>
      </c>
    </row>
    <row r="150" spans="1:22" s="148" customFormat="1" ht="65.25" customHeight="1">
      <c r="A150" s="61" t="str">
        <f ca="1">IF(ISERROR(MATCH(E150,Код_КЦСР,0)),"",INDIRECT(ADDRESS(MATCH(E150,Код_КЦСР,0)+1,2,,,"КЦСР")))</f>
        <v>Формирование положительного имиджа Череповца на внутреннем, межрегиональном и международном уровнях посредством формирования презентационных пакетов, соответствующих Стандарту качества презентационных пакетов</v>
      </c>
      <c r="B150" s="145">
        <v>801</v>
      </c>
      <c r="C150" s="8" t="s">
        <v>213</v>
      </c>
      <c r="D150" s="8" t="s">
        <v>190</v>
      </c>
      <c r="E150" s="145" t="s">
        <v>144</v>
      </c>
      <c r="F150" s="145"/>
      <c r="G150" s="69">
        <f t="shared" ref="G150:T152" si="39">G151</f>
        <v>720</v>
      </c>
      <c r="H150" s="69">
        <f t="shared" si="39"/>
        <v>0</v>
      </c>
      <c r="I150" s="69">
        <f t="shared" si="30"/>
        <v>720</v>
      </c>
      <c r="J150" s="69">
        <f t="shared" si="39"/>
        <v>0</v>
      </c>
      <c r="K150" s="85">
        <f t="shared" si="31"/>
        <v>720</v>
      </c>
      <c r="L150" s="13">
        <f t="shared" si="39"/>
        <v>0</v>
      </c>
      <c r="M150" s="85">
        <f t="shared" si="28"/>
        <v>720</v>
      </c>
      <c r="N150" s="13">
        <f t="shared" si="39"/>
        <v>205.6</v>
      </c>
      <c r="O150" s="85">
        <f t="shared" si="29"/>
        <v>925.6</v>
      </c>
      <c r="P150" s="13">
        <f t="shared" si="39"/>
        <v>0</v>
      </c>
      <c r="Q150" s="85">
        <f t="shared" si="26"/>
        <v>925.6</v>
      </c>
      <c r="R150" s="13">
        <f t="shared" si="39"/>
        <v>115.2</v>
      </c>
      <c r="S150" s="85">
        <f t="shared" si="27"/>
        <v>1040.8</v>
      </c>
      <c r="T150" s="13">
        <f t="shared" si="39"/>
        <v>0</v>
      </c>
      <c r="U150" s="85">
        <f t="shared" si="24"/>
        <v>1040.8</v>
      </c>
    </row>
    <row r="151" spans="1:22" s="148" customFormat="1">
      <c r="A151" s="61" t="str">
        <f ca="1">IF(ISERROR(MATCH(F151,Код_КВР,0)),"",INDIRECT(ADDRESS(MATCH(F151,Код_КВР,0)+1,2,,,"КВР")))</f>
        <v>Закупка товаров, работ и услуг для муниципальных нужд</v>
      </c>
      <c r="B151" s="145">
        <v>801</v>
      </c>
      <c r="C151" s="8" t="s">
        <v>213</v>
      </c>
      <c r="D151" s="8" t="s">
        <v>190</v>
      </c>
      <c r="E151" s="145" t="s">
        <v>144</v>
      </c>
      <c r="F151" s="145">
        <v>200</v>
      </c>
      <c r="G151" s="69">
        <f t="shared" si="39"/>
        <v>720</v>
      </c>
      <c r="H151" s="69">
        <f t="shared" si="39"/>
        <v>0</v>
      </c>
      <c r="I151" s="69">
        <f t="shared" si="30"/>
        <v>720</v>
      </c>
      <c r="J151" s="69">
        <f t="shared" si="39"/>
        <v>0</v>
      </c>
      <c r="K151" s="85">
        <f t="shared" si="31"/>
        <v>720</v>
      </c>
      <c r="L151" s="13">
        <f t="shared" si="39"/>
        <v>0</v>
      </c>
      <c r="M151" s="85">
        <f t="shared" si="28"/>
        <v>720</v>
      </c>
      <c r="N151" s="13">
        <f t="shared" si="39"/>
        <v>205.6</v>
      </c>
      <c r="O151" s="85">
        <f t="shared" si="29"/>
        <v>925.6</v>
      </c>
      <c r="P151" s="13">
        <f t="shared" si="39"/>
        <v>0</v>
      </c>
      <c r="Q151" s="85">
        <f t="shared" si="26"/>
        <v>925.6</v>
      </c>
      <c r="R151" s="13">
        <f t="shared" si="39"/>
        <v>115.2</v>
      </c>
      <c r="S151" s="85">
        <f t="shared" si="27"/>
        <v>1040.8</v>
      </c>
      <c r="T151" s="13">
        <f t="shared" si="39"/>
        <v>0</v>
      </c>
      <c r="U151" s="85">
        <f t="shared" si="24"/>
        <v>1040.8</v>
      </c>
    </row>
    <row r="152" spans="1:22" s="148" customFormat="1" ht="33">
      <c r="A152" s="61" t="str">
        <f ca="1">IF(ISERROR(MATCH(F152,Код_КВР,0)),"",INDIRECT(ADDRESS(MATCH(F152,Код_КВР,0)+1,2,,,"КВР")))</f>
        <v>Иные закупки товаров, работ и услуг для обеспечения муниципальных нужд</v>
      </c>
      <c r="B152" s="145">
        <v>801</v>
      </c>
      <c r="C152" s="8" t="s">
        <v>213</v>
      </c>
      <c r="D152" s="8" t="s">
        <v>190</v>
      </c>
      <c r="E152" s="145" t="s">
        <v>144</v>
      </c>
      <c r="F152" s="145">
        <v>240</v>
      </c>
      <c r="G152" s="69">
        <f t="shared" si="39"/>
        <v>720</v>
      </c>
      <c r="H152" s="69">
        <f t="shared" si="39"/>
        <v>0</v>
      </c>
      <c r="I152" s="69">
        <f t="shared" si="30"/>
        <v>720</v>
      </c>
      <c r="J152" s="69">
        <f t="shared" si="39"/>
        <v>0</v>
      </c>
      <c r="K152" s="85">
        <f t="shared" si="31"/>
        <v>720</v>
      </c>
      <c r="L152" s="13">
        <f t="shared" si="39"/>
        <v>0</v>
      </c>
      <c r="M152" s="85">
        <f t="shared" si="28"/>
        <v>720</v>
      </c>
      <c r="N152" s="13">
        <f t="shared" si="39"/>
        <v>205.6</v>
      </c>
      <c r="O152" s="85">
        <f t="shared" si="29"/>
        <v>925.6</v>
      </c>
      <c r="P152" s="13">
        <f t="shared" si="39"/>
        <v>0</v>
      </c>
      <c r="Q152" s="85">
        <f t="shared" si="26"/>
        <v>925.6</v>
      </c>
      <c r="R152" s="13">
        <f t="shared" si="39"/>
        <v>115.2</v>
      </c>
      <c r="S152" s="85">
        <f t="shared" si="27"/>
        <v>1040.8</v>
      </c>
      <c r="T152" s="13">
        <f t="shared" si="39"/>
        <v>0</v>
      </c>
      <c r="U152" s="85">
        <f t="shared" si="24"/>
        <v>1040.8</v>
      </c>
    </row>
    <row r="153" spans="1:22" s="148" customFormat="1" ht="33">
      <c r="A153" s="61" t="str">
        <f ca="1">IF(ISERROR(MATCH(F153,Код_КВР,0)),"",INDIRECT(ADDRESS(MATCH(F153,Код_КВР,0)+1,2,,,"КВР")))</f>
        <v xml:space="preserve">Прочая закупка товаров, работ и услуг для обеспечения муниципальных нужд         </v>
      </c>
      <c r="B153" s="145">
        <v>801</v>
      </c>
      <c r="C153" s="8" t="s">
        <v>213</v>
      </c>
      <c r="D153" s="8" t="s">
        <v>190</v>
      </c>
      <c r="E153" s="145" t="s">
        <v>144</v>
      </c>
      <c r="F153" s="145">
        <v>244</v>
      </c>
      <c r="G153" s="69">
        <v>720</v>
      </c>
      <c r="H153" s="69"/>
      <c r="I153" s="69">
        <f t="shared" si="30"/>
        <v>720</v>
      </c>
      <c r="J153" s="69"/>
      <c r="K153" s="85">
        <f t="shared" si="31"/>
        <v>720</v>
      </c>
      <c r="L153" s="13"/>
      <c r="M153" s="85">
        <f t="shared" si="28"/>
        <v>720</v>
      </c>
      <c r="N153" s="13">
        <v>205.6</v>
      </c>
      <c r="O153" s="85">
        <f t="shared" si="29"/>
        <v>925.6</v>
      </c>
      <c r="P153" s="13"/>
      <c r="Q153" s="85">
        <f t="shared" si="26"/>
        <v>925.6</v>
      </c>
      <c r="R153" s="13">
        <v>115.2</v>
      </c>
      <c r="S153" s="85">
        <f t="shared" si="27"/>
        <v>1040.8</v>
      </c>
      <c r="T153" s="13"/>
      <c r="U153" s="85">
        <f t="shared" si="24"/>
        <v>1040.8</v>
      </c>
    </row>
    <row r="154" spans="1:22" s="148" customFormat="1" ht="35.25" customHeight="1">
      <c r="A154" s="61" t="str">
        <f ca="1">IF(ISERROR(MATCH(E154,Код_КЦСР,0)),"",INDIRECT(ADDRESS(MATCH(E154,Код_КЦСР,0)+1,2,,,"КЦСР")))</f>
        <v>Формирование положительного имиджа Череповца на межрегиональном уровне посредством участия города в деятельности союзов и ассоциаций</v>
      </c>
      <c r="B154" s="145">
        <v>801</v>
      </c>
      <c r="C154" s="8" t="s">
        <v>213</v>
      </c>
      <c r="D154" s="8" t="s">
        <v>190</v>
      </c>
      <c r="E154" s="145" t="s">
        <v>145</v>
      </c>
      <c r="F154" s="145"/>
      <c r="G154" s="69">
        <f t="shared" ref="G154:T156" si="40">G155</f>
        <v>479.7</v>
      </c>
      <c r="H154" s="69">
        <f t="shared" si="40"/>
        <v>0</v>
      </c>
      <c r="I154" s="69">
        <f t="shared" si="30"/>
        <v>479.7</v>
      </c>
      <c r="J154" s="69">
        <f t="shared" si="40"/>
        <v>0</v>
      </c>
      <c r="K154" s="85">
        <f t="shared" si="31"/>
        <v>479.7</v>
      </c>
      <c r="L154" s="13">
        <f t="shared" si="40"/>
        <v>0</v>
      </c>
      <c r="M154" s="85">
        <f t="shared" si="28"/>
        <v>479.7</v>
      </c>
      <c r="N154" s="13">
        <f t="shared" si="40"/>
        <v>0</v>
      </c>
      <c r="O154" s="85">
        <f t="shared" si="29"/>
        <v>479.7</v>
      </c>
      <c r="P154" s="13">
        <f t="shared" si="40"/>
        <v>0</v>
      </c>
      <c r="Q154" s="85">
        <f t="shared" si="26"/>
        <v>479.7</v>
      </c>
      <c r="R154" s="13">
        <f t="shared" si="40"/>
        <v>14.2</v>
      </c>
      <c r="S154" s="85">
        <f t="shared" si="27"/>
        <v>493.9</v>
      </c>
      <c r="T154" s="13">
        <f t="shared" si="40"/>
        <v>0</v>
      </c>
      <c r="U154" s="85">
        <f t="shared" ref="U154:U217" si="41">S154+T154</f>
        <v>493.9</v>
      </c>
    </row>
    <row r="155" spans="1:22" s="148" customFormat="1">
      <c r="A155" s="61" t="str">
        <f ca="1">IF(ISERROR(MATCH(F155,Код_КВР,0)),"",INDIRECT(ADDRESS(MATCH(F155,Код_КВР,0)+1,2,,,"КВР")))</f>
        <v>Иные бюджетные ассигнования</v>
      </c>
      <c r="B155" s="145">
        <v>801</v>
      </c>
      <c r="C155" s="8" t="s">
        <v>213</v>
      </c>
      <c r="D155" s="8" t="s">
        <v>190</v>
      </c>
      <c r="E155" s="145" t="s">
        <v>145</v>
      </c>
      <c r="F155" s="145">
        <v>800</v>
      </c>
      <c r="G155" s="69">
        <f t="shared" si="40"/>
        <v>479.7</v>
      </c>
      <c r="H155" s="69">
        <f t="shared" si="40"/>
        <v>0</v>
      </c>
      <c r="I155" s="69">
        <f t="shared" si="30"/>
        <v>479.7</v>
      </c>
      <c r="J155" s="69">
        <f t="shared" si="40"/>
        <v>0</v>
      </c>
      <c r="K155" s="85">
        <f t="shared" si="31"/>
        <v>479.7</v>
      </c>
      <c r="L155" s="13">
        <f t="shared" si="40"/>
        <v>0</v>
      </c>
      <c r="M155" s="85">
        <f t="shared" si="28"/>
        <v>479.7</v>
      </c>
      <c r="N155" s="13">
        <f t="shared" si="40"/>
        <v>0</v>
      </c>
      <c r="O155" s="85">
        <f t="shared" si="29"/>
        <v>479.7</v>
      </c>
      <c r="P155" s="13">
        <f t="shared" si="40"/>
        <v>0</v>
      </c>
      <c r="Q155" s="85">
        <f t="shared" si="26"/>
        <v>479.7</v>
      </c>
      <c r="R155" s="13">
        <f t="shared" si="40"/>
        <v>14.2</v>
      </c>
      <c r="S155" s="85">
        <f t="shared" si="27"/>
        <v>493.9</v>
      </c>
      <c r="T155" s="13">
        <f t="shared" si="40"/>
        <v>0</v>
      </c>
      <c r="U155" s="85">
        <f t="shared" si="41"/>
        <v>493.9</v>
      </c>
    </row>
    <row r="156" spans="1:22" s="148" customFormat="1">
      <c r="A156" s="61" t="str">
        <f ca="1">IF(ISERROR(MATCH(F156,Код_КВР,0)),"",INDIRECT(ADDRESS(MATCH(F156,Код_КВР,0)+1,2,,,"КВР")))</f>
        <v>Уплата налогов, сборов и иных платежей</v>
      </c>
      <c r="B156" s="145">
        <v>801</v>
      </c>
      <c r="C156" s="8" t="s">
        <v>213</v>
      </c>
      <c r="D156" s="8" t="s">
        <v>190</v>
      </c>
      <c r="E156" s="145" t="s">
        <v>145</v>
      </c>
      <c r="F156" s="145">
        <v>850</v>
      </c>
      <c r="G156" s="69">
        <f t="shared" si="40"/>
        <v>479.7</v>
      </c>
      <c r="H156" s="69">
        <f t="shared" si="40"/>
        <v>0</v>
      </c>
      <c r="I156" s="69">
        <f t="shared" si="30"/>
        <v>479.7</v>
      </c>
      <c r="J156" s="69">
        <f t="shared" si="40"/>
        <v>0</v>
      </c>
      <c r="K156" s="85">
        <f t="shared" si="31"/>
        <v>479.7</v>
      </c>
      <c r="L156" s="13">
        <f t="shared" si="40"/>
        <v>0</v>
      </c>
      <c r="M156" s="85">
        <f t="shared" si="28"/>
        <v>479.7</v>
      </c>
      <c r="N156" s="13">
        <f t="shared" si="40"/>
        <v>0</v>
      </c>
      <c r="O156" s="85">
        <f t="shared" si="29"/>
        <v>479.7</v>
      </c>
      <c r="P156" s="13">
        <f t="shared" si="40"/>
        <v>0</v>
      </c>
      <c r="Q156" s="85">
        <f t="shared" si="26"/>
        <v>479.7</v>
      </c>
      <c r="R156" s="13">
        <f t="shared" si="40"/>
        <v>14.2</v>
      </c>
      <c r="S156" s="85">
        <f t="shared" si="27"/>
        <v>493.9</v>
      </c>
      <c r="T156" s="13">
        <f t="shared" si="40"/>
        <v>0</v>
      </c>
      <c r="U156" s="85">
        <f t="shared" si="41"/>
        <v>493.9</v>
      </c>
    </row>
    <row r="157" spans="1:22" s="148" customFormat="1">
      <c r="A157" s="61" t="str">
        <f ca="1">IF(ISERROR(MATCH(F157,Код_КВР,0)),"",INDIRECT(ADDRESS(MATCH(F157,Код_КВР,0)+1,2,,,"КВР")))</f>
        <v>Уплата прочих налогов, сборов и иных платежей</v>
      </c>
      <c r="B157" s="145">
        <v>801</v>
      </c>
      <c r="C157" s="8" t="s">
        <v>213</v>
      </c>
      <c r="D157" s="8" t="s">
        <v>190</v>
      </c>
      <c r="E157" s="145" t="s">
        <v>145</v>
      </c>
      <c r="F157" s="145">
        <v>852</v>
      </c>
      <c r="G157" s="69">
        <v>479.7</v>
      </c>
      <c r="H157" s="69"/>
      <c r="I157" s="69">
        <f t="shared" si="30"/>
        <v>479.7</v>
      </c>
      <c r="J157" s="69"/>
      <c r="K157" s="85">
        <f t="shared" si="31"/>
        <v>479.7</v>
      </c>
      <c r="L157" s="13"/>
      <c r="M157" s="85">
        <f t="shared" si="28"/>
        <v>479.7</v>
      </c>
      <c r="N157" s="13"/>
      <c r="O157" s="85">
        <f t="shared" si="29"/>
        <v>479.7</v>
      </c>
      <c r="P157" s="13"/>
      <c r="Q157" s="85">
        <f t="shared" si="26"/>
        <v>479.7</v>
      </c>
      <c r="R157" s="13">
        <v>14.2</v>
      </c>
      <c r="S157" s="85">
        <f t="shared" si="27"/>
        <v>493.9</v>
      </c>
      <c r="T157" s="13"/>
      <c r="U157" s="85">
        <f t="shared" si="41"/>
        <v>493.9</v>
      </c>
    </row>
    <row r="158" spans="1:22" s="148" customFormat="1" ht="33">
      <c r="A158" s="61" t="str">
        <f ca="1">IF(ISERROR(MATCH(E158,Код_КЦСР,0)),"",INDIRECT(ADDRESS(MATCH(E158,Код_КЦСР,0)+1,2,,,"КЦСР")))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158" s="145">
        <v>801</v>
      </c>
      <c r="C158" s="8" t="s">
        <v>213</v>
      </c>
      <c r="D158" s="8" t="s">
        <v>190</v>
      </c>
      <c r="E158" s="145" t="s">
        <v>150</v>
      </c>
      <c r="F158" s="145"/>
      <c r="G158" s="69">
        <f t="shared" ref="G158:T162" si="42">G159</f>
        <v>20</v>
      </c>
      <c r="H158" s="69">
        <f t="shared" si="42"/>
        <v>0</v>
      </c>
      <c r="I158" s="69">
        <f t="shared" si="30"/>
        <v>20</v>
      </c>
      <c r="J158" s="69">
        <f t="shared" si="42"/>
        <v>0</v>
      </c>
      <c r="K158" s="85">
        <f t="shared" si="31"/>
        <v>20</v>
      </c>
      <c r="L158" s="13">
        <f t="shared" si="42"/>
        <v>0</v>
      </c>
      <c r="M158" s="85">
        <f t="shared" si="28"/>
        <v>20</v>
      </c>
      <c r="N158" s="13">
        <f t="shared" si="42"/>
        <v>0</v>
      </c>
      <c r="O158" s="85">
        <f t="shared" si="29"/>
        <v>20</v>
      </c>
      <c r="P158" s="13">
        <f t="shared" si="42"/>
        <v>0</v>
      </c>
      <c r="Q158" s="85">
        <f t="shared" si="26"/>
        <v>20</v>
      </c>
      <c r="R158" s="13">
        <f t="shared" si="42"/>
        <v>0</v>
      </c>
      <c r="S158" s="85">
        <f t="shared" si="27"/>
        <v>20</v>
      </c>
      <c r="T158" s="13">
        <f t="shared" si="42"/>
        <v>0</v>
      </c>
      <c r="U158" s="85">
        <f t="shared" si="41"/>
        <v>20</v>
      </c>
    </row>
    <row r="159" spans="1:22" s="148" customFormat="1" ht="22.5" customHeight="1">
      <c r="A159" s="61" t="str">
        <f ca="1">IF(ISERROR(MATCH(E159,Код_КЦСР,0)),"",INDIRECT(ADDRESS(MATCH(E159,Код_КЦСР,0)+1,2,,,"КЦСР")))</f>
        <v>Профилактика преступлений и иных правонарушений в городе Череповце</v>
      </c>
      <c r="B159" s="145">
        <v>801</v>
      </c>
      <c r="C159" s="8" t="s">
        <v>213</v>
      </c>
      <c r="D159" s="8" t="s">
        <v>190</v>
      </c>
      <c r="E159" s="145" t="s">
        <v>152</v>
      </c>
      <c r="F159" s="145"/>
      <c r="G159" s="69">
        <f t="shared" si="42"/>
        <v>20</v>
      </c>
      <c r="H159" s="69">
        <f t="shared" si="42"/>
        <v>0</v>
      </c>
      <c r="I159" s="69">
        <f t="shared" si="30"/>
        <v>20</v>
      </c>
      <c r="J159" s="69">
        <f t="shared" si="42"/>
        <v>0</v>
      </c>
      <c r="K159" s="85">
        <f t="shared" si="31"/>
        <v>20</v>
      </c>
      <c r="L159" s="13">
        <f t="shared" si="42"/>
        <v>0</v>
      </c>
      <c r="M159" s="85">
        <f t="shared" si="28"/>
        <v>20</v>
      </c>
      <c r="N159" s="13">
        <f t="shared" si="42"/>
        <v>0</v>
      </c>
      <c r="O159" s="85">
        <f t="shared" si="29"/>
        <v>20</v>
      </c>
      <c r="P159" s="13">
        <f t="shared" si="42"/>
        <v>0</v>
      </c>
      <c r="Q159" s="85">
        <f t="shared" si="26"/>
        <v>20</v>
      </c>
      <c r="R159" s="13">
        <f t="shared" si="42"/>
        <v>0</v>
      </c>
      <c r="S159" s="85">
        <f t="shared" si="27"/>
        <v>20</v>
      </c>
      <c r="T159" s="13">
        <f t="shared" si="42"/>
        <v>0</v>
      </c>
      <c r="U159" s="85">
        <f t="shared" si="41"/>
        <v>20</v>
      </c>
    </row>
    <row r="160" spans="1:22" s="148" customFormat="1">
      <c r="A160" s="61" t="str">
        <f ca="1">IF(ISERROR(MATCH(E160,Код_КЦСР,0)),"",INDIRECT(ADDRESS(MATCH(E160,Код_КЦСР,0)+1,2,,,"КЦСР")))</f>
        <v>Привлечение общественности к охране общественного порядка</v>
      </c>
      <c r="B160" s="145">
        <v>801</v>
      </c>
      <c r="C160" s="8" t="s">
        <v>213</v>
      </c>
      <c r="D160" s="8" t="s">
        <v>190</v>
      </c>
      <c r="E160" s="145" t="s">
        <v>154</v>
      </c>
      <c r="F160" s="145"/>
      <c r="G160" s="69">
        <f t="shared" si="42"/>
        <v>20</v>
      </c>
      <c r="H160" s="69">
        <f t="shared" si="42"/>
        <v>0</v>
      </c>
      <c r="I160" s="69">
        <f t="shared" si="30"/>
        <v>20</v>
      </c>
      <c r="J160" s="69">
        <f t="shared" si="42"/>
        <v>0</v>
      </c>
      <c r="K160" s="85">
        <f t="shared" si="31"/>
        <v>20</v>
      </c>
      <c r="L160" s="13">
        <f t="shared" si="42"/>
        <v>0</v>
      </c>
      <c r="M160" s="85">
        <f t="shared" si="28"/>
        <v>20</v>
      </c>
      <c r="N160" s="13">
        <f t="shared" si="42"/>
        <v>0</v>
      </c>
      <c r="O160" s="85">
        <f t="shared" si="29"/>
        <v>20</v>
      </c>
      <c r="P160" s="13">
        <f t="shared" si="42"/>
        <v>0</v>
      </c>
      <c r="Q160" s="85">
        <f t="shared" ref="Q160:Q223" si="43">O160+P160</f>
        <v>20</v>
      </c>
      <c r="R160" s="13">
        <f t="shared" si="42"/>
        <v>0</v>
      </c>
      <c r="S160" s="85">
        <f t="shared" ref="S160:S223" si="44">Q160+R160</f>
        <v>20</v>
      </c>
      <c r="T160" s="13">
        <f t="shared" si="42"/>
        <v>0</v>
      </c>
      <c r="U160" s="85">
        <f t="shared" si="41"/>
        <v>20</v>
      </c>
    </row>
    <row r="161" spans="1:21" s="148" customFormat="1">
      <c r="A161" s="61" t="str">
        <f ca="1">IF(ISERROR(MATCH(F161,Код_КВР,0)),"",INDIRECT(ADDRESS(MATCH(F161,Код_КВР,0)+1,2,,,"КВР")))</f>
        <v>Закупка товаров, работ и услуг для муниципальных нужд</v>
      </c>
      <c r="B161" s="145">
        <v>801</v>
      </c>
      <c r="C161" s="8" t="s">
        <v>213</v>
      </c>
      <c r="D161" s="8" t="s">
        <v>190</v>
      </c>
      <c r="E161" s="145" t="s">
        <v>154</v>
      </c>
      <c r="F161" s="145">
        <v>200</v>
      </c>
      <c r="G161" s="69">
        <f t="shared" si="42"/>
        <v>20</v>
      </c>
      <c r="H161" s="69">
        <f t="shared" si="42"/>
        <v>0</v>
      </c>
      <c r="I161" s="69">
        <f t="shared" si="30"/>
        <v>20</v>
      </c>
      <c r="J161" s="69">
        <f t="shared" si="42"/>
        <v>0</v>
      </c>
      <c r="K161" s="85">
        <f t="shared" si="31"/>
        <v>20</v>
      </c>
      <c r="L161" s="13">
        <f t="shared" si="42"/>
        <v>0</v>
      </c>
      <c r="M161" s="85">
        <f t="shared" si="28"/>
        <v>20</v>
      </c>
      <c r="N161" s="13">
        <f t="shared" si="42"/>
        <v>0</v>
      </c>
      <c r="O161" s="85">
        <f t="shared" si="29"/>
        <v>20</v>
      </c>
      <c r="P161" s="13">
        <f t="shared" si="42"/>
        <v>0</v>
      </c>
      <c r="Q161" s="85">
        <f t="shared" si="43"/>
        <v>20</v>
      </c>
      <c r="R161" s="13">
        <f t="shared" si="42"/>
        <v>0</v>
      </c>
      <c r="S161" s="85">
        <f t="shared" si="44"/>
        <v>20</v>
      </c>
      <c r="T161" s="13">
        <f t="shared" si="42"/>
        <v>0</v>
      </c>
      <c r="U161" s="85">
        <f t="shared" si="41"/>
        <v>20</v>
      </c>
    </row>
    <row r="162" spans="1:21" s="148" customFormat="1" ht="33">
      <c r="A162" s="61" t="str">
        <f ca="1">IF(ISERROR(MATCH(F162,Код_КВР,0)),"",INDIRECT(ADDRESS(MATCH(F162,Код_КВР,0)+1,2,,,"КВР")))</f>
        <v>Иные закупки товаров, работ и услуг для обеспечения муниципальных нужд</v>
      </c>
      <c r="B162" s="145">
        <v>801</v>
      </c>
      <c r="C162" s="8" t="s">
        <v>213</v>
      </c>
      <c r="D162" s="8" t="s">
        <v>190</v>
      </c>
      <c r="E162" s="145" t="s">
        <v>154</v>
      </c>
      <c r="F162" s="145">
        <v>240</v>
      </c>
      <c r="G162" s="69">
        <f t="shared" si="42"/>
        <v>20</v>
      </c>
      <c r="H162" s="69">
        <f t="shared" si="42"/>
        <v>0</v>
      </c>
      <c r="I162" s="69">
        <f t="shared" si="30"/>
        <v>20</v>
      </c>
      <c r="J162" s="69">
        <f t="shared" si="42"/>
        <v>0</v>
      </c>
      <c r="K162" s="85">
        <f t="shared" si="31"/>
        <v>20</v>
      </c>
      <c r="L162" s="13">
        <f t="shared" si="42"/>
        <v>0</v>
      </c>
      <c r="M162" s="85">
        <f t="shared" ref="M162:M229" si="45">K162+L162</f>
        <v>20</v>
      </c>
      <c r="N162" s="13">
        <f t="shared" si="42"/>
        <v>0</v>
      </c>
      <c r="O162" s="85">
        <f t="shared" ref="O162:O229" si="46">M162+N162</f>
        <v>20</v>
      </c>
      <c r="P162" s="13">
        <f t="shared" si="42"/>
        <v>0</v>
      </c>
      <c r="Q162" s="85">
        <f t="shared" si="43"/>
        <v>20</v>
      </c>
      <c r="R162" s="13">
        <f t="shared" si="42"/>
        <v>0</v>
      </c>
      <c r="S162" s="85">
        <f t="shared" si="44"/>
        <v>20</v>
      </c>
      <c r="T162" s="13">
        <f t="shared" si="42"/>
        <v>0</v>
      </c>
      <c r="U162" s="85">
        <f t="shared" si="41"/>
        <v>20</v>
      </c>
    </row>
    <row r="163" spans="1:21" s="148" customFormat="1" ht="33">
      <c r="A163" s="61" t="str">
        <f ca="1">IF(ISERROR(MATCH(F163,Код_КВР,0)),"",INDIRECT(ADDRESS(MATCH(F163,Код_КВР,0)+1,2,,,"КВР")))</f>
        <v xml:space="preserve">Прочая закупка товаров, работ и услуг для обеспечения муниципальных нужд         </v>
      </c>
      <c r="B163" s="145">
        <v>801</v>
      </c>
      <c r="C163" s="8" t="s">
        <v>213</v>
      </c>
      <c r="D163" s="8" t="s">
        <v>190</v>
      </c>
      <c r="E163" s="145" t="s">
        <v>154</v>
      </c>
      <c r="F163" s="145">
        <v>244</v>
      </c>
      <c r="G163" s="69">
        <v>20</v>
      </c>
      <c r="H163" s="69"/>
      <c r="I163" s="69">
        <f t="shared" si="30"/>
        <v>20</v>
      </c>
      <c r="J163" s="69"/>
      <c r="K163" s="85">
        <f t="shared" si="31"/>
        <v>20</v>
      </c>
      <c r="L163" s="13"/>
      <c r="M163" s="85">
        <f t="shared" si="45"/>
        <v>20</v>
      </c>
      <c r="N163" s="13"/>
      <c r="O163" s="85">
        <f t="shared" si="46"/>
        <v>20</v>
      </c>
      <c r="P163" s="13"/>
      <c r="Q163" s="85">
        <f t="shared" si="43"/>
        <v>20</v>
      </c>
      <c r="R163" s="13"/>
      <c r="S163" s="85">
        <f t="shared" si="44"/>
        <v>20</v>
      </c>
      <c r="T163" s="13"/>
      <c r="U163" s="85">
        <f t="shared" si="41"/>
        <v>20</v>
      </c>
    </row>
    <row r="164" spans="1:21" s="148" customFormat="1" ht="33">
      <c r="A164" s="61" t="str">
        <f ca="1">IF(ISERROR(MATCH(E164,Код_КЦСР,0)),"",INDIRECT(ADDRESS(MATCH(E164,Код_КЦСР,0)+1,2,,,"КЦСР")))</f>
        <v>Непрограммные направления деятельности органов местного самоуправления</v>
      </c>
      <c r="B164" s="145">
        <v>801</v>
      </c>
      <c r="C164" s="8" t="s">
        <v>213</v>
      </c>
      <c r="D164" s="8" t="s">
        <v>190</v>
      </c>
      <c r="E164" s="145" t="s">
        <v>299</v>
      </c>
      <c r="F164" s="145"/>
      <c r="G164" s="69">
        <f t="shared" ref="G164:T169" si="47">G165</f>
        <v>100</v>
      </c>
      <c r="H164" s="69">
        <f t="shared" si="47"/>
        <v>0</v>
      </c>
      <c r="I164" s="69">
        <f t="shared" si="30"/>
        <v>100</v>
      </c>
      <c r="J164" s="69">
        <f t="shared" si="47"/>
        <v>0</v>
      </c>
      <c r="K164" s="85">
        <f t="shared" si="31"/>
        <v>100</v>
      </c>
      <c r="L164" s="13">
        <f t="shared" si="47"/>
        <v>-50</v>
      </c>
      <c r="M164" s="85">
        <f t="shared" si="45"/>
        <v>50</v>
      </c>
      <c r="N164" s="13">
        <f t="shared" si="47"/>
        <v>0.5</v>
      </c>
      <c r="O164" s="85">
        <f t="shared" si="46"/>
        <v>50.5</v>
      </c>
      <c r="P164" s="13">
        <f t="shared" si="47"/>
        <v>0</v>
      </c>
      <c r="Q164" s="85">
        <f t="shared" si="43"/>
        <v>50.5</v>
      </c>
      <c r="R164" s="13">
        <f t="shared" si="47"/>
        <v>0</v>
      </c>
      <c r="S164" s="85">
        <f t="shared" si="44"/>
        <v>50.5</v>
      </c>
      <c r="T164" s="13">
        <f t="shared" si="47"/>
        <v>0</v>
      </c>
      <c r="U164" s="85">
        <f t="shared" si="41"/>
        <v>50.5</v>
      </c>
    </row>
    <row r="165" spans="1:21" s="148" customFormat="1">
      <c r="A165" s="61" t="str">
        <f ca="1">IF(ISERROR(MATCH(E165,Код_КЦСР,0)),"",INDIRECT(ADDRESS(MATCH(E165,Код_КЦСР,0)+1,2,,,"КЦСР")))</f>
        <v>Расходы, не включенные в муниципальные программы города Череповца</v>
      </c>
      <c r="B165" s="145">
        <v>801</v>
      </c>
      <c r="C165" s="8" t="s">
        <v>213</v>
      </c>
      <c r="D165" s="8" t="s">
        <v>190</v>
      </c>
      <c r="E165" s="145" t="s">
        <v>301</v>
      </c>
      <c r="F165" s="145"/>
      <c r="G165" s="69">
        <f t="shared" si="47"/>
        <v>100</v>
      </c>
      <c r="H165" s="69">
        <f t="shared" si="47"/>
        <v>0</v>
      </c>
      <c r="I165" s="69">
        <f t="shared" si="30"/>
        <v>100</v>
      </c>
      <c r="J165" s="69">
        <f t="shared" si="47"/>
        <v>0</v>
      </c>
      <c r="K165" s="85">
        <f t="shared" si="31"/>
        <v>100</v>
      </c>
      <c r="L165" s="13">
        <f t="shared" si="47"/>
        <v>-50</v>
      </c>
      <c r="M165" s="85">
        <f t="shared" si="45"/>
        <v>50</v>
      </c>
      <c r="N165" s="13">
        <f t="shared" si="47"/>
        <v>0.5</v>
      </c>
      <c r="O165" s="85">
        <f t="shared" si="46"/>
        <v>50.5</v>
      </c>
      <c r="P165" s="13">
        <f t="shared" si="47"/>
        <v>0</v>
      </c>
      <c r="Q165" s="85">
        <f t="shared" si="43"/>
        <v>50.5</v>
      </c>
      <c r="R165" s="13">
        <f t="shared" si="47"/>
        <v>0</v>
      </c>
      <c r="S165" s="85">
        <f t="shared" si="44"/>
        <v>50.5</v>
      </c>
      <c r="T165" s="13">
        <f t="shared" si="47"/>
        <v>0</v>
      </c>
      <c r="U165" s="85">
        <f t="shared" si="41"/>
        <v>50.5</v>
      </c>
    </row>
    <row r="166" spans="1:21" s="148" customFormat="1" ht="33">
      <c r="A166" s="61" t="str">
        <f ca="1">IF(ISERROR(MATCH(E166,Код_КЦСР,0)),"",INDIRECT(ADDRESS(MATCH(E166,Код_КЦСР,0)+1,2,,,"КЦСР")))</f>
        <v>Реализация функций органов местного самоуправления города, связанных с общегородским управлением</v>
      </c>
      <c r="B166" s="145">
        <v>801</v>
      </c>
      <c r="C166" s="8" t="s">
        <v>213</v>
      </c>
      <c r="D166" s="8" t="s">
        <v>190</v>
      </c>
      <c r="E166" s="145" t="s">
        <v>309</v>
      </c>
      <c r="F166" s="145"/>
      <c r="G166" s="69">
        <f t="shared" si="47"/>
        <v>100</v>
      </c>
      <c r="H166" s="69">
        <f t="shared" si="47"/>
        <v>0</v>
      </c>
      <c r="I166" s="69">
        <f t="shared" si="30"/>
        <v>100</v>
      </c>
      <c r="J166" s="69">
        <f t="shared" si="47"/>
        <v>0</v>
      </c>
      <c r="K166" s="85">
        <f t="shared" si="31"/>
        <v>100</v>
      </c>
      <c r="L166" s="13">
        <f t="shared" si="47"/>
        <v>-50</v>
      </c>
      <c r="M166" s="85">
        <f t="shared" si="45"/>
        <v>50</v>
      </c>
      <c r="N166" s="13">
        <f>N167+N171</f>
        <v>0.5</v>
      </c>
      <c r="O166" s="85">
        <f t="shared" si="46"/>
        <v>50.5</v>
      </c>
      <c r="P166" s="13">
        <f>P167+P171</f>
        <v>0</v>
      </c>
      <c r="Q166" s="85">
        <f t="shared" si="43"/>
        <v>50.5</v>
      </c>
      <c r="R166" s="13">
        <f>R167+R171</f>
        <v>0</v>
      </c>
      <c r="S166" s="85">
        <f t="shared" si="44"/>
        <v>50.5</v>
      </c>
      <c r="T166" s="13">
        <f>T167+T171</f>
        <v>0</v>
      </c>
      <c r="U166" s="85">
        <f t="shared" si="41"/>
        <v>50.5</v>
      </c>
    </row>
    <row r="167" spans="1:21" s="148" customFormat="1">
      <c r="A167" s="61" t="str">
        <f ca="1">IF(ISERROR(MATCH(E167,Код_КЦСР,0)),"",INDIRECT(ADDRESS(MATCH(E167,Код_КЦСР,0)+1,2,,,"КЦСР")))</f>
        <v>Расходы на судебные издержки и исполнение судебных решений</v>
      </c>
      <c r="B167" s="145">
        <v>801</v>
      </c>
      <c r="C167" s="8" t="s">
        <v>213</v>
      </c>
      <c r="D167" s="8" t="s">
        <v>190</v>
      </c>
      <c r="E167" s="145" t="s">
        <v>311</v>
      </c>
      <c r="F167" s="145"/>
      <c r="G167" s="69">
        <f t="shared" si="47"/>
        <v>100</v>
      </c>
      <c r="H167" s="69">
        <f t="shared" si="47"/>
        <v>0</v>
      </c>
      <c r="I167" s="69">
        <f t="shared" si="30"/>
        <v>100</v>
      </c>
      <c r="J167" s="69">
        <f t="shared" si="47"/>
        <v>0</v>
      </c>
      <c r="K167" s="85">
        <f t="shared" si="31"/>
        <v>100</v>
      </c>
      <c r="L167" s="13">
        <f t="shared" si="47"/>
        <v>-50</v>
      </c>
      <c r="M167" s="85">
        <f t="shared" si="45"/>
        <v>50</v>
      </c>
      <c r="N167" s="13">
        <f t="shared" si="47"/>
        <v>0</v>
      </c>
      <c r="O167" s="85">
        <f t="shared" si="46"/>
        <v>50</v>
      </c>
      <c r="P167" s="13">
        <f t="shared" si="47"/>
        <v>0</v>
      </c>
      <c r="Q167" s="85">
        <f t="shared" si="43"/>
        <v>50</v>
      </c>
      <c r="R167" s="13">
        <f t="shared" si="47"/>
        <v>0</v>
      </c>
      <c r="S167" s="85">
        <f t="shared" si="44"/>
        <v>50</v>
      </c>
      <c r="T167" s="13">
        <f t="shared" si="47"/>
        <v>0</v>
      </c>
      <c r="U167" s="85">
        <f t="shared" si="41"/>
        <v>50</v>
      </c>
    </row>
    <row r="168" spans="1:21" s="148" customFormat="1">
      <c r="A168" s="61" t="str">
        <f ca="1">IF(ISERROR(MATCH(F168,Код_КВР,0)),"",INDIRECT(ADDRESS(MATCH(F168,Код_КВР,0)+1,2,,,"КВР")))</f>
        <v>Иные бюджетные ассигнования</v>
      </c>
      <c r="B168" s="145">
        <v>801</v>
      </c>
      <c r="C168" s="8" t="s">
        <v>213</v>
      </c>
      <c r="D168" s="8" t="s">
        <v>190</v>
      </c>
      <c r="E168" s="145" t="s">
        <v>311</v>
      </c>
      <c r="F168" s="145">
        <v>800</v>
      </c>
      <c r="G168" s="69">
        <f t="shared" si="47"/>
        <v>100</v>
      </c>
      <c r="H168" s="69">
        <f t="shared" si="47"/>
        <v>0</v>
      </c>
      <c r="I168" s="69">
        <f t="shared" si="30"/>
        <v>100</v>
      </c>
      <c r="J168" s="69">
        <f t="shared" si="47"/>
        <v>0</v>
      </c>
      <c r="K168" s="85">
        <f t="shared" si="31"/>
        <v>100</v>
      </c>
      <c r="L168" s="13">
        <f t="shared" si="47"/>
        <v>-50</v>
      </c>
      <c r="M168" s="85">
        <f t="shared" si="45"/>
        <v>50</v>
      </c>
      <c r="N168" s="13">
        <f t="shared" si="47"/>
        <v>0</v>
      </c>
      <c r="O168" s="85">
        <f t="shared" si="46"/>
        <v>50</v>
      </c>
      <c r="P168" s="13">
        <f t="shared" si="47"/>
        <v>0</v>
      </c>
      <c r="Q168" s="85">
        <f t="shared" si="43"/>
        <v>50</v>
      </c>
      <c r="R168" s="13">
        <f t="shared" si="47"/>
        <v>0</v>
      </c>
      <c r="S168" s="85">
        <f t="shared" si="44"/>
        <v>50</v>
      </c>
      <c r="T168" s="13">
        <f t="shared" si="47"/>
        <v>0</v>
      </c>
      <c r="U168" s="85">
        <f t="shared" si="41"/>
        <v>50</v>
      </c>
    </row>
    <row r="169" spans="1:21" s="148" customFormat="1">
      <c r="A169" s="61" t="str">
        <f ca="1">IF(ISERROR(MATCH(F169,Код_КВР,0)),"",INDIRECT(ADDRESS(MATCH(F169,Код_КВР,0)+1,2,,,"КВР")))</f>
        <v>Исполнение судебных актов</v>
      </c>
      <c r="B169" s="145">
        <v>801</v>
      </c>
      <c r="C169" s="8" t="s">
        <v>213</v>
      </c>
      <c r="D169" s="8" t="s">
        <v>190</v>
      </c>
      <c r="E169" s="145" t="s">
        <v>311</v>
      </c>
      <c r="F169" s="145">
        <v>830</v>
      </c>
      <c r="G169" s="69">
        <f t="shared" si="47"/>
        <v>100</v>
      </c>
      <c r="H169" s="69">
        <f t="shared" si="47"/>
        <v>0</v>
      </c>
      <c r="I169" s="69">
        <f t="shared" si="30"/>
        <v>100</v>
      </c>
      <c r="J169" s="69">
        <f t="shared" si="47"/>
        <v>0</v>
      </c>
      <c r="K169" s="85">
        <f t="shared" si="31"/>
        <v>100</v>
      </c>
      <c r="L169" s="13">
        <f t="shared" si="47"/>
        <v>-50</v>
      </c>
      <c r="M169" s="85">
        <f t="shared" si="45"/>
        <v>50</v>
      </c>
      <c r="N169" s="13">
        <f t="shared" si="47"/>
        <v>0</v>
      </c>
      <c r="O169" s="85">
        <f t="shared" si="46"/>
        <v>50</v>
      </c>
      <c r="P169" s="13">
        <f t="shared" si="47"/>
        <v>0</v>
      </c>
      <c r="Q169" s="85">
        <f t="shared" si="43"/>
        <v>50</v>
      </c>
      <c r="R169" s="13">
        <f t="shared" si="47"/>
        <v>0</v>
      </c>
      <c r="S169" s="85">
        <f t="shared" si="44"/>
        <v>50</v>
      </c>
      <c r="T169" s="13">
        <f t="shared" si="47"/>
        <v>0</v>
      </c>
      <c r="U169" s="85">
        <f t="shared" si="41"/>
        <v>50</v>
      </c>
    </row>
    <row r="170" spans="1:21" s="148" customFormat="1" ht="82.5" customHeight="1">
      <c r="A170" s="61" t="str">
        <f ca="1">IF(ISERROR(MATCH(F170,Код_КВР,0)),"",INDIRECT(ADDRESS(MATCH(F170,Код_КВР,0)+1,2,,,"КВР")))</f>
        <v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v>
      </c>
      <c r="B170" s="145">
        <v>801</v>
      </c>
      <c r="C170" s="8" t="s">
        <v>213</v>
      </c>
      <c r="D170" s="8" t="s">
        <v>190</v>
      </c>
      <c r="E170" s="145" t="s">
        <v>311</v>
      </c>
      <c r="F170" s="145">
        <v>831</v>
      </c>
      <c r="G170" s="69">
        <v>100</v>
      </c>
      <c r="H170" s="69"/>
      <c r="I170" s="69">
        <f t="shared" si="30"/>
        <v>100</v>
      </c>
      <c r="J170" s="69"/>
      <c r="K170" s="85">
        <f t="shared" si="31"/>
        <v>100</v>
      </c>
      <c r="L170" s="13">
        <v>-50</v>
      </c>
      <c r="M170" s="85">
        <f t="shared" si="45"/>
        <v>50</v>
      </c>
      <c r="N170" s="13"/>
      <c r="O170" s="85">
        <f t="shared" si="46"/>
        <v>50</v>
      </c>
      <c r="P170" s="13"/>
      <c r="Q170" s="85">
        <f t="shared" si="43"/>
        <v>50</v>
      </c>
      <c r="R170" s="13"/>
      <c r="S170" s="85">
        <f t="shared" si="44"/>
        <v>50</v>
      </c>
      <c r="T170" s="13"/>
      <c r="U170" s="85">
        <f t="shared" si="41"/>
        <v>50</v>
      </c>
    </row>
    <row r="171" spans="1:21" s="148" customFormat="1" ht="22.5" customHeight="1">
      <c r="A171" s="61" t="str">
        <f ca="1">IF(ISERROR(MATCH(E171,Код_КЦСР,0)),"",INDIRECT(ADDRESS(MATCH(E171,Код_КЦСР,0)+1,2,,,"КЦСР")))</f>
        <v>Выполнение других обязательств органов местного самоуправления</v>
      </c>
      <c r="B171" s="145">
        <v>801</v>
      </c>
      <c r="C171" s="8" t="s">
        <v>213</v>
      </c>
      <c r="D171" s="8" t="s">
        <v>190</v>
      </c>
      <c r="E171" s="145" t="s">
        <v>313</v>
      </c>
      <c r="F171" s="145"/>
      <c r="G171" s="69"/>
      <c r="H171" s="69"/>
      <c r="I171" s="69"/>
      <c r="J171" s="69"/>
      <c r="K171" s="85"/>
      <c r="L171" s="13"/>
      <c r="M171" s="85"/>
      <c r="N171" s="13">
        <f>N172</f>
        <v>0.5</v>
      </c>
      <c r="O171" s="85">
        <f t="shared" si="46"/>
        <v>0.5</v>
      </c>
      <c r="P171" s="13">
        <f>P172</f>
        <v>0</v>
      </c>
      <c r="Q171" s="85">
        <f t="shared" si="43"/>
        <v>0.5</v>
      </c>
      <c r="R171" s="13">
        <f>R172</f>
        <v>0</v>
      </c>
      <c r="S171" s="85">
        <f t="shared" si="44"/>
        <v>0.5</v>
      </c>
      <c r="T171" s="13">
        <f>T172</f>
        <v>0</v>
      </c>
      <c r="U171" s="85">
        <f t="shared" si="41"/>
        <v>0.5</v>
      </c>
    </row>
    <row r="172" spans="1:21" s="148" customFormat="1">
      <c r="A172" s="61" t="str">
        <f ca="1">IF(ISERROR(MATCH(F172,Код_КВР,0)),"",INDIRECT(ADDRESS(MATCH(F172,Код_КВР,0)+1,2,,,"КВР")))</f>
        <v>Иные бюджетные ассигнования</v>
      </c>
      <c r="B172" s="145">
        <v>801</v>
      </c>
      <c r="C172" s="8" t="s">
        <v>213</v>
      </c>
      <c r="D172" s="8" t="s">
        <v>190</v>
      </c>
      <c r="E172" s="145" t="s">
        <v>313</v>
      </c>
      <c r="F172" s="145">
        <v>800</v>
      </c>
      <c r="G172" s="69"/>
      <c r="H172" s="69"/>
      <c r="I172" s="69"/>
      <c r="J172" s="69"/>
      <c r="K172" s="85"/>
      <c r="L172" s="13"/>
      <c r="M172" s="85"/>
      <c r="N172" s="13">
        <f>N173</f>
        <v>0.5</v>
      </c>
      <c r="O172" s="85">
        <f t="shared" si="46"/>
        <v>0.5</v>
      </c>
      <c r="P172" s="13">
        <f>P173</f>
        <v>0</v>
      </c>
      <c r="Q172" s="85">
        <f t="shared" si="43"/>
        <v>0.5</v>
      </c>
      <c r="R172" s="13">
        <f>R173</f>
        <v>0</v>
      </c>
      <c r="S172" s="85">
        <f t="shared" si="44"/>
        <v>0.5</v>
      </c>
      <c r="T172" s="13">
        <f>T173</f>
        <v>0</v>
      </c>
      <c r="U172" s="85">
        <f t="shared" si="41"/>
        <v>0.5</v>
      </c>
    </row>
    <row r="173" spans="1:21" s="148" customFormat="1">
      <c r="A173" s="61" t="str">
        <f ca="1">IF(ISERROR(MATCH(F173,Код_КВР,0)),"",INDIRECT(ADDRESS(MATCH(F173,Код_КВР,0)+1,2,,,"КВР")))</f>
        <v>Уплата налогов, сборов и иных платежей</v>
      </c>
      <c r="B173" s="145">
        <v>801</v>
      </c>
      <c r="C173" s="8" t="s">
        <v>213</v>
      </c>
      <c r="D173" s="8" t="s">
        <v>190</v>
      </c>
      <c r="E173" s="145" t="s">
        <v>313</v>
      </c>
      <c r="F173" s="145">
        <v>850</v>
      </c>
      <c r="G173" s="69"/>
      <c r="H173" s="69"/>
      <c r="I173" s="69"/>
      <c r="J173" s="69"/>
      <c r="K173" s="85"/>
      <c r="L173" s="13"/>
      <c r="M173" s="85"/>
      <c r="N173" s="13">
        <f>N174</f>
        <v>0.5</v>
      </c>
      <c r="O173" s="85">
        <f t="shared" si="46"/>
        <v>0.5</v>
      </c>
      <c r="P173" s="13">
        <f>P174</f>
        <v>0</v>
      </c>
      <c r="Q173" s="85">
        <f t="shared" si="43"/>
        <v>0.5</v>
      </c>
      <c r="R173" s="13">
        <f>R174</f>
        <v>0</v>
      </c>
      <c r="S173" s="85">
        <f t="shared" si="44"/>
        <v>0.5</v>
      </c>
      <c r="T173" s="13">
        <f>T174</f>
        <v>0</v>
      </c>
      <c r="U173" s="85">
        <f t="shared" si="41"/>
        <v>0.5</v>
      </c>
    </row>
    <row r="174" spans="1:21" s="148" customFormat="1">
      <c r="A174" s="61" t="str">
        <f ca="1">IF(ISERROR(MATCH(F174,Код_КВР,0)),"",INDIRECT(ADDRESS(MATCH(F174,Код_КВР,0)+1,2,,,"КВР")))</f>
        <v>Уплата налога на имущество организаций и земельного налога</v>
      </c>
      <c r="B174" s="145">
        <v>801</v>
      </c>
      <c r="C174" s="8" t="s">
        <v>213</v>
      </c>
      <c r="D174" s="8" t="s">
        <v>190</v>
      </c>
      <c r="E174" s="145" t="s">
        <v>313</v>
      </c>
      <c r="F174" s="145">
        <v>851</v>
      </c>
      <c r="G174" s="69"/>
      <c r="H174" s="69"/>
      <c r="I174" s="69"/>
      <c r="J174" s="69"/>
      <c r="K174" s="85"/>
      <c r="L174" s="13"/>
      <c r="M174" s="85"/>
      <c r="N174" s="13">
        <v>0.5</v>
      </c>
      <c r="O174" s="85">
        <f t="shared" si="46"/>
        <v>0.5</v>
      </c>
      <c r="P174" s="13"/>
      <c r="Q174" s="85">
        <f t="shared" si="43"/>
        <v>0.5</v>
      </c>
      <c r="R174" s="13"/>
      <c r="S174" s="85">
        <f t="shared" si="44"/>
        <v>0.5</v>
      </c>
      <c r="T174" s="13"/>
      <c r="U174" s="85">
        <f t="shared" si="41"/>
        <v>0.5</v>
      </c>
    </row>
    <row r="175" spans="1:21" s="148" customFormat="1">
      <c r="A175" s="61" t="str">
        <f ca="1">IF(ISERROR(MATCH(C175,Код_Раздел,0)),"",INDIRECT(ADDRESS(MATCH(C175,Код_Раздел,0)+1,2,,,"Раздел")))</f>
        <v>Национальная безопасность и правоохранительная  деятельность</v>
      </c>
      <c r="B175" s="145">
        <v>801</v>
      </c>
      <c r="C175" s="8" t="s">
        <v>215</v>
      </c>
      <c r="D175" s="8"/>
      <c r="E175" s="145"/>
      <c r="F175" s="145"/>
      <c r="G175" s="69">
        <f>G176</f>
        <v>59148.7</v>
      </c>
      <c r="H175" s="69">
        <f>H176</f>
        <v>0</v>
      </c>
      <c r="I175" s="69">
        <f t="shared" ref="I175:I249" si="48">G175+H175</f>
        <v>59148.7</v>
      </c>
      <c r="J175" s="69">
        <f>J176</f>
        <v>0</v>
      </c>
      <c r="K175" s="85">
        <f t="shared" ref="K175:K249" si="49">I175+J175</f>
        <v>59148.7</v>
      </c>
      <c r="L175" s="13">
        <f>L176</f>
        <v>-3441.5</v>
      </c>
      <c r="M175" s="85">
        <f t="shared" si="45"/>
        <v>55707.199999999997</v>
      </c>
      <c r="N175" s="13">
        <f>N176</f>
        <v>0</v>
      </c>
      <c r="O175" s="85">
        <f t="shared" si="46"/>
        <v>55707.199999999997</v>
      </c>
      <c r="P175" s="13">
        <f>P176</f>
        <v>0</v>
      </c>
      <c r="Q175" s="85">
        <f t="shared" si="43"/>
        <v>55707.199999999997</v>
      </c>
      <c r="R175" s="13">
        <f>R176</f>
        <v>80.099999999999994</v>
      </c>
      <c r="S175" s="85">
        <f t="shared" si="44"/>
        <v>55787.299999999996</v>
      </c>
      <c r="T175" s="13">
        <f>T176</f>
        <v>0</v>
      </c>
      <c r="U175" s="85">
        <f t="shared" si="41"/>
        <v>55787.299999999996</v>
      </c>
    </row>
    <row r="176" spans="1:21" s="148" customFormat="1" ht="33">
      <c r="A176" s="12" t="s">
        <v>262</v>
      </c>
      <c r="B176" s="145">
        <v>801</v>
      </c>
      <c r="C176" s="8" t="s">
        <v>215</v>
      </c>
      <c r="D176" s="8" t="s">
        <v>219</v>
      </c>
      <c r="E176" s="145"/>
      <c r="F176" s="145"/>
      <c r="G176" s="69">
        <f>G177+G186+G222</f>
        <v>59148.7</v>
      </c>
      <c r="H176" s="69">
        <f>H177+H186+H222</f>
        <v>0</v>
      </c>
      <c r="I176" s="69">
        <f t="shared" si="48"/>
        <v>59148.7</v>
      </c>
      <c r="J176" s="69">
        <f>J177+J186+J222</f>
        <v>0</v>
      </c>
      <c r="K176" s="85">
        <f t="shared" si="49"/>
        <v>59148.7</v>
      </c>
      <c r="L176" s="13">
        <f>L177+L186+L222</f>
        <v>-3441.5</v>
      </c>
      <c r="M176" s="85">
        <f t="shared" si="45"/>
        <v>55707.199999999997</v>
      </c>
      <c r="N176" s="13">
        <f>N177+N186+N222</f>
        <v>0</v>
      </c>
      <c r="O176" s="85">
        <f t="shared" si="46"/>
        <v>55707.199999999997</v>
      </c>
      <c r="P176" s="13">
        <f>P177+P186+P222</f>
        <v>0</v>
      </c>
      <c r="Q176" s="85">
        <f t="shared" si="43"/>
        <v>55707.199999999997</v>
      </c>
      <c r="R176" s="13">
        <f>R177+R186+R222</f>
        <v>80.099999999999994</v>
      </c>
      <c r="S176" s="85">
        <f t="shared" si="44"/>
        <v>55787.299999999996</v>
      </c>
      <c r="T176" s="13">
        <f>T177+T186+T222</f>
        <v>0</v>
      </c>
      <c r="U176" s="85">
        <f t="shared" si="41"/>
        <v>55787.299999999996</v>
      </c>
    </row>
    <row r="177" spans="1:22" s="148" customFormat="1">
      <c r="A177" s="61" t="str">
        <f ca="1">IF(ISERROR(MATCH(E177,Код_КЦСР,0)),"",INDIRECT(ADDRESS(MATCH(E177,Код_КЦСР,0)+1,2,,,"КЦСР")))</f>
        <v>Муниципальная программа «Здоровый город» на 2014-2022 годы</v>
      </c>
      <c r="B177" s="145">
        <v>801</v>
      </c>
      <c r="C177" s="8" t="s">
        <v>215</v>
      </c>
      <c r="D177" s="8" t="s">
        <v>219</v>
      </c>
      <c r="E177" s="145" t="s">
        <v>570</v>
      </c>
      <c r="F177" s="145"/>
      <c r="G177" s="69">
        <f>G178+G182</f>
        <v>77.900000000000006</v>
      </c>
      <c r="H177" s="69">
        <f>H178+H182</f>
        <v>0</v>
      </c>
      <c r="I177" s="69">
        <f t="shared" si="48"/>
        <v>77.900000000000006</v>
      </c>
      <c r="J177" s="69">
        <f>J178+J182</f>
        <v>0</v>
      </c>
      <c r="K177" s="85">
        <f t="shared" si="49"/>
        <v>77.900000000000006</v>
      </c>
      <c r="L177" s="13">
        <f>L178+L182</f>
        <v>0</v>
      </c>
      <c r="M177" s="85">
        <f t="shared" si="45"/>
        <v>77.900000000000006</v>
      </c>
      <c r="N177" s="13">
        <f>N178+N182</f>
        <v>0</v>
      </c>
      <c r="O177" s="85">
        <f t="shared" si="46"/>
        <v>77.900000000000006</v>
      </c>
      <c r="P177" s="13">
        <f>P178+P182</f>
        <v>0</v>
      </c>
      <c r="Q177" s="85">
        <f t="shared" si="43"/>
        <v>77.900000000000006</v>
      </c>
      <c r="R177" s="13">
        <f>R178+R182</f>
        <v>0</v>
      </c>
      <c r="S177" s="85">
        <f t="shared" si="44"/>
        <v>77.900000000000006</v>
      </c>
      <c r="T177" s="13">
        <f>T178+T182</f>
        <v>0</v>
      </c>
      <c r="U177" s="85">
        <f t="shared" si="41"/>
        <v>77.900000000000006</v>
      </c>
    </row>
    <row r="178" spans="1:22" s="148" customFormat="1">
      <c r="A178" s="61" t="str">
        <f ca="1">IF(ISERROR(MATCH(E178,Код_КЦСР,0)),"",INDIRECT(ADDRESS(MATCH(E178,Код_КЦСР,0)+1,2,,,"КЦСР")))</f>
        <v>Сохранение и укрепление здоровья детей и подростков</v>
      </c>
      <c r="B178" s="145">
        <v>801</v>
      </c>
      <c r="C178" s="8" t="s">
        <v>215</v>
      </c>
      <c r="D178" s="8" t="s">
        <v>219</v>
      </c>
      <c r="E178" s="145" t="s">
        <v>573</v>
      </c>
      <c r="F178" s="145"/>
      <c r="G178" s="69">
        <f t="shared" ref="G178:T180" si="50">G179</f>
        <v>77.900000000000006</v>
      </c>
      <c r="H178" s="69">
        <f t="shared" si="50"/>
        <v>0</v>
      </c>
      <c r="I178" s="69">
        <f t="shared" si="48"/>
        <v>77.900000000000006</v>
      </c>
      <c r="J178" s="69">
        <f t="shared" si="50"/>
        <v>0</v>
      </c>
      <c r="K178" s="85">
        <f t="shared" si="49"/>
        <v>77.900000000000006</v>
      </c>
      <c r="L178" s="13">
        <f t="shared" si="50"/>
        <v>0</v>
      </c>
      <c r="M178" s="85">
        <f t="shared" si="45"/>
        <v>77.900000000000006</v>
      </c>
      <c r="N178" s="13">
        <f t="shared" si="50"/>
        <v>0</v>
      </c>
      <c r="O178" s="85">
        <f t="shared" si="46"/>
        <v>77.900000000000006</v>
      </c>
      <c r="P178" s="13">
        <f t="shared" si="50"/>
        <v>0</v>
      </c>
      <c r="Q178" s="85">
        <f t="shared" si="43"/>
        <v>77.900000000000006</v>
      </c>
      <c r="R178" s="13">
        <f t="shared" si="50"/>
        <v>0</v>
      </c>
      <c r="S178" s="85">
        <f t="shared" si="44"/>
        <v>77.900000000000006</v>
      </c>
      <c r="T178" s="13">
        <f t="shared" si="50"/>
        <v>0</v>
      </c>
      <c r="U178" s="85">
        <f t="shared" si="41"/>
        <v>77.900000000000006</v>
      </c>
    </row>
    <row r="179" spans="1:22" s="148" customFormat="1">
      <c r="A179" s="61" t="str">
        <f ca="1">IF(ISERROR(MATCH(F179,Код_КВР,0)),"",INDIRECT(ADDRESS(MATCH(F179,Код_КВР,0)+1,2,,,"КВР")))</f>
        <v>Закупка товаров, работ и услуг для муниципальных нужд</v>
      </c>
      <c r="B179" s="145">
        <v>801</v>
      </c>
      <c r="C179" s="8" t="s">
        <v>215</v>
      </c>
      <c r="D179" s="8" t="s">
        <v>219</v>
      </c>
      <c r="E179" s="145" t="s">
        <v>573</v>
      </c>
      <c r="F179" s="145">
        <v>200</v>
      </c>
      <c r="G179" s="69">
        <f t="shared" si="50"/>
        <v>77.900000000000006</v>
      </c>
      <c r="H179" s="69">
        <f t="shared" si="50"/>
        <v>0</v>
      </c>
      <c r="I179" s="69">
        <f t="shared" si="48"/>
        <v>77.900000000000006</v>
      </c>
      <c r="J179" s="69">
        <f t="shared" si="50"/>
        <v>0</v>
      </c>
      <c r="K179" s="85">
        <f t="shared" si="49"/>
        <v>77.900000000000006</v>
      </c>
      <c r="L179" s="13">
        <f t="shared" si="50"/>
        <v>0</v>
      </c>
      <c r="M179" s="85">
        <f t="shared" si="45"/>
        <v>77.900000000000006</v>
      </c>
      <c r="N179" s="13">
        <f t="shared" si="50"/>
        <v>0</v>
      </c>
      <c r="O179" s="85">
        <f t="shared" si="46"/>
        <v>77.900000000000006</v>
      </c>
      <c r="P179" s="13">
        <f t="shared" si="50"/>
        <v>0</v>
      </c>
      <c r="Q179" s="85">
        <f t="shared" si="43"/>
        <v>77.900000000000006</v>
      </c>
      <c r="R179" s="13">
        <f t="shared" si="50"/>
        <v>0</v>
      </c>
      <c r="S179" s="85">
        <f t="shared" si="44"/>
        <v>77.900000000000006</v>
      </c>
      <c r="T179" s="13">
        <f t="shared" si="50"/>
        <v>0</v>
      </c>
      <c r="U179" s="85">
        <f t="shared" si="41"/>
        <v>77.900000000000006</v>
      </c>
    </row>
    <row r="180" spans="1:22" s="148" customFormat="1" ht="33">
      <c r="A180" s="61" t="str">
        <f ca="1">IF(ISERROR(MATCH(F180,Код_КВР,0)),"",INDIRECT(ADDRESS(MATCH(F180,Код_КВР,0)+1,2,,,"КВР")))</f>
        <v>Иные закупки товаров, работ и услуг для обеспечения муниципальных нужд</v>
      </c>
      <c r="B180" s="145">
        <v>801</v>
      </c>
      <c r="C180" s="8" t="s">
        <v>215</v>
      </c>
      <c r="D180" s="8" t="s">
        <v>219</v>
      </c>
      <c r="E180" s="145" t="s">
        <v>573</v>
      </c>
      <c r="F180" s="145">
        <v>240</v>
      </c>
      <c r="G180" s="69">
        <f t="shared" si="50"/>
        <v>77.900000000000006</v>
      </c>
      <c r="H180" s="69">
        <f t="shared" si="50"/>
        <v>0</v>
      </c>
      <c r="I180" s="69">
        <f t="shared" si="48"/>
        <v>77.900000000000006</v>
      </c>
      <c r="J180" s="69">
        <f t="shared" si="50"/>
        <v>0</v>
      </c>
      <c r="K180" s="85">
        <f t="shared" si="49"/>
        <v>77.900000000000006</v>
      </c>
      <c r="L180" s="13">
        <f t="shared" si="50"/>
        <v>0</v>
      </c>
      <c r="M180" s="85">
        <f t="shared" si="45"/>
        <v>77.900000000000006</v>
      </c>
      <c r="N180" s="13">
        <f t="shared" si="50"/>
        <v>0</v>
      </c>
      <c r="O180" s="85">
        <f t="shared" si="46"/>
        <v>77.900000000000006</v>
      </c>
      <c r="P180" s="13">
        <f t="shared" si="50"/>
        <v>0</v>
      </c>
      <c r="Q180" s="85">
        <f t="shared" si="43"/>
        <v>77.900000000000006</v>
      </c>
      <c r="R180" s="13">
        <f t="shared" si="50"/>
        <v>0</v>
      </c>
      <c r="S180" s="85">
        <f t="shared" si="44"/>
        <v>77.900000000000006</v>
      </c>
      <c r="T180" s="13">
        <f t="shared" si="50"/>
        <v>0</v>
      </c>
      <c r="U180" s="85">
        <f t="shared" si="41"/>
        <v>77.900000000000006</v>
      </c>
    </row>
    <row r="181" spans="1:22" s="148" customFormat="1" ht="33">
      <c r="A181" s="61" t="str">
        <f ca="1">IF(ISERROR(MATCH(F181,Код_КВР,0)),"",INDIRECT(ADDRESS(MATCH(F181,Код_КВР,0)+1,2,,,"КВР")))</f>
        <v xml:space="preserve">Прочая закупка товаров, работ и услуг для обеспечения муниципальных нужд         </v>
      </c>
      <c r="B181" s="145">
        <v>801</v>
      </c>
      <c r="C181" s="8" t="s">
        <v>215</v>
      </c>
      <c r="D181" s="8" t="s">
        <v>219</v>
      </c>
      <c r="E181" s="145" t="s">
        <v>573</v>
      </c>
      <c r="F181" s="145">
        <v>244</v>
      </c>
      <c r="G181" s="69">
        <v>77.900000000000006</v>
      </c>
      <c r="H181" s="69"/>
      <c r="I181" s="69">
        <f t="shared" si="48"/>
        <v>77.900000000000006</v>
      </c>
      <c r="J181" s="69"/>
      <c r="K181" s="85">
        <f t="shared" si="49"/>
        <v>77.900000000000006</v>
      </c>
      <c r="L181" s="13"/>
      <c r="M181" s="85">
        <f t="shared" si="45"/>
        <v>77.900000000000006</v>
      </c>
      <c r="N181" s="13"/>
      <c r="O181" s="85">
        <f t="shared" si="46"/>
        <v>77.900000000000006</v>
      </c>
      <c r="P181" s="13"/>
      <c r="Q181" s="85">
        <f t="shared" si="43"/>
        <v>77.900000000000006</v>
      </c>
      <c r="R181" s="13"/>
      <c r="S181" s="85">
        <f t="shared" si="44"/>
        <v>77.900000000000006</v>
      </c>
      <c r="T181" s="13"/>
      <c r="U181" s="85">
        <f t="shared" si="41"/>
        <v>77.900000000000006</v>
      </c>
    </row>
    <row r="182" spans="1:22" s="148" customFormat="1" hidden="1">
      <c r="A182" s="61" t="str">
        <f ca="1">IF(ISERROR(MATCH(E182,Код_КЦСР,0)),"",INDIRECT(ADDRESS(MATCH(E182,Код_КЦСР,0)+1,2,,,"КЦСР")))</f>
        <v>Здоровье на рабочем месте</v>
      </c>
      <c r="B182" s="145">
        <v>801</v>
      </c>
      <c r="C182" s="8" t="s">
        <v>215</v>
      </c>
      <c r="D182" s="8" t="s">
        <v>219</v>
      </c>
      <c r="E182" s="145" t="s">
        <v>578</v>
      </c>
      <c r="F182" s="145"/>
      <c r="G182" s="69">
        <f t="shared" ref="G182:T184" si="51">G183</f>
        <v>0</v>
      </c>
      <c r="H182" s="69">
        <f t="shared" si="51"/>
        <v>0</v>
      </c>
      <c r="I182" s="69">
        <f t="shared" si="48"/>
        <v>0</v>
      </c>
      <c r="J182" s="69">
        <f t="shared" si="51"/>
        <v>0</v>
      </c>
      <c r="K182" s="85">
        <f t="shared" si="49"/>
        <v>0</v>
      </c>
      <c r="L182" s="13">
        <f t="shared" si="51"/>
        <v>0</v>
      </c>
      <c r="M182" s="85">
        <f t="shared" si="45"/>
        <v>0</v>
      </c>
      <c r="N182" s="13">
        <f t="shared" si="51"/>
        <v>0</v>
      </c>
      <c r="O182" s="85">
        <f t="shared" si="46"/>
        <v>0</v>
      </c>
      <c r="P182" s="13">
        <f t="shared" si="51"/>
        <v>0</v>
      </c>
      <c r="Q182" s="85">
        <f t="shared" si="43"/>
        <v>0</v>
      </c>
      <c r="R182" s="13">
        <f t="shared" si="51"/>
        <v>0</v>
      </c>
      <c r="S182" s="85">
        <f t="shared" si="44"/>
        <v>0</v>
      </c>
      <c r="T182" s="13">
        <f t="shared" si="51"/>
        <v>0</v>
      </c>
      <c r="U182" s="85">
        <f t="shared" si="41"/>
        <v>0</v>
      </c>
      <c r="V182" s="155" t="s">
        <v>715</v>
      </c>
    </row>
    <row r="183" spans="1:22" s="148" customFormat="1" hidden="1">
      <c r="A183" s="61" t="str">
        <f ca="1">IF(ISERROR(MATCH(F183,Код_КВР,0)),"",INDIRECT(ADDRESS(MATCH(F183,Код_КВР,0)+1,2,,,"КВР")))</f>
        <v>Закупка товаров, работ и услуг для муниципальных нужд</v>
      </c>
      <c r="B183" s="145">
        <v>801</v>
      </c>
      <c r="C183" s="8" t="s">
        <v>215</v>
      </c>
      <c r="D183" s="8" t="s">
        <v>219</v>
      </c>
      <c r="E183" s="145" t="s">
        <v>578</v>
      </c>
      <c r="F183" s="145">
        <v>200</v>
      </c>
      <c r="G183" s="69">
        <f t="shared" si="51"/>
        <v>0</v>
      </c>
      <c r="H183" s="69">
        <f t="shared" si="51"/>
        <v>0</v>
      </c>
      <c r="I183" s="69">
        <f t="shared" si="48"/>
        <v>0</v>
      </c>
      <c r="J183" s="69">
        <f t="shared" si="51"/>
        <v>0</v>
      </c>
      <c r="K183" s="85">
        <f t="shared" si="49"/>
        <v>0</v>
      </c>
      <c r="L183" s="13">
        <f t="shared" si="51"/>
        <v>0</v>
      </c>
      <c r="M183" s="85">
        <f t="shared" si="45"/>
        <v>0</v>
      </c>
      <c r="N183" s="13">
        <f t="shared" si="51"/>
        <v>0</v>
      </c>
      <c r="O183" s="85">
        <f t="shared" si="46"/>
        <v>0</v>
      </c>
      <c r="P183" s="13">
        <f t="shared" si="51"/>
        <v>0</v>
      </c>
      <c r="Q183" s="85">
        <f t="shared" si="43"/>
        <v>0</v>
      </c>
      <c r="R183" s="13">
        <f t="shared" si="51"/>
        <v>0</v>
      </c>
      <c r="S183" s="85">
        <f t="shared" si="44"/>
        <v>0</v>
      </c>
      <c r="T183" s="13">
        <f t="shared" si="51"/>
        <v>0</v>
      </c>
      <c r="U183" s="85">
        <f t="shared" si="41"/>
        <v>0</v>
      </c>
      <c r="V183" s="155" t="s">
        <v>715</v>
      </c>
    </row>
    <row r="184" spans="1:22" s="148" customFormat="1" ht="33" hidden="1">
      <c r="A184" s="61" t="str">
        <f ca="1">IF(ISERROR(MATCH(F184,Код_КВР,0)),"",INDIRECT(ADDRESS(MATCH(F184,Код_КВР,0)+1,2,,,"КВР")))</f>
        <v>Иные закупки товаров, работ и услуг для обеспечения муниципальных нужд</v>
      </c>
      <c r="B184" s="145">
        <v>801</v>
      </c>
      <c r="C184" s="8" t="s">
        <v>215</v>
      </c>
      <c r="D184" s="8" t="s">
        <v>219</v>
      </c>
      <c r="E184" s="145" t="s">
        <v>578</v>
      </c>
      <c r="F184" s="145">
        <v>240</v>
      </c>
      <c r="G184" s="69">
        <f t="shared" si="51"/>
        <v>0</v>
      </c>
      <c r="H184" s="69">
        <f t="shared" si="51"/>
        <v>0</v>
      </c>
      <c r="I184" s="69">
        <f t="shared" si="48"/>
        <v>0</v>
      </c>
      <c r="J184" s="69">
        <f t="shared" si="51"/>
        <v>0</v>
      </c>
      <c r="K184" s="85">
        <f t="shared" si="49"/>
        <v>0</v>
      </c>
      <c r="L184" s="13">
        <f t="shared" si="51"/>
        <v>0</v>
      </c>
      <c r="M184" s="85">
        <f t="shared" si="45"/>
        <v>0</v>
      </c>
      <c r="N184" s="13">
        <f t="shared" si="51"/>
        <v>0</v>
      </c>
      <c r="O184" s="85">
        <f t="shared" si="46"/>
        <v>0</v>
      </c>
      <c r="P184" s="13">
        <f t="shared" si="51"/>
        <v>0</v>
      </c>
      <c r="Q184" s="85">
        <f t="shared" si="43"/>
        <v>0</v>
      </c>
      <c r="R184" s="13">
        <f t="shared" si="51"/>
        <v>0</v>
      </c>
      <c r="S184" s="85">
        <f t="shared" si="44"/>
        <v>0</v>
      </c>
      <c r="T184" s="13">
        <f t="shared" si="51"/>
        <v>0</v>
      </c>
      <c r="U184" s="85">
        <f t="shared" si="41"/>
        <v>0</v>
      </c>
      <c r="V184" s="155" t="s">
        <v>715</v>
      </c>
    </row>
    <row r="185" spans="1:22" s="148" customFormat="1" ht="33" hidden="1">
      <c r="A185" s="61" t="str">
        <f ca="1">IF(ISERROR(MATCH(F185,Код_КВР,0)),"",INDIRECT(ADDRESS(MATCH(F185,Код_КВР,0)+1,2,,,"КВР")))</f>
        <v xml:space="preserve">Прочая закупка товаров, работ и услуг для обеспечения муниципальных нужд         </v>
      </c>
      <c r="B185" s="145">
        <v>801</v>
      </c>
      <c r="C185" s="8" t="s">
        <v>215</v>
      </c>
      <c r="D185" s="8" t="s">
        <v>219</v>
      </c>
      <c r="E185" s="145" t="s">
        <v>578</v>
      </c>
      <c r="F185" s="145">
        <v>244</v>
      </c>
      <c r="G185" s="69">
        <v>0</v>
      </c>
      <c r="H185" s="69">
        <v>0</v>
      </c>
      <c r="I185" s="69">
        <f t="shared" si="48"/>
        <v>0</v>
      </c>
      <c r="J185" s="69">
        <v>0</v>
      </c>
      <c r="K185" s="85">
        <f t="shared" si="49"/>
        <v>0</v>
      </c>
      <c r="L185" s="13">
        <v>0</v>
      </c>
      <c r="M185" s="85">
        <f t="shared" si="45"/>
        <v>0</v>
      </c>
      <c r="N185" s="13">
        <v>0</v>
      </c>
      <c r="O185" s="85">
        <f t="shared" si="46"/>
        <v>0</v>
      </c>
      <c r="P185" s="13">
        <v>0</v>
      </c>
      <c r="Q185" s="85">
        <f t="shared" si="43"/>
        <v>0</v>
      </c>
      <c r="R185" s="13">
        <v>0</v>
      </c>
      <c r="S185" s="85">
        <f t="shared" si="44"/>
        <v>0</v>
      </c>
      <c r="T185" s="13">
        <v>0</v>
      </c>
      <c r="U185" s="85">
        <f t="shared" si="41"/>
        <v>0</v>
      </c>
      <c r="V185" s="155" t="s">
        <v>715</v>
      </c>
    </row>
    <row r="186" spans="1:22" s="148" customFormat="1" ht="33">
      <c r="A186" s="61" t="str">
        <f ca="1">IF(ISERROR(MATCH(E186,Код_КЦСР,0)),"",INDIRECT(ADDRESS(MATCH(E186,Код_КЦСР,0)+1,2,,,"КЦСР")))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186" s="145">
        <v>801</v>
      </c>
      <c r="C186" s="8" t="s">
        <v>215</v>
      </c>
      <c r="D186" s="8" t="s">
        <v>219</v>
      </c>
      <c r="E186" s="145" t="s">
        <v>79</v>
      </c>
      <c r="F186" s="145"/>
      <c r="G186" s="69">
        <f>G187+G192</f>
        <v>49656.6</v>
      </c>
      <c r="H186" s="69">
        <f>H187+H192</f>
        <v>0</v>
      </c>
      <c r="I186" s="69">
        <f t="shared" si="48"/>
        <v>49656.6</v>
      </c>
      <c r="J186" s="69">
        <f>J187+J192</f>
        <v>0</v>
      </c>
      <c r="K186" s="85">
        <f t="shared" si="49"/>
        <v>49656.6</v>
      </c>
      <c r="L186" s="13">
        <f>L187+L192</f>
        <v>-3424</v>
      </c>
      <c r="M186" s="85">
        <f t="shared" si="45"/>
        <v>46232.6</v>
      </c>
      <c r="N186" s="13">
        <f>N187+N192</f>
        <v>0</v>
      </c>
      <c r="O186" s="85">
        <f t="shared" si="46"/>
        <v>46232.6</v>
      </c>
      <c r="P186" s="13">
        <f>P187+P192</f>
        <v>0</v>
      </c>
      <c r="Q186" s="85">
        <f t="shared" si="43"/>
        <v>46232.6</v>
      </c>
      <c r="R186" s="13">
        <f>R187+R192</f>
        <v>80.099999999999994</v>
      </c>
      <c r="S186" s="85">
        <f t="shared" si="44"/>
        <v>46312.7</v>
      </c>
      <c r="T186" s="13">
        <f>T187+T192</f>
        <v>0</v>
      </c>
      <c r="U186" s="85">
        <f t="shared" si="41"/>
        <v>46312.7</v>
      </c>
    </row>
    <row r="187" spans="1:22" s="148" customFormat="1">
      <c r="A187" s="61" t="str">
        <f ca="1">IF(ISERROR(MATCH(E187,Код_КЦСР,0)),"",INDIRECT(ADDRESS(MATCH(E187,Код_КЦСР,0)+1,2,,,"КЦСР")))</f>
        <v>Обеспечение пожарной безопасности муниципальных учреждений города</v>
      </c>
      <c r="B187" s="145">
        <v>801</v>
      </c>
      <c r="C187" s="8" t="s">
        <v>215</v>
      </c>
      <c r="D187" s="8" t="s">
        <v>219</v>
      </c>
      <c r="E187" s="145" t="s">
        <v>81</v>
      </c>
      <c r="F187" s="145"/>
      <c r="G187" s="69">
        <f t="shared" ref="G187:T190" si="52">G188</f>
        <v>215</v>
      </c>
      <c r="H187" s="69">
        <f t="shared" si="52"/>
        <v>0</v>
      </c>
      <c r="I187" s="69">
        <f t="shared" si="48"/>
        <v>215</v>
      </c>
      <c r="J187" s="69">
        <f t="shared" si="52"/>
        <v>0</v>
      </c>
      <c r="K187" s="85">
        <f t="shared" si="49"/>
        <v>215</v>
      </c>
      <c r="L187" s="13">
        <f>L188</f>
        <v>0</v>
      </c>
      <c r="M187" s="85">
        <f t="shared" si="45"/>
        <v>215</v>
      </c>
      <c r="N187" s="13">
        <f>N188</f>
        <v>0</v>
      </c>
      <c r="O187" s="85">
        <f t="shared" si="46"/>
        <v>215</v>
      </c>
      <c r="P187" s="13">
        <f>P188</f>
        <v>0</v>
      </c>
      <c r="Q187" s="85">
        <f t="shared" si="43"/>
        <v>215</v>
      </c>
      <c r="R187" s="13">
        <f>R188</f>
        <v>0</v>
      </c>
      <c r="S187" s="85">
        <f t="shared" si="44"/>
        <v>215</v>
      </c>
      <c r="T187" s="13">
        <f>T188</f>
        <v>0</v>
      </c>
      <c r="U187" s="85">
        <f t="shared" si="41"/>
        <v>215</v>
      </c>
    </row>
    <row r="188" spans="1:22" s="148" customFormat="1" ht="49.5">
      <c r="A188" s="61" t="str">
        <f ca="1">IF(ISERROR(MATCH(E188,Код_КЦСР,0)),"",INDIRECT(ADDRESS(MATCH(E188,Код_КЦСР,0)+1,2,,,"КЦСР")))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188" s="145">
        <v>801</v>
      </c>
      <c r="C188" s="8" t="s">
        <v>215</v>
      </c>
      <c r="D188" s="8" t="s">
        <v>219</v>
      </c>
      <c r="E188" s="145" t="s">
        <v>83</v>
      </c>
      <c r="F188" s="145"/>
      <c r="G188" s="69">
        <f t="shared" si="52"/>
        <v>215</v>
      </c>
      <c r="H188" s="69">
        <f t="shared" si="52"/>
        <v>0</v>
      </c>
      <c r="I188" s="69">
        <f t="shared" si="48"/>
        <v>215</v>
      </c>
      <c r="J188" s="69">
        <f t="shared" si="52"/>
        <v>0</v>
      </c>
      <c r="K188" s="85">
        <f t="shared" si="49"/>
        <v>215</v>
      </c>
      <c r="L188" s="13">
        <f t="shared" si="52"/>
        <v>0</v>
      </c>
      <c r="M188" s="85">
        <f t="shared" si="45"/>
        <v>215</v>
      </c>
      <c r="N188" s="13">
        <f t="shared" si="52"/>
        <v>0</v>
      </c>
      <c r="O188" s="85">
        <f t="shared" si="46"/>
        <v>215</v>
      </c>
      <c r="P188" s="13">
        <f t="shared" si="52"/>
        <v>0</v>
      </c>
      <c r="Q188" s="85">
        <f t="shared" si="43"/>
        <v>215</v>
      </c>
      <c r="R188" s="13">
        <f t="shared" si="52"/>
        <v>0</v>
      </c>
      <c r="S188" s="85">
        <f t="shared" si="44"/>
        <v>215</v>
      </c>
      <c r="T188" s="13">
        <f t="shared" si="52"/>
        <v>0</v>
      </c>
      <c r="U188" s="85">
        <f t="shared" si="41"/>
        <v>215</v>
      </c>
    </row>
    <row r="189" spans="1:22" s="148" customFormat="1">
      <c r="A189" s="61" t="str">
        <f ca="1">IF(ISERROR(MATCH(F189,Код_КВР,0)),"",INDIRECT(ADDRESS(MATCH(F189,Код_КВР,0)+1,2,,,"КВР")))</f>
        <v>Закупка товаров, работ и услуг для муниципальных нужд</v>
      </c>
      <c r="B189" s="145">
        <v>801</v>
      </c>
      <c r="C189" s="8" t="s">
        <v>215</v>
      </c>
      <c r="D189" s="8" t="s">
        <v>219</v>
      </c>
      <c r="E189" s="145" t="s">
        <v>83</v>
      </c>
      <c r="F189" s="145">
        <v>200</v>
      </c>
      <c r="G189" s="69">
        <f t="shared" si="52"/>
        <v>215</v>
      </c>
      <c r="H189" s="69">
        <f t="shared" si="52"/>
        <v>0</v>
      </c>
      <c r="I189" s="69">
        <f t="shared" si="48"/>
        <v>215</v>
      </c>
      <c r="J189" s="69">
        <f t="shared" si="52"/>
        <v>0</v>
      </c>
      <c r="K189" s="85">
        <f t="shared" si="49"/>
        <v>215</v>
      </c>
      <c r="L189" s="13">
        <f t="shared" si="52"/>
        <v>0</v>
      </c>
      <c r="M189" s="85">
        <f t="shared" si="45"/>
        <v>215</v>
      </c>
      <c r="N189" s="13">
        <f t="shared" si="52"/>
        <v>0</v>
      </c>
      <c r="O189" s="85">
        <f t="shared" si="46"/>
        <v>215</v>
      </c>
      <c r="P189" s="13">
        <f t="shared" si="52"/>
        <v>0</v>
      </c>
      <c r="Q189" s="85">
        <f t="shared" si="43"/>
        <v>215</v>
      </c>
      <c r="R189" s="13">
        <f t="shared" si="52"/>
        <v>0</v>
      </c>
      <c r="S189" s="85">
        <f t="shared" si="44"/>
        <v>215</v>
      </c>
      <c r="T189" s="13">
        <f t="shared" si="52"/>
        <v>0</v>
      </c>
      <c r="U189" s="85">
        <f t="shared" si="41"/>
        <v>215</v>
      </c>
    </row>
    <row r="190" spans="1:22" s="148" customFormat="1" ht="33">
      <c r="A190" s="61" t="str">
        <f ca="1">IF(ISERROR(MATCH(F190,Код_КВР,0)),"",INDIRECT(ADDRESS(MATCH(F190,Код_КВР,0)+1,2,,,"КВР")))</f>
        <v>Иные закупки товаров, работ и услуг для обеспечения муниципальных нужд</v>
      </c>
      <c r="B190" s="145">
        <v>801</v>
      </c>
      <c r="C190" s="8" t="s">
        <v>215</v>
      </c>
      <c r="D190" s="8" t="s">
        <v>219</v>
      </c>
      <c r="E190" s="145" t="s">
        <v>83</v>
      </c>
      <c r="F190" s="145">
        <v>240</v>
      </c>
      <c r="G190" s="69">
        <f t="shared" si="52"/>
        <v>215</v>
      </c>
      <c r="H190" s="69">
        <f t="shared" si="52"/>
        <v>0</v>
      </c>
      <c r="I190" s="69">
        <f t="shared" si="48"/>
        <v>215</v>
      </c>
      <c r="J190" s="69">
        <f t="shared" si="52"/>
        <v>0</v>
      </c>
      <c r="K190" s="85">
        <f t="shared" si="49"/>
        <v>215</v>
      </c>
      <c r="L190" s="13">
        <f t="shared" si="52"/>
        <v>0</v>
      </c>
      <c r="M190" s="85">
        <f t="shared" si="45"/>
        <v>215</v>
      </c>
      <c r="N190" s="13">
        <f t="shared" si="52"/>
        <v>0</v>
      </c>
      <c r="O190" s="85">
        <f t="shared" si="46"/>
        <v>215</v>
      </c>
      <c r="P190" s="13">
        <f t="shared" si="52"/>
        <v>0</v>
      </c>
      <c r="Q190" s="85">
        <f t="shared" si="43"/>
        <v>215</v>
      </c>
      <c r="R190" s="13">
        <f t="shared" si="52"/>
        <v>0</v>
      </c>
      <c r="S190" s="85">
        <f t="shared" si="44"/>
        <v>215</v>
      </c>
      <c r="T190" s="13">
        <f t="shared" si="52"/>
        <v>0</v>
      </c>
      <c r="U190" s="85">
        <f t="shared" si="41"/>
        <v>215</v>
      </c>
    </row>
    <row r="191" spans="1:22" s="148" customFormat="1" ht="33">
      <c r="A191" s="61" t="str">
        <f ca="1">IF(ISERROR(MATCH(F191,Код_КВР,0)),"",INDIRECT(ADDRESS(MATCH(F191,Код_КВР,0)+1,2,,,"КВР")))</f>
        <v xml:space="preserve">Прочая закупка товаров, работ и услуг для обеспечения муниципальных нужд         </v>
      </c>
      <c r="B191" s="145">
        <v>801</v>
      </c>
      <c r="C191" s="8" t="s">
        <v>215</v>
      </c>
      <c r="D191" s="8" t="s">
        <v>219</v>
      </c>
      <c r="E191" s="145" t="s">
        <v>83</v>
      </c>
      <c r="F191" s="145">
        <v>244</v>
      </c>
      <c r="G191" s="69">
        <v>215</v>
      </c>
      <c r="H191" s="69"/>
      <c r="I191" s="69">
        <f t="shared" si="48"/>
        <v>215</v>
      </c>
      <c r="J191" s="69"/>
      <c r="K191" s="85">
        <f t="shared" si="49"/>
        <v>215</v>
      </c>
      <c r="L191" s="13"/>
      <c r="M191" s="85">
        <f t="shared" si="45"/>
        <v>215</v>
      </c>
      <c r="N191" s="13"/>
      <c r="O191" s="85">
        <f t="shared" si="46"/>
        <v>215</v>
      </c>
      <c r="P191" s="13"/>
      <c r="Q191" s="85">
        <f t="shared" si="43"/>
        <v>215</v>
      </c>
      <c r="R191" s="13"/>
      <c r="S191" s="85">
        <f t="shared" si="44"/>
        <v>215</v>
      </c>
      <c r="T191" s="13"/>
      <c r="U191" s="85">
        <f t="shared" si="41"/>
        <v>215</v>
      </c>
    </row>
    <row r="192" spans="1:22" s="148" customFormat="1" ht="33">
      <c r="A192" s="61" t="str">
        <f ca="1">IF(ISERROR(MATCH(E192,Код_КЦСР,0)),"",INDIRECT(ADDRESS(MATCH(E192,Код_КЦСР,0)+1,2,,,"КЦСР")))</f>
        <v>Снижение рисков и смягчение последствий чрезвычайных ситуаций природного и техногенного характера в городе</v>
      </c>
      <c r="B192" s="145">
        <v>801</v>
      </c>
      <c r="C192" s="8" t="s">
        <v>215</v>
      </c>
      <c r="D192" s="8" t="s">
        <v>219</v>
      </c>
      <c r="E192" s="145" t="s">
        <v>105</v>
      </c>
      <c r="F192" s="145"/>
      <c r="G192" s="69">
        <f>G193+G202+G206+G209</f>
        <v>49441.599999999999</v>
      </c>
      <c r="H192" s="69">
        <f>H193+H202+H206+H209</f>
        <v>0</v>
      </c>
      <c r="I192" s="69">
        <f t="shared" si="48"/>
        <v>49441.599999999999</v>
      </c>
      <c r="J192" s="69">
        <f>J193+J202+J206+J209</f>
        <v>0</v>
      </c>
      <c r="K192" s="85">
        <f t="shared" si="49"/>
        <v>49441.599999999999</v>
      </c>
      <c r="L192" s="13">
        <f>L193+L202+L206+L209</f>
        <v>-3424</v>
      </c>
      <c r="M192" s="85">
        <f t="shared" si="45"/>
        <v>46017.599999999999</v>
      </c>
      <c r="N192" s="13">
        <f>N193+N202+N206+N209</f>
        <v>0</v>
      </c>
      <c r="O192" s="85">
        <f t="shared" si="46"/>
        <v>46017.599999999999</v>
      </c>
      <c r="P192" s="13">
        <f>P193+P202+P206+P209</f>
        <v>0</v>
      </c>
      <c r="Q192" s="85">
        <f t="shared" si="43"/>
        <v>46017.599999999999</v>
      </c>
      <c r="R192" s="13">
        <f>R193+R202+R206+R209</f>
        <v>80.099999999999994</v>
      </c>
      <c r="S192" s="85">
        <f t="shared" si="44"/>
        <v>46097.7</v>
      </c>
      <c r="T192" s="13">
        <f>T193+T202+T206+T209</f>
        <v>0</v>
      </c>
      <c r="U192" s="85">
        <f t="shared" si="41"/>
        <v>46097.7</v>
      </c>
    </row>
    <row r="193" spans="1:22" s="148" customFormat="1" ht="33">
      <c r="A193" s="61" t="str">
        <f ca="1">IF(ISERROR(MATCH(E193,Код_КЦСР,0)),"",INDIRECT(ADDRESS(MATCH(E193,Код_КЦСР,0)+1,2,,,"КЦСР")))</f>
        <v>Оснащение аварийно-спасательных подразделений МБУ «СпаС» современными аварийно-спасательными средствами и инструментом</v>
      </c>
      <c r="B193" s="145">
        <v>801</v>
      </c>
      <c r="C193" s="8" t="s">
        <v>215</v>
      </c>
      <c r="D193" s="8" t="s">
        <v>219</v>
      </c>
      <c r="E193" s="145" t="s">
        <v>107</v>
      </c>
      <c r="F193" s="145"/>
      <c r="G193" s="69">
        <f>G194+G196</f>
        <v>881.7</v>
      </c>
      <c r="H193" s="69">
        <f>H194+H196</f>
        <v>0</v>
      </c>
      <c r="I193" s="69">
        <f t="shared" si="48"/>
        <v>881.7</v>
      </c>
      <c r="J193" s="69">
        <f>J194+J196+J199</f>
        <v>-653.30000000000007</v>
      </c>
      <c r="K193" s="85">
        <f t="shared" si="49"/>
        <v>228.39999999999998</v>
      </c>
      <c r="L193" s="13">
        <f>L194+L196+L199</f>
        <v>-44</v>
      </c>
      <c r="M193" s="85">
        <f t="shared" si="45"/>
        <v>184.39999999999998</v>
      </c>
      <c r="N193" s="13">
        <f>N194+N196+N199</f>
        <v>0</v>
      </c>
      <c r="O193" s="85">
        <f t="shared" si="46"/>
        <v>184.39999999999998</v>
      </c>
      <c r="P193" s="13">
        <f>P194+P196+P199</f>
        <v>0</v>
      </c>
      <c r="Q193" s="85">
        <f t="shared" si="43"/>
        <v>184.39999999999998</v>
      </c>
      <c r="R193" s="13">
        <f>R194+R196+R199</f>
        <v>0</v>
      </c>
      <c r="S193" s="85">
        <f>Q193+R193</f>
        <v>184.39999999999998</v>
      </c>
      <c r="T193" s="13">
        <f>T194+T196+T199</f>
        <v>0</v>
      </c>
      <c r="U193" s="85">
        <f t="shared" si="41"/>
        <v>184.39999999999998</v>
      </c>
    </row>
    <row r="194" spans="1:22" s="148" customFormat="1" ht="33" hidden="1">
      <c r="A194" s="61" t="str">
        <f t="shared" ref="A194:A201" ca="1" si="53">IF(ISERROR(MATCH(F194,Код_КВР,0)),"",INDIRECT(ADDRESS(MATCH(F194,Код_КВР,0)+1,2,,,"КВР")))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94" s="145">
        <v>801</v>
      </c>
      <c r="C194" s="8" t="s">
        <v>215</v>
      </c>
      <c r="D194" s="8" t="s">
        <v>219</v>
      </c>
      <c r="E194" s="145" t="s">
        <v>107</v>
      </c>
      <c r="F194" s="145">
        <v>100</v>
      </c>
      <c r="G194" s="69">
        <f>G195</f>
        <v>555</v>
      </c>
      <c r="H194" s="69">
        <f>H195</f>
        <v>0</v>
      </c>
      <c r="I194" s="69">
        <f t="shared" si="48"/>
        <v>555</v>
      </c>
      <c r="J194" s="69">
        <f>J195</f>
        <v>-555</v>
      </c>
      <c r="K194" s="85">
        <f t="shared" si="49"/>
        <v>0</v>
      </c>
      <c r="L194" s="13">
        <f>L195</f>
        <v>0</v>
      </c>
      <c r="M194" s="85">
        <f t="shared" si="45"/>
        <v>0</v>
      </c>
      <c r="N194" s="13">
        <f>N195</f>
        <v>0</v>
      </c>
      <c r="O194" s="85">
        <f t="shared" si="46"/>
        <v>0</v>
      </c>
      <c r="P194" s="13">
        <f>P195</f>
        <v>0</v>
      </c>
      <c r="Q194" s="85">
        <f t="shared" si="43"/>
        <v>0</v>
      </c>
      <c r="R194" s="13">
        <f>R195</f>
        <v>0</v>
      </c>
      <c r="S194" s="85">
        <f t="shared" si="44"/>
        <v>0</v>
      </c>
      <c r="T194" s="13">
        <f>T195</f>
        <v>0</v>
      </c>
      <c r="U194" s="85">
        <f t="shared" si="41"/>
        <v>0</v>
      </c>
      <c r="V194" s="155" t="s">
        <v>715</v>
      </c>
    </row>
    <row r="195" spans="1:22" s="148" customFormat="1" hidden="1">
      <c r="A195" s="61" t="str">
        <f t="shared" ca="1" si="53"/>
        <v>Расходы на выплаты персоналу казенных учреждений</v>
      </c>
      <c r="B195" s="145">
        <v>801</v>
      </c>
      <c r="C195" s="8" t="s">
        <v>215</v>
      </c>
      <c r="D195" s="8" t="s">
        <v>219</v>
      </c>
      <c r="E195" s="145" t="s">
        <v>107</v>
      </c>
      <c r="F195" s="145">
        <v>110</v>
      </c>
      <c r="G195" s="69">
        <v>555</v>
      </c>
      <c r="H195" s="69"/>
      <c r="I195" s="69">
        <f t="shared" si="48"/>
        <v>555</v>
      </c>
      <c r="J195" s="69">
        <v>-555</v>
      </c>
      <c r="K195" s="85">
        <f t="shared" si="49"/>
        <v>0</v>
      </c>
      <c r="L195" s="13"/>
      <c r="M195" s="85">
        <f t="shared" si="45"/>
        <v>0</v>
      </c>
      <c r="N195" s="13"/>
      <c r="O195" s="85">
        <f t="shared" si="46"/>
        <v>0</v>
      </c>
      <c r="P195" s="13"/>
      <c r="Q195" s="85">
        <f t="shared" si="43"/>
        <v>0</v>
      </c>
      <c r="R195" s="13"/>
      <c r="S195" s="85">
        <f t="shared" si="44"/>
        <v>0</v>
      </c>
      <c r="T195" s="13"/>
      <c r="U195" s="85">
        <f t="shared" si="41"/>
        <v>0</v>
      </c>
      <c r="V195" s="155" t="s">
        <v>715</v>
      </c>
    </row>
    <row r="196" spans="1:22" s="148" customFormat="1" hidden="1">
      <c r="A196" s="61" t="str">
        <f t="shared" ca="1" si="53"/>
        <v>Закупка товаров, работ и услуг для муниципальных нужд</v>
      </c>
      <c r="B196" s="145">
        <v>801</v>
      </c>
      <c r="C196" s="8" t="s">
        <v>215</v>
      </c>
      <c r="D196" s="8" t="s">
        <v>219</v>
      </c>
      <c r="E196" s="145" t="s">
        <v>107</v>
      </c>
      <c r="F196" s="145">
        <v>200</v>
      </c>
      <c r="G196" s="69">
        <f>G197</f>
        <v>326.7</v>
      </c>
      <c r="H196" s="69">
        <f>H197</f>
        <v>0</v>
      </c>
      <c r="I196" s="69">
        <f t="shared" si="48"/>
        <v>326.7</v>
      </c>
      <c r="J196" s="69">
        <f>J197</f>
        <v>-326.7</v>
      </c>
      <c r="K196" s="85">
        <f t="shared" si="49"/>
        <v>0</v>
      </c>
      <c r="L196" s="13">
        <f>L197</f>
        <v>0</v>
      </c>
      <c r="M196" s="85">
        <f t="shared" si="45"/>
        <v>0</v>
      </c>
      <c r="N196" s="13">
        <f>N197</f>
        <v>0</v>
      </c>
      <c r="O196" s="85">
        <f t="shared" si="46"/>
        <v>0</v>
      </c>
      <c r="P196" s="13">
        <f>P197</f>
        <v>0</v>
      </c>
      <c r="Q196" s="85">
        <f t="shared" si="43"/>
        <v>0</v>
      </c>
      <c r="R196" s="13">
        <f>R197</f>
        <v>0</v>
      </c>
      <c r="S196" s="85">
        <f t="shared" si="44"/>
        <v>0</v>
      </c>
      <c r="T196" s="13">
        <f>T197</f>
        <v>0</v>
      </c>
      <c r="U196" s="85">
        <f t="shared" si="41"/>
        <v>0</v>
      </c>
      <c r="V196" s="155" t="s">
        <v>715</v>
      </c>
    </row>
    <row r="197" spans="1:22" s="148" customFormat="1" ht="33" hidden="1">
      <c r="A197" s="61" t="str">
        <f t="shared" ca="1" si="53"/>
        <v>Иные закупки товаров, работ и услуг для обеспечения муниципальных нужд</v>
      </c>
      <c r="B197" s="145">
        <v>801</v>
      </c>
      <c r="C197" s="8" t="s">
        <v>215</v>
      </c>
      <c r="D197" s="8" t="s">
        <v>219</v>
      </c>
      <c r="E197" s="145" t="s">
        <v>107</v>
      </c>
      <c r="F197" s="145">
        <v>240</v>
      </c>
      <c r="G197" s="69">
        <f>G198</f>
        <v>326.7</v>
      </c>
      <c r="H197" s="69">
        <f>H198</f>
        <v>0</v>
      </c>
      <c r="I197" s="69">
        <f t="shared" si="48"/>
        <v>326.7</v>
      </c>
      <c r="J197" s="69">
        <f>J198</f>
        <v>-326.7</v>
      </c>
      <c r="K197" s="85">
        <f t="shared" si="49"/>
        <v>0</v>
      </c>
      <c r="L197" s="13">
        <f>L198</f>
        <v>0</v>
      </c>
      <c r="M197" s="85">
        <f t="shared" si="45"/>
        <v>0</v>
      </c>
      <c r="N197" s="13">
        <f>N198</f>
        <v>0</v>
      </c>
      <c r="O197" s="85">
        <f t="shared" si="46"/>
        <v>0</v>
      </c>
      <c r="P197" s="13">
        <f>P198</f>
        <v>0</v>
      </c>
      <c r="Q197" s="85">
        <f t="shared" si="43"/>
        <v>0</v>
      </c>
      <c r="R197" s="13">
        <f>R198</f>
        <v>0</v>
      </c>
      <c r="S197" s="85">
        <f t="shared" si="44"/>
        <v>0</v>
      </c>
      <c r="T197" s="13">
        <f>T198</f>
        <v>0</v>
      </c>
      <c r="U197" s="85">
        <f t="shared" si="41"/>
        <v>0</v>
      </c>
      <c r="V197" s="155" t="s">
        <v>715</v>
      </c>
    </row>
    <row r="198" spans="1:22" s="148" customFormat="1" ht="33" hidden="1">
      <c r="A198" s="61" t="str">
        <f t="shared" ca="1" si="53"/>
        <v xml:space="preserve">Прочая закупка товаров, работ и услуг для обеспечения муниципальных нужд         </v>
      </c>
      <c r="B198" s="145">
        <v>801</v>
      </c>
      <c r="C198" s="8" t="s">
        <v>215</v>
      </c>
      <c r="D198" s="8" t="s">
        <v>219</v>
      </c>
      <c r="E198" s="145" t="s">
        <v>107</v>
      </c>
      <c r="F198" s="145">
        <v>244</v>
      </c>
      <c r="G198" s="69">
        <v>326.7</v>
      </c>
      <c r="H198" s="69"/>
      <c r="I198" s="69">
        <f t="shared" si="48"/>
        <v>326.7</v>
      </c>
      <c r="J198" s="69">
        <v>-326.7</v>
      </c>
      <c r="K198" s="85">
        <f t="shared" si="49"/>
        <v>0</v>
      </c>
      <c r="L198" s="13"/>
      <c r="M198" s="85">
        <f t="shared" si="45"/>
        <v>0</v>
      </c>
      <c r="N198" s="13"/>
      <c r="O198" s="85">
        <f t="shared" si="46"/>
        <v>0</v>
      </c>
      <c r="P198" s="13"/>
      <c r="Q198" s="85">
        <f t="shared" si="43"/>
        <v>0</v>
      </c>
      <c r="R198" s="13"/>
      <c r="S198" s="85">
        <f t="shared" si="44"/>
        <v>0</v>
      </c>
      <c r="T198" s="13"/>
      <c r="U198" s="85">
        <f t="shared" si="41"/>
        <v>0</v>
      </c>
      <c r="V198" s="155" t="s">
        <v>715</v>
      </c>
    </row>
    <row r="199" spans="1:22" s="148" customFormat="1" ht="33">
      <c r="A199" s="61" t="str">
        <f t="shared" ca="1" si="53"/>
        <v>Предоставление субсидий бюджетным, автономным учреждениям и иным некоммерческим организациям</v>
      </c>
      <c r="B199" s="145">
        <v>801</v>
      </c>
      <c r="C199" s="8" t="s">
        <v>215</v>
      </c>
      <c r="D199" s="8" t="s">
        <v>219</v>
      </c>
      <c r="E199" s="145" t="s">
        <v>107</v>
      </c>
      <c r="F199" s="145">
        <v>600</v>
      </c>
      <c r="G199" s="69"/>
      <c r="H199" s="69"/>
      <c r="I199" s="69"/>
      <c r="J199" s="69">
        <f>J200</f>
        <v>228.4</v>
      </c>
      <c r="K199" s="85">
        <f t="shared" si="49"/>
        <v>228.4</v>
      </c>
      <c r="L199" s="13">
        <f>L200</f>
        <v>-44</v>
      </c>
      <c r="M199" s="85">
        <f t="shared" si="45"/>
        <v>184.4</v>
      </c>
      <c r="N199" s="13">
        <f>N200</f>
        <v>0</v>
      </c>
      <c r="O199" s="85">
        <f t="shared" si="46"/>
        <v>184.4</v>
      </c>
      <c r="P199" s="13">
        <f>P200</f>
        <v>0</v>
      </c>
      <c r="Q199" s="85">
        <f t="shared" si="43"/>
        <v>184.4</v>
      </c>
      <c r="R199" s="13">
        <f>R200</f>
        <v>0</v>
      </c>
      <c r="S199" s="85">
        <f t="shared" si="44"/>
        <v>184.4</v>
      </c>
      <c r="T199" s="13">
        <f>T200</f>
        <v>0</v>
      </c>
      <c r="U199" s="85">
        <f t="shared" si="41"/>
        <v>184.4</v>
      </c>
    </row>
    <row r="200" spans="1:22" s="148" customFormat="1">
      <c r="A200" s="61" t="str">
        <f t="shared" ca="1" si="53"/>
        <v>Субсидии бюджетным учреждениям</v>
      </c>
      <c r="B200" s="145">
        <v>801</v>
      </c>
      <c r="C200" s="8" t="s">
        <v>215</v>
      </c>
      <c r="D200" s="8" t="s">
        <v>219</v>
      </c>
      <c r="E200" s="145" t="s">
        <v>107</v>
      </c>
      <c r="F200" s="145">
        <v>610</v>
      </c>
      <c r="G200" s="69"/>
      <c r="H200" s="69"/>
      <c r="I200" s="69"/>
      <c r="J200" s="69">
        <f>J201</f>
        <v>228.4</v>
      </c>
      <c r="K200" s="85">
        <f t="shared" si="49"/>
        <v>228.4</v>
      </c>
      <c r="L200" s="13">
        <f>L201</f>
        <v>-44</v>
      </c>
      <c r="M200" s="85">
        <f t="shared" si="45"/>
        <v>184.4</v>
      </c>
      <c r="N200" s="13">
        <f>N201</f>
        <v>0</v>
      </c>
      <c r="O200" s="85">
        <f t="shared" si="46"/>
        <v>184.4</v>
      </c>
      <c r="P200" s="13">
        <f>P201</f>
        <v>0</v>
      </c>
      <c r="Q200" s="85">
        <f t="shared" si="43"/>
        <v>184.4</v>
      </c>
      <c r="R200" s="13">
        <f>R201</f>
        <v>0</v>
      </c>
      <c r="S200" s="85">
        <f t="shared" si="44"/>
        <v>184.4</v>
      </c>
      <c r="T200" s="13">
        <f>T201</f>
        <v>0</v>
      </c>
      <c r="U200" s="85">
        <f t="shared" si="41"/>
        <v>184.4</v>
      </c>
    </row>
    <row r="201" spans="1:22" s="148" customFormat="1">
      <c r="A201" s="61" t="str">
        <f t="shared" ca="1" si="53"/>
        <v>Субсидии бюджетным учреждениям на иные цели</v>
      </c>
      <c r="B201" s="145">
        <v>801</v>
      </c>
      <c r="C201" s="8" t="s">
        <v>215</v>
      </c>
      <c r="D201" s="8" t="s">
        <v>219</v>
      </c>
      <c r="E201" s="145" t="s">
        <v>107</v>
      </c>
      <c r="F201" s="145">
        <v>612</v>
      </c>
      <c r="G201" s="69"/>
      <c r="H201" s="69"/>
      <c r="I201" s="69"/>
      <c r="J201" s="69">
        <v>228.4</v>
      </c>
      <c r="K201" s="85">
        <f t="shared" si="49"/>
        <v>228.4</v>
      </c>
      <c r="L201" s="13">
        <v>-44</v>
      </c>
      <c r="M201" s="85">
        <f t="shared" si="45"/>
        <v>184.4</v>
      </c>
      <c r="N201" s="13"/>
      <c r="O201" s="85">
        <f t="shared" si="46"/>
        <v>184.4</v>
      </c>
      <c r="P201" s="13"/>
      <c r="Q201" s="85">
        <f t="shared" si="43"/>
        <v>184.4</v>
      </c>
      <c r="R201" s="13"/>
      <c r="S201" s="85">
        <f t="shared" si="44"/>
        <v>184.4</v>
      </c>
      <c r="T201" s="13"/>
      <c r="U201" s="85">
        <f t="shared" si="41"/>
        <v>184.4</v>
      </c>
    </row>
    <row r="202" spans="1:22" s="148" customFormat="1">
      <c r="A202" s="61" t="str">
        <f ca="1">IF(ISERROR(MATCH(E202,Код_КЦСР,0)),"",INDIRECT(ADDRESS(MATCH(E202,Код_КЦСР,0)+1,2,,,"КЦСР")))</f>
        <v>Приобретение лицензионного ПО, Крипто ПРО с лицензией СЭД</v>
      </c>
      <c r="B202" s="145">
        <v>801</v>
      </c>
      <c r="C202" s="8" t="s">
        <v>215</v>
      </c>
      <c r="D202" s="8" t="s">
        <v>219</v>
      </c>
      <c r="E202" s="145" t="s">
        <v>108</v>
      </c>
      <c r="F202" s="145"/>
      <c r="G202" s="69">
        <f t="shared" ref="G202:T204" si="54">G203</f>
        <v>354.6</v>
      </c>
      <c r="H202" s="69">
        <f t="shared" si="54"/>
        <v>0</v>
      </c>
      <c r="I202" s="69">
        <f t="shared" si="48"/>
        <v>354.6</v>
      </c>
      <c r="J202" s="69">
        <f t="shared" si="54"/>
        <v>0</v>
      </c>
      <c r="K202" s="85">
        <f t="shared" si="49"/>
        <v>354.6</v>
      </c>
      <c r="L202" s="13">
        <f t="shared" si="54"/>
        <v>-169.8</v>
      </c>
      <c r="M202" s="85">
        <f t="shared" si="45"/>
        <v>184.8</v>
      </c>
      <c r="N202" s="13">
        <f t="shared" si="54"/>
        <v>0</v>
      </c>
      <c r="O202" s="85">
        <f t="shared" si="46"/>
        <v>184.8</v>
      </c>
      <c r="P202" s="13">
        <f t="shared" si="54"/>
        <v>0</v>
      </c>
      <c r="Q202" s="85">
        <f t="shared" si="43"/>
        <v>184.8</v>
      </c>
      <c r="R202" s="13">
        <f t="shared" si="54"/>
        <v>0</v>
      </c>
      <c r="S202" s="85">
        <f t="shared" si="44"/>
        <v>184.8</v>
      </c>
      <c r="T202" s="13">
        <f t="shared" si="54"/>
        <v>0</v>
      </c>
      <c r="U202" s="85">
        <f t="shared" si="41"/>
        <v>184.8</v>
      </c>
    </row>
    <row r="203" spans="1:22" s="148" customFormat="1">
      <c r="A203" s="61" t="str">
        <f ca="1">IF(ISERROR(MATCH(F203,Код_КВР,0)),"",INDIRECT(ADDRESS(MATCH(F203,Код_КВР,0)+1,2,,,"КВР")))</f>
        <v>Закупка товаров, работ и услуг для муниципальных нужд</v>
      </c>
      <c r="B203" s="145">
        <v>801</v>
      </c>
      <c r="C203" s="8" t="s">
        <v>215</v>
      </c>
      <c r="D203" s="8" t="s">
        <v>219</v>
      </c>
      <c r="E203" s="145" t="s">
        <v>108</v>
      </c>
      <c r="F203" s="145">
        <v>200</v>
      </c>
      <c r="G203" s="69">
        <f t="shared" si="54"/>
        <v>354.6</v>
      </c>
      <c r="H203" s="69">
        <f t="shared" si="54"/>
        <v>0</v>
      </c>
      <c r="I203" s="69">
        <f t="shared" si="48"/>
        <v>354.6</v>
      </c>
      <c r="J203" s="69">
        <f t="shared" si="54"/>
        <v>0</v>
      </c>
      <c r="K203" s="85">
        <f t="shared" si="49"/>
        <v>354.6</v>
      </c>
      <c r="L203" s="13">
        <f t="shared" si="54"/>
        <v>-169.8</v>
      </c>
      <c r="M203" s="85">
        <f t="shared" si="45"/>
        <v>184.8</v>
      </c>
      <c r="N203" s="13">
        <f t="shared" si="54"/>
        <v>0</v>
      </c>
      <c r="O203" s="85">
        <f t="shared" si="46"/>
        <v>184.8</v>
      </c>
      <c r="P203" s="13">
        <f t="shared" si="54"/>
        <v>0</v>
      </c>
      <c r="Q203" s="85">
        <f t="shared" si="43"/>
        <v>184.8</v>
      </c>
      <c r="R203" s="13">
        <f t="shared" si="54"/>
        <v>0</v>
      </c>
      <c r="S203" s="85">
        <f t="shared" si="44"/>
        <v>184.8</v>
      </c>
      <c r="T203" s="13">
        <f t="shared" si="54"/>
        <v>0</v>
      </c>
      <c r="U203" s="85">
        <f t="shared" si="41"/>
        <v>184.8</v>
      </c>
    </row>
    <row r="204" spans="1:22" s="148" customFormat="1" ht="33">
      <c r="A204" s="61" t="str">
        <f ca="1">IF(ISERROR(MATCH(F204,Код_КВР,0)),"",INDIRECT(ADDRESS(MATCH(F204,Код_КВР,0)+1,2,,,"КВР")))</f>
        <v>Иные закупки товаров, работ и услуг для обеспечения муниципальных нужд</v>
      </c>
      <c r="B204" s="145">
        <v>801</v>
      </c>
      <c r="C204" s="8" t="s">
        <v>215</v>
      </c>
      <c r="D204" s="8" t="s">
        <v>219</v>
      </c>
      <c r="E204" s="145" t="s">
        <v>108</v>
      </c>
      <c r="F204" s="145">
        <v>240</v>
      </c>
      <c r="G204" s="69">
        <f t="shared" si="54"/>
        <v>354.6</v>
      </c>
      <c r="H204" s="69">
        <f t="shared" si="54"/>
        <v>0</v>
      </c>
      <c r="I204" s="69">
        <f t="shared" si="48"/>
        <v>354.6</v>
      </c>
      <c r="J204" s="69">
        <f t="shared" si="54"/>
        <v>0</v>
      </c>
      <c r="K204" s="85">
        <f t="shared" si="49"/>
        <v>354.6</v>
      </c>
      <c r="L204" s="13">
        <f t="shared" si="54"/>
        <v>-169.8</v>
      </c>
      <c r="M204" s="85">
        <f t="shared" si="45"/>
        <v>184.8</v>
      </c>
      <c r="N204" s="13">
        <f t="shared" si="54"/>
        <v>0</v>
      </c>
      <c r="O204" s="85">
        <f t="shared" si="46"/>
        <v>184.8</v>
      </c>
      <c r="P204" s="13">
        <f t="shared" si="54"/>
        <v>0</v>
      </c>
      <c r="Q204" s="85">
        <f t="shared" si="43"/>
        <v>184.8</v>
      </c>
      <c r="R204" s="13">
        <f t="shared" si="54"/>
        <v>0</v>
      </c>
      <c r="S204" s="85">
        <f t="shared" si="44"/>
        <v>184.8</v>
      </c>
      <c r="T204" s="13">
        <f t="shared" si="54"/>
        <v>0</v>
      </c>
      <c r="U204" s="85">
        <f t="shared" si="41"/>
        <v>184.8</v>
      </c>
    </row>
    <row r="205" spans="1:22" s="148" customFormat="1" ht="33">
      <c r="A205" s="61" t="str">
        <f ca="1">IF(ISERROR(MATCH(F205,Код_КВР,0)),"",INDIRECT(ADDRESS(MATCH(F205,Код_КВР,0)+1,2,,,"КВР")))</f>
        <v xml:space="preserve">Прочая закупка товаров, работ и услуг для обеспечения муниципальных нужд         </v>
      </c>
      <c r="B205" s="145">
        <v>801</v>
      </c>
      <c r="C205" s="8" t="s">
        <v>215</v>
      </c>
      <c r="D205" s="8" t="s">
        <v>219</v>
      </c>
      <c r="E205" s="145" t="s">
        <v>108</v>
      </c>
      <c r="F205" s="145">
        <v>244</v>
      </c>
      <c r="G205" s="69">
        <v>354.6</v>
      </c>
      <c r="H205" s="69"/>
      <c r="I205" s="69">
        <f t="shared" si="48"/>
        <v>354.6</v>
      </c>
      <c r="J205" s="69"/>
      <c r="K205" s="85">
        <f t="shared" si="49"/>
        <v>354.6</v>
      </c>
      <c r="L205" s="13">
        <v>-169.8</v>
      </c>
      <c r="M205" s="85">
        <f t="shared" si="45"/>
        <v>184.8</v>
      </c>
      <c r="N205" s="13"/>
      <c r="O205" s="85">
        <f t="shared" si="46"/>
        <v>184.8</v>
      </c>
      <c r="P205" s="13"/>
      <c r="Q205" s="85">
        <f t="shared" si="43"/>
        <v>184.8</v>
      </c>
      <c r="R205" s="13"/>
      <c r="S205" s="85">
        <f t="shared" si="44"/>
        <v>184.8</v>
      </c>
      <c r="T205" s="13"/>
      <c r="U205" s="85">
        <f t="shared" si="41"/>
        <v>184.8</v>
      </c>
    </row>
    <row r="206" spans="1:22" s="148" customFormat="1" ht="33" hidden="1">
      <c r="A206" s="61" t="str">
        <f ca="1">IF(ISERROR(MATCH(E206,Код_КЦСР,0)),"",INDIRECT(ADDRESS(MATCH(E206,Код_КЦСР,0)+1,2,,,"КЦСР")))</f>
        <v>Минимизация последствий от ЧС на опасных производственных объектах экономики (ОПОЭ)</v>
      </c>
      <c r="B206" s="145">
        <v>801</v>
      </c>
      <c r="C206" s="8" t="s">
        <v>215</v>
      </c>
      <c r="D206" s="8" t="s">
        <v>219</v>
      </c>
      <c r="E206" s="145" t="s">
        <v>120</v>
      </c>
      <c r="F206" s="145"/>
      <c r="G206" s="69">
        <f>G207</f>
        <v>1559.6</v>
      </c>
      <c r="H206" s="69">
        <f>H207</f>
        <v>0</v>
      </c>
      <c r="I206" s="69">
        <f t="shared" si="48"/>
        <v>1559.6</v>
      </c>
      <c r="J206" s="69">
        <f>J207</f>
        <v>0</v>
      </c>
      <c r="K206" s="85">
        <f t="shared" si="49"/>
        <v>1559.6</v>
      </c>
      <c r="L206" s="13">
        <f>L207</f>
        <v>-1559.6</v>
      </c>
      <c r="M206" s="85">
        <f t="shared" si="45"/>
        <v>0</v>
      </c>
      <c r="N206" s="13">
        <f>N207</f>
        <v>0</v>
      </c>
      <c r="O206" s="85">
        <f t="shared" si="46"/>
        <v>0</v>
      </c>
      <c r="P206" s="13">
        <f>P207</f>
        <v>0</v>
      </c>
      <c r="Q206" s="85">
        <f t="shared" si="43"/>
        <v>0</v>
      </c>
      <c r="R206" s="13">
        <f>R207</f>
        <v>0</v>
      </c>
      <c r="S206" s="85">
        <f t="shared" si="44"/>
        <v>0</v>
      </c>
      <c r="T206" s="13">
        <f>T207</f>
        <v>0</v>
      </c>
      <c r="U206" s="85">
        <f t="shared" si="41"/>
        <v>0</v>
      </c>
      <c r="V206" s="155" t="s">
        <v>715</v>
      </c>
    </row>
    <row r="207" spans="1:22" s="148" customFormat="1" ht="33" hidden="1">
      <c r="A207" s="61" t="str">
        <f ca="1">IF(ISERROR(MATCH(F207,Код_КВР,0)),"",INDIRECT(ADDRESS(MATCH(F207,Код_КВР,0)+1,2,,,"КВР")))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207" s="145">
        <v>801</v>
      </c>
      <c r="C207" s="8" t="s">
        <v>215</v>
      </c>
      <c r="D207" s="8" t="s">
        <v>219</v>
      </c>
      <c r="E207" s="145" t="s">
        <v>120</v>
      </c>
      <c r="F207" s="145">
        <v>100</v>
      </c>
      <c r="G207" s="69">
        <f>G208</f>
        <v>1559.6</v>
      </c>
      <c r="H207" s="69">
        <f>H208</f>
        <v>0</v>
      </c>
      <c r="I207" s="69">
        <f t="shared" si="48"/>
        <v>1559.6</v>
      </c>
      <c r="J207" s="69">
        <f>J208</f>
        <v>0</v>
      </c>
      <c r="K207" s="85">
        <f t="shared" si="49"/>
        <v>1559.6</v>
      </c>
      <c r="L207" s="13">
        <f>L208</f>
        <v>-1559.6</v>
      </c>
      <c r="M207" s="85">
        <f t="shared" si="45"/>
        <v>0</v>
      </c>
      <c r="N207" s="13">
        <f>N208</f>
        <v>0</v>
      </c>
      <c r="O207" s="85">
        <f t="shared" si="46"/>
        <v>0</v>
      </c>
      <c r="P207" s="13">
        <f>P208</f>
        <v>0</v>
      </c>
      <c r="Q207" s="85">
        <f t="shared" si="43"/>
        <v>0</v>
      </c>
      <c r="R207" s="13">
        <f>R208</f>
        <v>0</v>
      </c>
      <c r="S207" s="85">
        <f t="shared" si="44"/>
        <v>0</v>
      </c>
      <c r="T207" s="13">
        <f>T208</f>
        <v>0</v>
      </c>
      <c r="U207" s="85">
        <f t="shared" si="41"/>
        <v>0</v>
      </c>
      <c r="V207" s="155" t="s">
        <v>715</v>
      </c>
    </row>
    <row r="208" spans="1:22" s="148" customFormat="1" ht="27.2" hidden="1" customHeight="1">
      <c r="A208" s="61" t="str">
        <f ca="1">IF(ISERROR(MATCH(F208,Код_КВР,0)),"",INDIRECT(ADDRESS(MATCH(F208,Код_КВР,0)+1,2,,,"КВР")))</f>
        <v>Расходы на выплаты персоналу казенных учреждений</v>
      </c>
      <c r="B208" s="145">
        <v>801</v>
      </c>
      <c r="C208" s="8" t="s">
        <v>215</v>
      </c>
      <c r="D208" s="8" t="s">
        <v>219</v>
      </c>
      <c r="E208" s="145" t="s">
        <v>120</v>
      </c>
      <c r="F208" s="145">
        <v>110</v>
      </c>
      <c r="G208" s="69">
        <v>1559.6</v>
      </c>
      <c r="H208" s="69"/>
      <c r="I208" s="69">
        <f t="shared" si="48"/>
        <v>1559.6</v>
      </c>
      <c r="J208" s="69"/>
      <c r="K208" s="85">
        <f t="shared" si="49"/>
        <v>1559.6</v>
      </c>
      <c r="L208" s="13">
        <v>-1559.6</v>
      </c>
      <c r="M208" s="85">
        <f t="shared" si="45"/>
        <v>0</v>
      </c>
      <c r="N208" s="13"/>
      <c r="O208" s="85">
        <f t="shared" si="46"/>
        <v>0</v>
      </c>
      <c r="P208" s="13"/>
      <c r="Q208" s="85">
        <f t="shared" si="43"/>
        <v>0</v>
      </c>
      <c r="R208" s="13"/>
      <c r="S208" s="85">
        <f t="shared" si="44"/>
        <v>0</v>
      </c>
      <c r="T208" s="13"/>
      <c r="U208" s="85">
        <f t="shared" si="41"/>
        <v>0</v>
      </c>
      <c r="V208" s="155" t="s">
        <v>715</v>
      </c>
    </row>
    <row r="209" spans="1:21" s="148" customFormat="1">
      <c r="A209" s="61" t="str">
        <f ca="1">IF(ISERROR(MATCH(E209,Код_КЦСР,0)),"",INDIRECT(ADDRESS(MATCH(E209,Код_КЦСР,0)+1,2,,,"КЦСР")))</f>
        <v xml:space="preserve">Обеспечение создания условий для реализации подпрограммы 2 </v>
      </c>
      <c r="B209" s="145">
        <v>801</v>
      </c>
      <c r="C209" s="8" t="s">
        <v>215</v>
      </c>
      <c r="D209" s="8" t="s">
        <v>219</v>
      </c>
      <c r="E209" s="145" t="s">
        <v>122</v>
      </c>
      <c r="F209" s="145"/>
      <c r="G209" s="69">
        <f>G210+G212+G218</f>
        <v>46645.7</v>
      </c>
      <c r="H209" s="69">
        <f>H210+H212+H218</f>
        <v>0</v>
      </c>
      <c r="I209" s="69">
        <f t="shared" si="48"/>
        <v>46645.7</v>
      </c>
      <c r="J209" s="69">
        <f>J210+J212+J218+J215</f>
        <v>653.29999999999927</v>
      </c>
      <c r="K209" s="85">
        <f t="shared" si="49"/>
        <v>47299</v>
      </c>
      <c r="L209" s="13">
        <f>L210+L212+L218+L215</f>
        <v>-1650.6000000000001</v>
      </c>
      <c r="M209" s="85">
        <f t="shared" si="45"/>
        <v>45648.4</v>
      </c>
      <c r="N209" s="13">
        <f>N210+N212+N218+N215</f>
        <v>0</v>
      </c>
      <c r="O209" s="85">
        <f t="shared" si="46"/>
        <v>45648.4</v>
      </c>
      <c r="P209" s="13">
        <f>P210+P212+P218+P215</f>
        <v>0</v>
      </c>
      <c r="Q209" s="85">
        <f t="shared" si="43"/>
        <v>45648.4</v>
      </c>
      <c r="R209" s="13">
        <f>R210+R212+R218+R215</f>
        <v>80.099999999999994</v>
      </c>
      <c r="S209" s="85">
        <f t="shared" si="44"/>
        <v>45728.5</v>
      </c>
      <c r="T209" s="13">
        <f>T210+T212+T218+T215</f>
        <v>0</v>
      </c>
      <c r="U209" s="85">
        <f t="shared" si="41"/>
        <v>45728.5</v>
      </c>
    </row>
    <row r="210" spans="1:21" s="148" customFormat="1" ht="33">
      <c r="A210" s="61" t="str">
        <f t="shared" ref="A210:A219" ca="1" si="55">IF(ISERROR(MATCH(F210,Код_КВР,0)),"",INDIRECT(ADDRESS(MATCH(F210,Код_КВР,0)+1,2,,,"КВР")))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210" s="145">
        <v>801</v>
      </c>
      <c r="C210" s="8" t="s">
        <v>215</v>
      </c>
      <c r="D210" s="8" t="s">
        <v>219</v>
      </c>
      <c r="E210" s="145" t="s">
        <v>122</v>
      </c>
      <c r="F210" s="145">
        <v>100</v>
      </c>
      <c r="G210" s="69">
        <f>G211</f>
        <v>38954.9</v>
      </c>
      <c r="H210" s="69">
        <f>H211</f>
        <v>0</v>
      </c>
      <c r="I210" s="69">
        <f t="shared" si="48"/>
        <v>38954.9</v>
      </c>
      <c r="J210" s="69">
        <f>J211</f>
        <v>-15942.2</v>
      </c>
      <c r="K210" s="85">
        <f t="shared" si="49"/>
        <v>23012.7</v>
      </c>
      <c r="L210" s="13">
        <f>L211</f>
        <v>0</v>
      </c>
      <c r="M210" s="85">
        <f t="shared" si="45"/>
        <v>23012.7</v>
      </c>
      <c r="N210" s="13">
        <f>N211</f>
        <v>0</v>
      </c>
      <c r="O210" s="85">
        <f t="shared" si="46"/>
        <v>23012.7</v>
      </c>
      <c r="P210" s="13">
        <f>P211</f>
        <v>0</v>
      </c>
      <c r="Q210" s="85">
        <f t="shared" si="43"/>
        <v>23012.7</v>
      </c>
      <c r="R210" s="13">
        <f>R211</f>
        <v>-238</v>
      </c>
      <c r="S210" s="85">
        <f t="shared" si="44"/>
        <v>22774.7</v>
      </c>
      <c r="T210" s="13">
        <f>T211</f>
        <v>0</v>
      </c>
      <c r="U210" s="85">
        <f t="shared" si="41"/>
        <v>22774.7</v>
      </c>
    </row>
    <row r="211" spans="1:21" s="148" customFormat="1">
      <c r="A211" s="61" t="str">
        <f t="shared" ca="1" si="55"/>
        <v>Расходы на выплаты персоналу казенных учреждений</v>
      </c>
      <c r="B211" s="145">
        <v>801</v>
      </c>
      <c r="C211" s="8" t="s">
        <v>215</v>
      </c>
      <c r="D211" s="8" t="s">
        <v>219</v>
      </c>
      <c r="E211" s="145" t="s">
        <v>122</v>
      </c>
      <c r="F211" s="145">
        <v>110</v>
      </c>
      <c r="G211" s="69">
        <v>38954.9</v>
      </c>
      <c r="H211" s="69"/>
      <c r="I211" s="69">
        <f t="shared" si="48"/>
        <v>38954.9</v>
      </c>
      <c r="J211" s="69">
        <v>-15942.2</v>
      </c>
      <c r="K211" s="85">
        <f t="shared" si="49"/>
        <v>23012.7</v>
      </c>
      <c r="L211" s="13"/>
      <c r="M211" s="85">
        <f t="shared" si="45"/>
        <v>23012.7</v>
      </c>
      <c r="N211" s="13"/>
      <c r="O211" s="85">
        <f t="shared" si="46"/>
        <v>23012.7</v>
      </c>
      <c r="P211" s="13"/>
      <c r="Q211" s="85">
        <f t="shared" si="43"/>
        <v>23012.7</v>
      </c>
      <c r="R211" s="13">
        <f>-222.6-0.9-14.5</f>
        <v>-238</v>
      </c>
      <c r="S211" s="85">
        <f t="shared" si="44"/>
        <v>22774.7</v>
      </c>
      <c r="T211" s="13"/>
      <c r="U211" s="85">
        <f t="shared" si="41"/>
        <v>22774.7</v>
      </c>
    </row>
    <row r="212" spans="1:21" s="148" customFormat="1">
      <c r="A212" s="61" t="str">
        <f t="shared" ca="1" si="55"/>
        <v>Закупка товаров, работ и услуг для муниципальных нужд</v>
      </c>
      <c r="B212" s="145">
        <v>801</v>
      </c>
      <c r="C212" s="8" t="s">
        <v>215</v>
      </c>
      <c r="D212" s="8" t="s">
        <v>219</v>
      </c>
      <c r="E212" s="145" t="s">
        <v>122</v>
      </c>
      <c r="F212" s="145">
        <v>200</v>
      </c>
      <c r="G212" s="69">
        <f>G213</f>
        <v>6568.2</v>
      </c>
      <c r="H212" s="69">
        <f>H213</f>
        <v>0</v>
      </c>
      <c r="I212" s="69">
        <f t="shared" si="48"/>
        <v>6568.2</v>
      </c>
      <c r="J212" s="69">
        <f>J213</f>
        <v>-1391.1</v>
      </c>
      <c r="K212" s="85">
        <f t="shared" si="49"/>
        <v>5177.1000000000004</v>
      </c>
      <c r="L212" s="13">
        <f>L213</f>
        <v>-1650.6000000000001</v>
      </c>
      <c r="M212" s="85">
        <f t="shared" si="45"/>
        <v>3526.5</v>
      </c>
      <c r="N212" s="13">
        <f>N213</f>
        <v>0</v>
      </c>
      <c r="O212" s="85">
        <f t="shared" si="46"/>
        <v>3526.5</v>
      </c>
      <c r="P212" s="13">
        <f>P213</f>
        <v>0</v>
      </c>
      <c r="Q212" s="85">
        <f t="shared" si="43"/>
        <v>3526.5</v>
      </c>
      <c r="R212" s="13">
        <f>R213</f>
        <v>238</v>
      </c>
      <c r="S212" s="85">
        <f t="shared" si="44"/>
        <v>3764.5</v>
      </c>
      <c r="T212" s="13">
        <f>T213</f>
        <v>-11</v>
      </c>
      <c r="U212" s="85">
        <f t="shared" si="41"/>
        <v>3753.5</v>
      </c>
    </row>
    <row r="213" spans="1:21" s="148" customFormat="1" ht="33">
      <c r="A213" s="61" t="str">
        <f t="shared" ca="1" si="55"/>
        <v>Иные закупки товаров, работ и услуг для обеспечения муниципальных нужд</v>
      </c>
      <c r="B213" s="145">
        <v>801</v>
      </c>
      <c r="C213" s="8" t="s">
        <v>215</v>
      </c>
      <c r="D213" s="8" t="s">
        <v>219</v>
      </c>
      <c r="E213" s="145" t="s">
        <v>122</v>
      </c>
      <c r="F213" s="145">
        <v>240</v>
      </c>
      <c r="G213" s="69">
        <f>G214</f>
        <v>6568.2</v>
      </c>
      <c r="H213" s="69">
        <f>H214</f>
        <v>0</v>
      </c>
      <c r="I213" s="69">
        <f t="shared" si="48"/>
        <v>6568.2</v>
      </c>
      <c r="J213" s="69">
        <f>J214</f>
        <v>-1391.1</v>
      </c>
      <c r="K213" s="85">
        <f t="shared" si="49"/>
        <v>5177.1000000000004</v>
      </c>
      <c r="L213" s="13">
        <f>L214</f>
        <v>-1650.6000000000001</v>
      </c>
      <c r="M213" s="85">
        <f t="shared" si="45"/>
        <v>3526.5</v>
      </c>
      <c r="N213" s="13">
        <f>N214</f>
        <v>0</v>
      </c>
      <c r="O213" s="85">
        <f t="shared" si="46"/>
        <v>3526.5</v>
      </c>
      <c r="P213" s="13">
        <f>P214</f>
        <v>0</v>
      </c>
      <c r="Q213" s="85">
        <f t="shared" si="43"/>
        <v>3526.5</v>
      </c>
      <c r="R213" s="13">
        <f>R214</f>
        <v>238</v>
      </c>
      <c r="S213" s="85">
        <f t="shared" si="44"/>
        <v>3764.5</v>
      </c>
      <c r="T213" s="13">
        <f>T214</f>
        <v>-11</v>
      </c>
      <c r="U213" s="85">
        <f t="shared" si="41"/>
        <v>3753.5</v>
      </c>
    </row>
    <row r="214" spans="1:21" s="148" customFormat="1" ht="33">
      <c r="A214" s="61" t="str">
        <f t="shared" ca="1" si="55"/>
        <v xml:space="preserve">Прочая закупка товаров, работ и услуг для обеспечения муниципальных нужд         </v>
      </c>
      <c r="B214" s="145">
        <v>801</v>
      </c>
      <c r="C214" s="8" t="s">
        <v>215</v>
      </c>
      <c r="D214" s="8" t="s">
        <v>219</v>
      </c>
      <c r="E214" s="145" t="s">
        <v>122</v>
      </c>
      <c r="F214" s="145">
        <v>244</v>
      </c>
      <c r="G214" s="69">
        <v>6568.2</v>
      </c>
      <c r="H214" s="69"/>
      <c r="I214" s="69">
        <f t="shared" si="48"/>
        <v>6568.2</v>
      </c>
      <c r="J214" s="69">
        <f>-1368.8-22.3</f>
        <v>-1391.1</v>
      </c>
      <c r="K214" s="85">
        <f t="shared" si="49"/>
        <v>5177.1000000000004</v>
      </c>
      <c r="L214" s="13">
        <f>-20.4-1630.2</f>
        <v>-1650.6000000000001</v>
      </c>
      <c r="M214" s="85">
        <f t="shared" si="45"/>
        <v>3526.5</v>
      </c>
      <c r="N214" s="13"/>
      <c r="O214" s="85">
        <f t="shared" si="46"/>
        <v>3526.5</v>
      </c>
      <c r="P214" s="13"/>
      <c r="Q214" s="85">
        <f t="shared" si="43"/>
        <v>3526.5</v>
      </c>
      <c r="R214" s="13">
        <v>238</v>
      </c>
      <c r="S214" s="85">
        <f t="shared" si="44"/>
        <v>3764.5</v>
      </c>
      <c r="T214" s="13">
        <v>-11</v>
      </c>
      <c r="U214" s="85">
        <f t="shared" si="41"/>
        <v>3753.5</v>
      </c>
    </row>
    <row r="215" spans="1:21" s="148" customFormat="1" ht="33">
      <c r="A215" s="61" t="str">
        <f t="shared" ref="A215:A217" ca="1" si="56">IF(ISERROR(MATCH(F215,Код_КВР,0)),"",INDIRECT(ADDRESS(MATCH(F215,Код_КВР,0)+1,2,,,"КВР")))</f>
        <v>Предоставление субсидий бюджетным, автономным учреждениям и иным некоммерческим организациям</v>
      </c>
      <c r="B215" s="145">
        <v>801</v>
      </c>
      <c r="C215" s="8" t="s">
        <v>215</v>
      </c>
      <c r="D215" s="8" t="s">
        <v>219</v>
      </c>
      <c r="E215" s="145" t="s">
        <v>122</v>
      </c>
      <c r="F215" s="145">
        <v>600</v>
      </c>
      <c r="G215" s="69"/>
      <c r="H215" s="69"/>
      <c r="I215" s="69"/>
      <c r="J215" s="69">
        <f>J216</f>
        <v>18250.099999999999</v>
      </c>
      <c r="K215" s="85">
        <f t="shared" si="49"/>
        <v>18250.099999999999</v>
      </c>
      <c r="L215" s="13">
        <f>L216</f>
        <v>0</v>
      </c>
      <c r="M215" s="85">
        <f t="shared" si="45"/>
        <v>18250.099999999999</v>
      </c>
      <c r="N215" s="13">
        <f>N216</f>
        <v>0</v>
      </c>
      <c r="O215" s="85">
        <f t="shared" si="46"/>
        <v>18250.099999999999</v>
      </c>
      <c r="P215" s="13">
        <f>P216</f>
        <v>0</v>
      </c>
      <c r="Q215" s="85">
        <f t="shared" si="43"/>
        <v>18250.099999999999</v>
      </c>
      <c r="R215" s="13">
        <f>R216</f>
        <v>68.699999999999989</v>
      </c>
      <c r="S215" s="85">
        <f t="shared" si="44"/>
        <v>18318.8</v>
      </c>
      <c r="T215" s="13">
        <f>T216</f>
        <v>0</v>
      </c>
      <c r="U215" s="85">
        <f t="shared" si="41"/>
        <v>18318.8</v>
      </c>
    </row>
    <row r="216" spans="1:21" s="148" customFormat="1">
      <c r="A216" s="61" t="str">
        <f t="shared" ca="1" si="56"/>
        <v>Субсидии бюджетным учреждениям</v>
      </c>
      <c r="B216" s="145">
        <v>801</v>
      </c>
      <c r="C216" s="8" t="s">
        <v>215</v>
      </c>
      <c r="D216" s="8" t="s">
        <v>219</v>
      </c>
      <c r="E216" s="145" t="s">
        <v>122</v>
      </c>
      <c r="F216" s="145">
        <v>610</v>
      </c>
      <c r="G216" s="69"/>
      <c r="H216" s="69"/>
      <c r="I216" s="69"/>
      <c r="J216" s="69">
        <f>J217</f>
        <v>18250.099999999999</v>
      </c>
      <c r="K216" s="85">
        <f t="shared" si="49"/>
        <v>18250.099999999999</v>
      </c>
      <c r="L216" s="13">
        <f>L217</f>
        <v>0</v>
      </c>
      <c r="M216" s="85">
        <f t="shared" si="45"/>
        <v>18250.099999999999</v>
      </c>
      <c r="N216" s="13">
        <f>N217</f>
        <v>0</v>
      </c>
      <c r="O216" s="85">
        <f t="shared" si="46"/>
        <v>18250.099999999999</v>
      </c>
      <c r="P216" s="13">
        <f>P217</f>
        <v>0</v>
      </c>
      <c r="Q216" s="85">
        <f t="shared" si="43"/>
        <v>18250.099999999999</v>
      </c>
      <c r="R216" s="13">
        <f>R217</f>
        <v>68.699999999999989</v>
      </c>
      <c r="S216" s="85">
        <f t="shared" si="44"/>
        <v>18318.8</v>
      </c>
      <c r="T216" s="13">
        <f>T217</f>
        <v>0</v>
      </c>
      <c r="U216" s="85">
        <f t="shared" si="41"/>
        <v>18318.8</v>
      </c>
    </row>
    <row r="217" spans="1:21" s="148" customFormat="1" ht="49.5">
      <c r="A217" s="61" t="str">
        <f t="shared" ca="1" si="56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17" s="145">
        <v>801</v>
      </c>
      <c r="C217" s="8" t="s">
        <v>215</v>
      </c>
      <c r="D217" s="8" t="s">
        <v>219</v>
      </c>
      <c r="E217" s="145" t="s">
        <v>122</v>
      </c>
      <c r="F217" s="145">
        <v>611</v>
      </c>
      <c r="G217" s="69"/>
      <c r="H217" s="69"/>
      <c r="I217" s="69"/>
      <c r="J217" s="69">
        <v>18250.099999999999</v>
      </c>
      <c r="K217" s="85">
        <f t="shared" si="49"/>
        <v>18250.099999999999</v>
      </c>
      <c r="L217" s="13"/>
      <c r="M217" s="85">
        <f t="shared" si="45"/>
        <v>18250.099999999999</v>
      </c>
      <c r="N217" s="13"/>
      <c r="O217" s="85">
        <f t="shared" si="46"/>
        <v>18250.099999999999</v>
      </c>
      <c r="P217" s="13"/>
      <c r="Q217" s="85">
        <f t="shared" si="43"/>
        <v>18250.099999999999</v>
      </c>
      <c r="R217" s="13">
        <f>-11.4+80.1</f>
        <v>68.699999999999989</v>
      </c>
      <c r="S217" s="85">
        <f t="shared" si="44"/>
        <v>18318.8</v>
      </c>
      <c r="T217" s="13"/>
      <c r="U217" s="85">
        <f t="shared" si="41"/>
        <v>18318.8</v>
      </c>
    </row>
    <row r="218" spans="1:21" s="148" customFormat="1">
      <c r="A218" s="61" t="str">
        <f t="shared" ca="1" si="55"/>
        <v>Иные бюджетные ассигнования</v>
      </c>
      <c r="B218" s="145">
        <v>801</v>
      </c>
      <c r="C218" s="8" t="s">
        <v>215</v>
      </c>
      <c r="D218" s="8" t="s">
        <v>219</v>
      </c>
      <c r="E218" s="145" t="s">
        <v>122</v>
      </c>
      <c r="F218" s="145">
        <v>800</v>
      </c>
      <c r="G218" s="69">
        <f>G219</f>
        <v>1122.5999999999999</v>
      </c>
      <c r="H218" s="69">
        <f>H219</f>
        <v>0</v>
      </c>
      <c r="I218" s="69">
        <f t="shared" si="48"/>
        <v>1122.5999999999999</v>
      </c>
      <c r="J218" s="69">
        <f>J219</f>
        <v>-263.5</v>
      </c>
      <c r="K218" s="85">
        <f t="shared" si="49"/>
        <v>859.09999999999991</v>
      </c>
      <c r="L218" s="13">
        <f>L219</f>
        <v>0</v>
      </c>
      <c r="M218" s="85">
        <f t="shared" si="45"/>
        <v>859.09999999999991</v>
      </c>
      <c r="N218" s="13">
        <f>N219</f>
        <v>0</v>
      </c>
      <c r="O218" s="85">
        <f t="shared" si="46"/>
        <v>859.09999999999991</v>
      </c>
      <c r="P218" s="13">
        <f>P219</f>
        <v>0</v>
      </c>
      <c r="Q218" s="85">
        <f t="shared" si="43"/>
        <v>859.09999999999991</v>
      </c>
      <c r="R218" s="13">
        <f>R219</f>
        <v>11.4</v>
      </c>
      <c r="S218" s="85">
        <f t="shared" si="44"/>
        <v>870.49999999999989</v>
      </c>
      <c r="T218" s="13">
        <f>T219</f>
        <v>11</v>
      </c>
      <c r="U218" s="85">
        <f t="shared" ref="U218:U281" si="57">S218+T218</f>
        <v>881.49999999999989</v>
      </c>
    </row>
    <row r="219" spans="1:21" s="148" customFormat="1">
      <c r="A219" s="61" t="str">
        <f t="shared" ca="1" si="55"/>
        <v>Уплата налогов, сборов и иных платежей</v>
      </c>
      <c r="B219" s="145">
        <v>801</v>
      </c>
      <c r="C219" s="8" t="s">
        <v>215</v>
      </c>
      <c r="D219" s="8" t="s">
        <v>219</v>
      </c>
      <c r="E219" s="145" t="s">
        <v>122</v>
      </c>
      <c r="F219" s="145">
        <v>850</v>
      </c>
      <c r="G219" s="69">
        <f>SUM(G220:G221)</f>
        <v>1122.5999999999999</v>
      </c>
      <c r="H219" s="69"/>
      <c r="I219" s="69">
        <f t="shared" si="48"/>
        <v>1122.5999999999999</v>
      </c>
      <c r="J219" s="69">
        <f>J220+J221</f>
        <v>-263.5</v>
      </c>
      <c r="K219" s="85">
        <f t="shared" si="49"/>
        <v>859.09999999999991</v>
      </c>
      <c r="L219" s="13">
        <f>L220+L221</f>
        <v>0</v>
      </c>
      <c r="M219" s="85">
        <f t="shared" si="45"/>
        <v>859.09999999999991</v>
      </c>
      <c r="N219" s="13">
        <f>N220+N221</f>
        <v>0</v>
      </c>
      <c r="O219" s="85">
        <f t="shared" si="46"/>
        <v>859.09999999999991</v>
      </c>
      <c r="P219" s="13">
        <f>P220+P221</f>
        <v>0</v>
      </c>
      <c r="Q219" s="85">
        <f t="shared" si="43"/>
        <v>859.09999999999991</v>
      </c>
      <c r="R219" s="13">
        <f>R220+R221</f>
        <v>11.4</v>
      </c>
      <c r="S219" s="85">
        <f t="shared" si="44"/>
        <v>870.49999999999989</v>
      </c>
      <c r="T219" s="13">
        <f>T220+T221</f>
        <v>11</v>
      </c>
      <c r="U219" s="85">
        <f t="shared" si="57"/>
        <v>881.49999999999989</v>
      </c>
    </row>
    <row r="220" spans="1:21" s="148" customFormat="1">
      <c r="A220" s="61" t="str">
        <f ca="1">IF(ISERROR(MATCH(F220,Код_КВР,0)),"",INDIRECT(ADDRESS(MATCH(F220,Код_КВР,0)+1,2,,,"КВР")))</f>
        <v>Уплата налога на имущество организаций и земельного налога</v>
      </c>
      <c r="B220" s="145">
        <v>801</v>
      </c>
      <c r="C220" s="8" t="s">
        <v>215</v>
      </c>
      <c r="D220" s="8" t="s">
        <v>219</v>
      </c>
      <c r="E220" s="145" t="s">
        <v>122</v>
      </c>
      <c r="F220" s="145">
        <v>851</v>
      </c>
      <c r="G220" s="69">
        <v>984.9</v>
      </c>
      <c r="H220" s="69"/>
      <c r="I220" s="69">
        <f t="shared" si="48"/>
        <v>984.9</v>
      </c>
      <c r="J220" s="69">
        <v>-219.1</v>
      </c>
      <c r="K220" s="85">
        <f t="shared" si="49"/>
        <v>765.8</v>
      </c>
      <c r="L220" s="13"/>
      <c r="M220" s="85">
        <f t="shared" si="45"/>
        <v>765.8</v>
      </c>
      <c r="N220" s="13"/>
      <c r="O220" s="85">
        <f t="shared" si="46"/>
        <v>765.8</v>
      </c>
      <c r="P220" s="13"/>
      <c r="Q220" s="85">
        <f t="shared" si="43"/>
        <v>765.8</v>
      </c>
      <c r="R220" s="13"/>
      <c r="S220" s="85">
        <f t="shared" si="44"/>
        <v>765.8</v>
      </c>
      <c r="T220" s="13"/>
      <c r="U220" s="85">
        <f t="shared" si="57"/>
        <v>765.8</v>
      </c>
    </row>
    <row r="221" spans="1:21" s="148" customFormat="1">
      <c r="A221" s="61" t="str">
        <f ca="1">IF(ISERROR(MATCH(F221,Код_КВР,0)),"",INDIRECT(ADDRESS(MATCH(F221,Код_КВР,0)+1,2,,,"КВР")))</f>
        <v>Уплата прочих налогов, сборов и иных платежей</v>
      </c>
      <c r="B221" s="145">
        <v>801</v>
      </c>
      <c r="C221" s="8" t="s">
        <v>215</v>
      </c>
      <c r="D221" s="8" t="s">
        <v>219</v>
      </c>
      <c r="E221" s="145" t="s">
        <v>122</v>
      </c>
      <c r="F221" s="145">
        <v>852</v>
      </c>
      <c r="G221" s="69">
        <v>137.69999999999999</v>
      </c>
      <c r="H221" s="69"/>
      <c r="I221" s="69">
        <f t="shared" si="48"/>
        <v>137.69999999999999</v>
      </c>
      <c r="J221" s="69">
        <f>-66.7+22.3</f>
        <v>-44.400000000000006</v>
      </c>
      <c r="K221" s="85">
        <f t="shared" si="49"/>
        <v>93.299999999999983</v>
      </c>
      <c r="L221" s="13"/>
      <c r="M221" s="85">
        <f t="shared" si="45"/>
        <v>93.299999999999983</v>
      </c>
      <c r="N221" s="13"/>
      <c r="O221" s="85">
        <f t="shared" si="46"/>
        <v>93.299999999999983</v>
      </c>
      <c r="P221" s="13"/>
      <c r="Q221" s="85">
        <f t="shared" si="43"/>
        <v>93.299999999999983</v>
      </c>
      <c r="R221" s="13">
        <v>11.4</v>
      </c>
      <c r="S221" s="85">
        <f t="shared" si="44"/>
        <v>104.69999999999999</v>
      </c>
      <c r="T221" s="13">
        <v>11</v>
      </c>
      <c r="U221" s="85">
        <f t="shared" si="57"/>
        <v>115.69999999999999</v>
      </c>
    </row>
    <row r="222" spans="1:21" s="148" customFormat="1" ht="33">
      <c r="A222" s="61" t="str">
        <f ca="1">IF(ISERROR(MATCH(E222,Код_КЦСР,0)),"",INDIRECT(ADDRESS(MATCH(E222,Код_КЦСР,0)+1,2,,,"КЦСР")))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222" s="145">
        <v>801</v>
      </c>
      <c r="C222" s="8" t="s">
        <v>215</v>
      </c>
      <c r="D222" s="8" t="s">
        <v>219</v>
      </c>
      <c r="E222" s="145" t="s">
        <v>150</v>
      </c>
      <c r="F222" s="145"/>
      <c r="G222" s="69">
        <f>G223</f>
        <v>9414.2000000000007</v>
      </c>
      <c r="H222" s="69">
        <f>H223</f>
        <v>0</v>
      </c>
      <c r="I222" s="69">
        <f t="shared" si="48"/>
        <v>9414.2000000000007</v>
      </c>
      <c r="J222" s="69">
        <f>J223</f>
        <v>0</v>
      </c>
      <c r="K222" s="85">
        <f t="shared" si="49"/>
        <v>9414.2000000000007</v>
      </c>
      <c r="L222" s="13">
        <f>L223</f>
        <v>-17.5</v>
      </c>
      <c r="M222" s="85">
        <f t="shared" si="45"/>
        <v>9396.7000000000007</v>
      </c>
      <c r="N222" s="13">
        <f>N223</f>
        <v>0</v>
      </c>
      <c r="O222" s="85">
        <f t="shared" si="46"/>
        <v>9396.7000000000007</v>
      </c>
      <c r="P222" s="13">
        <f>P223</f>
        <v>0</v>
      </c>
      <c r="Q222" s="85">
        <f t="shared" si="43"/>
        <v>9396.7000000000007</v>
      </c>
      <c r="R222" s="13">
        <f>R223</f>
        <v>0</v>
      </c>
      <c r="S222" s="85">
        <f t="shared" si="44"/>
        <v>9396.7000000000007</v>
      </c>
      <c r="T222" s="13">
        <f>T223</f>
        <v>0</v>
      </c>
      <c r="U222" s="85">
        <f t="shared" si="57"/>
        <v>9396.7000000000007</v>
      </c>
    </row>
    <row r="223" spans="1:21" s="148" customFormat="1">
      <c r="A223" s="61" t="str">
        <f ca="1">IF(ISERROR(MATCH(E223,Код_КЦСР,0)),"",INDIRECT(ADDRESS(MATCH(E223,Код_КЦСР,0)+1,2,,,"КЦСР")))</f>
        <v>Профилактика преступлений и иных правонарушений в городе Череповце</v>
      </c>
      <c r="B223" s="145">
        <v>801</v>
      </c>
      <c r="C223" s="8" t="s">
        <v>215</v>
      </c>
      <c r="D223" s="8" t="s">
        <v>219</v>
      </c>
      <c r="E223" s="145" t="s">
        <v>152</v>
      </c>
      <c r="F223" s="145"/>
      <c r="G223" s="69">
        <f>G224</f>
        <v>9414.2000000000007</v>
      </c>
      <c r="H223" s="69">
        <f>H224</f>
        <v>0</v>
      </c>
      <c r="I223" s="69">
        <f t="shared" si="48"/>
        <v>9414.2000000000007</v>
      </c>
      <c r="J223" s="69">
        <f>J224</f>
        <v>0</v>
      </c>
      <c r="K223" s="85">
        <f t="shared" si="49"/>
        <v>9414.2000000000007</v>
      </c>
      <c r="L223" s="13">
        <f>L224</f>
        <v>-17.5</v>
      </c>
      <c r="M223" s="85">
        <f t="shared" si="45"/>
        <v>9396.7000000000007</v>
      </c>
      <c r="N223" s="13">
        <f>N224</f>
        <v>0</v>
      </c>
      <c r="O223" s="85">
        <f t="shared" si="46"/>
        <v>9396.7000000000007</v>
      </c>
      <c r="P223" s="13">
        <f>P224</f>
        <v>0</v>
      </c>
      <c r="Q223" s="85">
        <f t="shared" si="43"/>
        <v>9396.7000000000007</v>
      </c>
      <c r="R223" s="13">
        <f>R224</f>
        <v>0</v>
      </c>
      <c r="S223" s="85">
        <f t="shared" si="44"/>
        <v>9396.7000000000007</v>
      </c>
      <c r="T223" s="13">
        <f>T224</f>
        <v>0</v>
      </c>
      <c r="U223" s="85">
        <f t="shared" si="57"/>
        <v>9396.7000000000007</v>
      </c>
    </row>
    <row r="224" spans="1:21" s="148" customFormat="1">
      <c r="A224" s="61" t="str">
        <f ca="1">IF(ISERROR(MATCH(E224,Код_КЦСР,0)),"",INDIRECT(ADDRESS(MATCH(E224,Код_КЦСР,0)+1,2,,,"КЦСР")))</f>
        <v>Привлечение общественности к охране общественного порядка</v>
      </c>
      <c r="B224" s="145">
        <v>801</v>
      </c>
      <c r="C224" s="8" t="s">
        <v>215</v>
      </c>
      <c r="D224" s="8" t="s">
        <v>219</v>
      </c>
      <c r="E224" s="145" t="s">
        <v>154</v>
      </c>
      <c r="F224" s="145"/>
      <c r="G224" s="69">
        <f>G225+G227+G230</f>
        <v>9414.2000000000007</v>
      </c>
      <c r="H224" s="69">
        <f>H225+H227+H230</f>
        <v>0</v>
      </c>
      <c r="I224" s="69">
        <f t="shared" si="48"/>
        <v>9414.2000000000007</v>
      </c>
      <c r="J224" s="69">
        <f>J225+J227+J230</f>
        <v>0</v>
      </c>
      <c r="K224" s="85">
        <f t="shared" si="49"/>
        <v>9414.2000000000007</v>
      </c>
      <c r="L224" s="13">
        <f>L225+L227+L230</f>
        <v>-17.5</v>
      </c>
      <c r="M224" s="85">
        <f t="shared" si="45"/>
        <v>9396.7000000000007</v>
      </c>
      <c r="N224" s="13">
        <f>N225+N227+N230</f>
        <v>0</v>
      </c>
      <c r="O224" s="85">
        <f t="shared" si="46"/>
        <v>9396.7000000000007</v>
      </c>
      <c r="P224" s="13">
        <f>P225+P227+P230</f>
        <v>0</v>
      </c>
      <c r="Q224" s="85">
        <f t="shared" ref="Q224:Q295" si="58">O224+P224</f>
        <v>9396.7000000000007</v>
      </c>
      <c r="R224" s="13">
        <f>R225+R227+R230</f>
        <v>0</v>
      </c>
      <c r="S224" s="85">
        <f t="shared" ref="S224:S290" si="59">Q224+R224</f>
        <v>9396.7000000000007</v>
      </c>
      <c r="T224" s="13">
        <f>T225+T227+T230</f>
        <v>0</v>
      </c>
      <c r="U224" s="85">
        <f t="shared" si="57"/>
        <v>9396.7000000000007</v>
      </c>
    </row>
    <row r="225" spans="1:21" s="148" customFormat="1" ht="33">
      <c r="A225" s="61" t="str">
        <f t="shared" ref="A225:A231" ca="1" si="60">IF(ISERROR(MATCH(F225,Код_КВР,0)),"",INDIRECT(ADDRESS(MATCH(F225,Код_КВР,0)+1,2,,,"КВР")))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225" s="145">
        <v>801</v>
      </c>
      <c r="C225" s="8" t="s">
        <v>215</v>
      </c>
      <c r="D225" s="8" t="s">
        <v>219</v>
      </c>
      <c r="E225" s="145" t="s">
        <v>154</v>
      </c>
      <c r="F225" s="145">
        <v>100</v>
      </c>
      <c r="G225" s="69">
        <f>G226</f>
        <v>7465.6</v>
      </c>
      <c r="H225" s="69">
        <f>H226</f>
        <v>0</v>
      </c>
      <c r="I225" s="69">
        <f t="shared" si="48"/>
        <v>7465.6</v>
      </c>
      <c r="J225" s="69">
        <f>J226</f>
        <v>0</v>
      </c>
      <c r="K225" s="85">
        <f t="shared" si="49"/>
        <v>7465.6</v>
      </c>
      <c r="L225" s="13">
        <f>L226</f>
        <v>0</v>
      </c>
      <c r="M225" s="85">
        <f t="shared" si="45"/>
        <v>7465.6</v>
      </c>
      <c r="N225" s="13">
        <f>N226</f>
        <v>0</v>
      </c>
      <c r="O225" s="85">
        <f t="shared" si="46"/>
        <v>7465.6</v>
      </c>
      <c r="P225" s="13">
        <f>P226</f>
        <v>0</v>
      </c>
      <c r="Q225" s="85">
        <f t="shared" si="58"/>
        <v>7465.6</v>
      </c>
      <c r="R225" s="13">
        <f>R226</f>
        <v>-68.400000000000006</v>
      </c>
      <c r="S225" s="85">
        <f t="shared" si="59"/>
        <v>7397.2000000000007</v>
      </c>
      <c r="T225" s="13">
        <f>T226</f>
        <v>0</v>
      </c>
      <c r="U225" s="85">
        <f t="shared" si="57"/>
        <v>7397.2000000000007</v>
      </c>
    </row>
    <row r="226" spans="1:21" s="148" customFormat="1">
      <c r="A226" s="61" t="str">
        <f t="shared" ca="1" si="60"/>
        <v>Расходы на выплаты персоналу казенных учреждений</v>
      </c>
      <c r="B226" s="145">
        <v>801</v>
      </c>
      <c r="C226" s="8" t="s">
        <v>215</v>
      </c>
      <c r="D226" s="8" t="s">
        <v>219</v>
      </c>
      <c r="E226" s="145" t="s">
        <v>154</v>
      </c>
      <c r="F226" s="145">
        <v>110</v>
      </c>
      <c r="G226" s="69">
        <v>7465.6</v>
      </c>
      <c r="H226" s="69"/>
      <c r="I226" s="69">
        <f t="shared" si="48"/>
        <v>7465.6</v>
      </c>
      <c r="J226" s="69"/>
      <c r="K226" s="85">
        <f t="shared" si="49"/>
        <v>7465.6</v>
      </c>
      <c r="L226" s="13"/>
      <c r="M226" s="85">
        <f t="shared" si="45"/>
        <v>7465.6</v>
      </c>
      <c r="N226" s="13"/>
      <c r="O226" s="85">
        <f t="shared" si="46"/>
        <v>7465.6</v>
      </c>
      <c r="P226" s="13"/>
      <c r="Q226" s="85">
        <f t="shared" si="58"/>
        <v>7465.6</v>
      </c>
      <c r="R226" s="13">
        <v>-68.400000000000006</v>
      </c>
      <c r="S226" s="85">
        <f t="shared" si="59"/>
        <v>7397.2000000000007</v>
      </c>
      <c r="T226" s="13"/>
      <c r="U226" s="85">
        <f t="shared" si="57"/>
        <v>7397.2000000000007</v>
      </c>
    </row>
    <row r="227" spans="1:21" s="148" customFormat="1">
      <c r="A227" s="61" t="str">
        <f t="shared" ca="1" si="60"/>
        <v>Закупка товаров, работ и услуг для муниципальных нужд</v>
      </c>
      <c r="B227" s="145">
        <v>801</v>
      </c>
      <c r="C227" s="8" t="s">
        <v>215</v>
      </c>
      <c r="D227" s="8" t="s">
        <v>219</v>
      </c>
      <c r="E227" s="145" t="s">
        <v>154</v>
      </c>
      <c r="F227" s="145">
        <v>200</v>
      </c>
      <c r="G227" s="69">
        <f>G228</f>
        <v>1688.6</v>
      </c>
      <c r="H227" s="69">
        <f>H228</f>
        <v>0</v>
      </c>
      <c r="I227" s="69">
        <f t="shared" si="48"/>
        <v>1688.6</v>
      </c>
      <c r="J227" s="69">
        <f>J228</f>
        <v>0</v>
      </c>
      <c r="K227" s="85">
        <f t="shared" si="49"/>
        <v>1688.6</v>
      </c>
      <c r="L227" s="13">
        <f>L228</f>
        <v>-17.5</v>
      </c>
      <c r="M227" s="85">
        <f t="shared" si="45"/>
        <v>1671.1</v>
      </c>
      <c r="N227" s="13">
        <f>N228</f>
        <v>0</v>
      </c>
      <c r="O227" s="85">
        <f t="shared" si="46"/>
        <v>1671.1</v>
      </c>
      <c r="P227" s="13">
        <f>P228</f>
        <v>0</v>
      </c>
      <c r="Q227" s="85">
        <f t="shared" si="58"/>
        <v>1671.1</v>
      </c>
      <c r="R227" s="13">
        <f>R228</f>
        <v>68.400000000000006</v>
      </c>
      <c r="S227" s="85">
        <f t="shared" si="59"/>
        <v>1739.5</v>
      </c>
      <c r="T227" s="13">
        <f>T228</f>
        <v>0</v>
      </c>
      <c r="U227" s="85">
        <f t="shared" si="57"/>
        <v>1739.5</v>
      </c>
    </row>
    <row r="228" spans="1:21" s="148" customFormat="1" ht="33">
      <c r="A228" s="61" t="str">
        <f t="shared" ca="1" si="60"/>
        <v>Иные закупки товаров, работ и услуг для обеспечения муниципальных нужд</v>
      </c>
      <c r="B228" s="145">
        <v>801</v>
      </c>
      <c r="C228" s="8" t="s">
        <v>215</v>
      </c>
      <c r="D228" s="8" t="s">
        <v>219</v>
      </c>
      <c r="E228" s="145" t="s">
        <v>154</v>
      </c>
      <c r="F228" s="145">
        <v>240</v>
      </c>
      <c r="G228" s="69">
        <f>G229</f>
        <v>1688.6</v>
      </c>
      <c r="H228" s="69">
        <f>H229</f>
        <v>0</v>
      </c>
      <c r="I228" s="69">
        <f t="shared" si="48"/>
        <v>1688.6</v>
      </c>
      <c r="J228" s="69">
        <f>J229</f>
        <v>0</v>
      </c>
      <c r="K228" s="85">
        <f t="shared" si="49"/>
        <v>1688.6</v>
      </c>
      <c r="L228" s="13">
        <f>L229</f>
        <v>-17.5</v>
      </c>
      <c r="M228" s="85">
        <f t="shared" si="45"/>
        <v>1671.1</v>
      </c>
      <c r="N228" s="13">
        <f>N229</f>
        <v>0</v>
      </c>
      <c r="O228" s="85">
        <f t="shared" si="46"/>
        <v>1671.1</v>
      </c>
      <c r="P228" s="13">
        <f>P229</f>
        <v>0</v>
      </c>
      <c r="Q228" s="85">
        <f t="shared" si="58"/>
        <v>1671.1</v>
      </c>
      <c r="R228" s="13">
        <f>R229</f>
        <v>68.400000000000006</v>
      </c>
      <c r="S228" s="85">
        <f t="shared" si="59"/>
        <v>1739.5</v>
      </c>
      <c r="T228" s="13">
        <f>T229</f>
        <v>0</v>
      </c>
      <c r="U228" s="85">
        <f t="shared" si="57"/>
        <v>1739.5</v>
      </c>
    </row>
    <row r="229" spans="1:21" s="148" customFormat="1" ht="33">
      <c r="A229" s="61" t="str">
        <f t="shared" ca="1" si="60"/>
        <v xml:space="preserve">Прочая закупка товаров, работ и услуг для обеспечения муниципальных нужд         </v>
      </c>
      <c r="B229" s="145">
        <v>801</v>
      </c>
      <c r="C229" s="8" t="s">
        <v>215</v>
      </c>
      <c r="D229" s="8" t="s">
        <v>219</v>
      </c>
      <c r="E229" s="145" t="s">
        <v>154</v>
      </c>
      <c r="F229" s="145">
        <v>244</v>
      </c>
      <c r="G229" s="69">
        <v>1688.6</v>
      </c>
      <c r="H229" s="69"/>
      <c r="I229" s="69">
        <f t="shared" si="48"/>
        <v>1688.6</v>
      </c>
      <c r="J229" s="69"/>
      <c r="K229" s="85">
        <f t="shared" si="49"/>
        <v>1688.6</v>
      </c>
      <c r="L229" s="13">
        <v>-17.5</v>
      </c>
      <c r="M229" s="85">
        <f t="shared" si="45"/>
        <v>1671.1</v>
      </c>
      <c r="N229" s="13"/>
      <c r="O229" s="85">
        <f t="shared" si="46"/>
        <v>1671.1</v>
      </c>
      <c r="P229" s="13"/>
      <c r="Q229" s="85">
        <f t="shared" si="58"/>
        <v>1671.1</v>
      </c>
      <c r="R229" s="13">
        <f>43.8+24.6</f>
        <v>68.400000000000006</v>
      </c>
      <c r="S229" s="85">
        <f t="shared" si="59"/>
        <v>1739.5</v>
      </c>
      <c r="T229" s="13"/>
      <c r="U229" s="85">
        <f t="shared" si="57"/>
        <v>1739.5</v>
      </c>
    </row>
    <row r="230" spans="1:21" s="148" customFormat="1">
      <c r="A230" s="61" t="str">
        <f t="shared" ca="1" si="60"/>
        <v>Иные бюджетные ассигнования</v>
      </c>
      <c r="B230" s="145">
        <v>801</v>
      </c>
      <c r="C230" s="8" t="s">
        <v>215</v>
      </c>
      <c r="D230" s="8" t="s">
        <v>219</v>
      </c>
      <c r="E230" s="145" t="s">
        <v>154</v>
      </c>
      <c r="F230" s="145">
        <v>800</v>
      </c>
      <c r="G230" s="69">
        <f>G231</f>
        <v>260</v>
      </c>
      <c r="H230" s="69">
        <f>H231</f>
        <v>0</v>
      </c>
      <c r="I230" s="69">
        <f t="shared" si="48"/>
        <v>260</v>
      </c>
      <c r="J230" s="69">
        <f>J231</f>
        <v>0</v>
      </c>
      <c r="K230" s="85">
        <f t="shared" si="49"/>
        <v>260</v>
      </c>
      <c r="L230" s="13">
        <f>L231</f>
        <v>0</v>
      </c>
      <c r="M230" s="85">
        <f t="shared" ref="M230:M301" si="61">K230+L230</f>
        <v>260</v>
      </c>
      <c r="N230" s="13">
        <f>N231</f>
        <v>0</v>
      </c>
      <c r="O230" s="85">
        <f t="shared" ref="O230:O301" si="62">M230+N230</f>
        <v>260</v>
      </c>
      <c r="P230" s="13">
        <f>P231</f>
        <v>0</v>
      </c>
      <c r="Q230" s="85">
        <f t="shared" si="58"/>
        <v>260</v>
      </c>
      <c r="R230" s="13">
        <f>R231</f>
        <v>0</v>
      </c>
      <c r="S230" s="85">
        <f t="shared" si="59"/>
        <v>260</v>
      </c>
      <c r="T230" s="13">
        <f>T231</f>
        <v>0</v>
      </c>
      <c r="U230" s="85">
        <f t="shared" si="57"/>
        <v>260</v>
      </c>
    </row>
    <row r="231" spans="1:21" s="148" customFormat="1">
      <c r="A231" s="61" t="str">
        <f t="shared" ca="1" si="60"/>
        <v>Уплата налогов, сборов и иных платежей</v>
      </c>
      <c r="B231" s="145">
        <v>801</v>
      </c>
      <c r="C231" s="8" t="s">
        <v>215</v>
      </c>
      <c r="D231" s="8" t="s">
        <v>219</v>
      </c>
      <c r="E231" s="145" t="s">
        <v>154</v>
      </c>
      <c r="F231" s="145">
        <v>850</v>
      </c>
      <c r="G231" s="69">
        <f>G232</f>
        <v>260</v>
      </c>
      <c r="H231" s="69">
        <f>H232</f>
        <v>0</v>
      </c>
      <c r="I231" s="69">
        <f t="shared" si="48"/>
        <v>260</v>
      </c>
      <c r="J231" s="69">
        <f>J232</f>
        <v>0</v>
      </c>
      <c r="K231" s="85">
        <f t="shared" si="49"/>
        <v>260</v>
      </c>
      <c r="L231" s="13">
        <f>L232</f>
        <v>0</v>
      </c>
      <c r="M231" s="85">
        <f t="shared" si="61"/>
        <v>260</v>
      </c>
      <c r="N231" s="13">
        <f>N232</f>
        <v>0</v>
      </c>
      <c r="O231" s="85">
        <f t="shared" si="62"/>
        <v>260</v>
      </c>
      <c r="P231" s="13">
        <f>P232</f>
        <v>0</v>
      </c>
      <c r="Q231" s="85">
        <f t="shared" si="58"/>
        <v>260</v>
      </c>
      <c r="R231" s="13">
        <f>R232</f>
        <v>0</v>
      </c>
      <c r="S231" s="85">
        <f t="shared" si="59"/>
        <v>260</v>
      </c>
      <c r="T231" s="13">
        <f>T232</f>
        <v>0</v>
      </c>
      <c r="U231" s="85">
        <f t="shared" si="57"/>
        <v>260</v>
      </c>
    </row>
    <row r="232" spans="1:21" s="148" customFormat="1">
      <c r="A232" s="61" t="str">
        <f ca="1">IF(ISERROR(MATCH(F232,Код_КВР,0)),"",INDIRECT(ADDRESS(MATCH(F232,Код_КВР,0)+1,2,,,"КВР")))</f>
        <v>Уплата налога на имущество организаций и земельного налога</v>
      </c>
      <c r="B232" s="145">
        <v>801</v>
      </c>
      <c r="C232" s="8" t="s">
        <v>215</v>
      </c>
      <c r="D232" s="8" t="s">
        <v>219</v>
      </c>
      <c r="E232" s="145" t="s">
        <v>154</v>
      </c>
      <c r="F232" s="145">
        <v>851</v>
      </c>
      <c r="G232" s="69">
        <v>260</v>
      </c>
      <c r="H232" s="69"/>
      <c r="I232" s="69">
        <f t="shared" si="48"/>
        <v>260</v>
      </c>
      <c r="J232" s="69"/>
      <c r="K232" s="85">
        <f t="shared" si="49"/>
        <v>260</v>
      </c>
      <c r="L232" s="13"/>
      <c r="M232" s="85">
        <f t="shared" si="61"/>
        <v>260</v>
      </c>
      <c r="N232" s="13"/>
      <c r="O232" s="85">
        <f t="shared" si="62"/>
        <v>260</v>
      </c>
      <c r="P232" s="13"/>
      <c r="Q232" s="85">
        <f t="shared" si="58"/>
        <v>260</v>
      </c>
      <c r="R232" s="13"/>
      <c r="S232" s="85">
        <f t="shared" si="59"/>
        <v>260</v>
      </c>
      <c r="T232" s="13"/>
      <c r="U232" s="85">
        <f t="shared" si="57"/>
        <v>260</v>
      </c>
    </row>
    <row r="233" spans="1:21" s="148" customFormat="1">
      <c r="A233" s="61" t="str">
        <f ca="1">IF(ISERROR(MATCH(C233,Код_Раздел,0)),"",INDIRECT(ADDRESS(MATCH(C233,Код_Раздел,0)+1,2,,,"Раздел")))</f>
        <v>Национальная экономика</v>
      </c>
      <c r="B233" s="145">
        <v>801</v>
      </c>
      <c r="C233" s="8" t="s">
        <v>216</v>
      </c>
      <c r="D233" s="8"/>
      <c r="E233" s="145"/>
      <c r="F233" s="145"/>
      <c r="G233" s="69">
        <f>G234+G245+G277</f>
        <v>70063.100000000006</v>
      </c>
      <c r="H233" s="69">
        <f>H234+H245+H277</f>
        <v>0</v>
      </c>
      <c r="I233" s="69">
        <f t="shared" si="48"/>
        <v>70063.100000000006</v>
      </c>
      <c r="J233" s="69">
        <f>J234+J245+J277</f>
        <v>1675.6999999999998</v>
      </c>
      <c r="K233" s="85">
        <f t="shared" si="49"/>
        <v>71738.8</v>
      </c>
      <c r="L233" s="13">
        <f>L234+L245+L277</f>
        <v>-642.5</v>
      </c>
      <c r="M233" s="85">
        <f t="shared" si="61"/>
        <v>71096.3</v>
      </c>
      <c r="N233" s="13">
        <f>N234+N245+N277</f>
        <v>319.60000000000002</v>
      </c>
      <c r="O233" s="85">
        <f t="shared" si="62"/>
        <v>71415.900000000009</v>
      </c>
      <c r="P233" s="13">
        <f>P234+P245+P277+P240</f>
        <v>12800</v>
      </c>
      <c r="Q233" s="85">
        <f t="shared" si="58"/>
        <v>84215.900000000009</v>
      </c>
      <c r="R233" s="13">
        <f>R234+R245+R277+R240</f>
        <v>-3161.8</v>
      </c>
      <c r="S233" s="85">
        <f t="shared" si="59"/>
        <v>81054.100000000006</v>
      </c>
      <c r="T233" s="13">
        <f>T234+T245+T277+T240</f>
        <v>0</v>
      </c>
      <c r="U233" s="85">
        <f t="shared" si="57"/>
        <v>81054.100000000006</v>
      </c>
    </row>
    <row r="234" spans="1:21" s="148" customFormat="1">
      <c r="A234" s="76" t="s">
        <v>203</v>
      </c>
      <c r="B234" s="145">
        <v>801</v>
      </c>
      <c r="C234" s="8" t="s">
        <v>216</v>
      </c>
      <c r="D234" s="8" t="s">
        <v>213</v>
      </c>
      <c r="E234" s="145"/>
      <c r="F234" s="145"/>
      <c r="G234" s="69">
        <f t="shared" ref="G234:T238" si="63">G235</f>
        <v>1338.9</v>
      </c>
      <c r="H234" s="69">
        <f t="shared" si="63"/>
        <v>0</v>
      </c>
      <c r="I234" s="69">
        <f t="shared" si="48"/>
        <v>1338.9</v>
      </c>
      <c r="J234" s="69">
        <f t="shared" si="63"/>
        <v>0</v>
      </c>
      <c r="K234" s="85">
        <f t="shared" si="49"/>
        <v>1338.9</v>
      </c>
      <c r="L234" s="13">
        <f t="shared" si="63"/>
        <v>0</v>
      </c>
      <c r="M234" s="85">
        <f t="shared" si="61"/>
        <v>1338.9</v>
      </c>
      <c r="N234" s="13">
        <f t="shared" si="63"/>
        <v>0</v>
      </c>
      <c r="O234" s="85">
        <f t="shared" si="62"/>
        <v>1338.9</v>
      </c>
      <c r="P234" s="13">
        <f t="shared" si="63"/>
        <v>0</v>
      </c>
      <c r="Q234" s="85">
        <f t="shared" si="58"/>
        <v>1338.9</v>
      </c>
      <c r="R234" s="13">
        <f t="shared" si="63"/>
        <v>-17.399999999999999</v>
      </c>
      <c r="S234" s="85">
        <f t="shared" si="59"/>
        <v>1321.5</v>
      </c>
      <c r="T234" s="13">
        <f t="shared" si="63"/>
        <v>0</v>
      </c>
      <c r="U234" s="85">
        <f t="shared" si="57"/>
        <v>1321.5</v>
      </c>
    </row>
    <row r="235" spans="1:21" s="148" customFormat="1" ht="33">
      <c r="A235" s="61" t="str">
        <f ca="1">IF(ISERROR(MATCH(E235,Код_КЦСР,0)),"",INDIRECT(ADDRESS(MATCH(E235,Код_КЦСР,0)+1,2,,,"КЦСР")))</f>
        <v>Муниципальная программа «Развитие молодежной политики» на 2013-2018 годы</v>
      </c>
      <c r="B235" s="145">
        <v>801</v>
      </c>
      <c r="C235" s="8" t="s">
        <v>216</v>
      </c>
      <c r="D235" s="8" t="s">
        <v>213</v>
      </c>
      <c r="E235" s="145" t="s">
        <v>564</v>
      </c>
      <c r="F235" s="145"/>
      <c r="G235" s="69">
        <f t="shared" si="63"/>
        <v>1338.9</v>
      </c>
      <c r="H235" s="69">
        <f t="shared" si="63"/>
        <v>0</v>
      </c>
      <c r="I235" s="69">
        <f t="shared" si="48"/>
        <v>1338.9</v>
      </c>
      <c r="J235" s="69">
        <f t="shared" si="63"/>
        <v>0</v>
      </c>
      <c r="K235" s="85">
        <f t="shared" si="49"/>
        <v>1338.9</v>
      </c>
      <c r="L235" s="13">
        <f t="shared" si="63"/>
        <v>0</v>
      </c>
      <c r="M235" s="85">
        <f t="shared" si="61"/>
        <v>1338.9</v>
      </c>
      <c r="N235" s="13">
        <f t="shared" si="63"/>
        <v>0</v>
      </c>
      <c r="O235" s="85">
        <f t="shared" si="62"/>
        <v>1338.9</v>
      </c>
      <c r="P235" s="13">
        <f t="shared" si="63"/>
        <v>0</v>
      </c>
      <c r="Q235" s="85">
        <f t="shared" si="58"/>
        <v>1338.9</v>
      </c>
      <c r="R235" s="13">
        <f t="shared" si="63"/>
        <v>-17.399999999999999</v>
      </c>
      <c r="S235" s="85">
        <f t="shared" si="59"/>
        <v>1321.5</v>
      </c>
      <c r="T235" s="13">
        <f t="shared" si="63"/>
        <v>0</v>
      </c>
      <c r="U235" s="85">
        <f t="shared" si="57"/>
        <v>1321.5</v>
      </c>
    </row>
    <row r="236" spans="1:21" s="148" customFormat="1" ht="33">
      <c r="A236" s="61" t="str">
        <f ca="1">IF(ISERROR(MATCH(E236,Код_КЦСР,0)),"",INDIRECT(ADDRESS(MATCH(E236,Код_КЦСР,0)+1,2,,,"КЦСР")))</f>
        <v>Организация временного трудоустройства несовершеннолетних в возрасте от 14 до 18 лет</v>
      </c>
      <c r="B236" s="145">
        <v>801</v>
      </c>
      <c r="C236" s="8" t="s">
        <v>216</v>
      </c>
      <c r="D236" s="8" t="s">
        <v>213</v>
      </c>
      <c r="E236" s="145" t="s">
        <v>566</v>
      </c>
      <c r="F236" s="145"/>
      <c r="G236" s="69">
        <f t="shared" si="63"/>
        <v>1338.9</v>
      </c>
      <c r="H236" s="69">
        <f t="shared" si="63"/>
        <v>0</v>
      </c>
      <c r="I236" s="69">
        <f t="shared" si="48"/>
        <v>1338.9</v>
      </c>
      <c r="J236" s="69">
        <f t="shared" si="63"/>
        <v>0</v>
      </c>
      <c r="K236" s="85">
        <f t="shared" si="49"/>
        <v>1338.9</v>
      </c>
      <c r="L236" s="13">
        <f t="shared" si="63"/>
        <v>0</v>
      </c>
      <c r="M236" s="85">
        <f t="shared" si="61"/>
        <v>1338.9</v>
      </c>
      <c r="N236" s="13">
        <f t="shared" si="63"/>
        <v>0</v>
      </c>
      <c r="O236" s="85">
        <f t="shared" si="62"/>
        <v>1338.9</v>
      </c>
      <c r="P236" s="13">
        <f t="shared" si="63"/>
        <v>0</v>
      </c>
      <c r="Q236" s="85">
        <f t="shared" si="58"/>
        <v>1338.9</v>
      </c>
      <c r="R236" s="13">
        <f t="shared" si="63"/>
        <v>-17.399999999999999</v>
      </c>
      <c r="S236" s="85">
        <f t="shared" si="59"/>
        <v>1321.5</v>
      </c>
      <c r="T236" s="13">
        <f t="shared" si="63"/>
        <v>0</v>
      </c>
      <c r="U236" s="85">
        <f t="shared" si="57"/>
        <v>1321.5</v>
      </c>
    </row>
    <row r="237" spans="1:21" s="148" customFormat="1" ht="33">
      <c r="A237" s="61" t="str">
        <f ca="1">IF(ISERROR(MATCH(F237,Код_КВР,0)),"",INDIRECT(ADDRESS(MATCH(F237,Код_КВР,0)+1,2,,,"КВР")))</f>
        <v>Предоставление субсидий бюджетным, автономным учреждениям и иным некоммерческим организациям</v>
      </c>
      <c r="B237" s="145">
        <v>801</v>
      </c>
      <c r="C237" s="8" t="s">
        <v>216</v>
      </c>
      <c r="D237" s="8" t="s">
        <v>213</v>
      </c>
      <c r="E237" s="145" t="s">
        <v>566</v>
      </c>
      <c r="F237" s="145">
        <v>600</v>
      </c>
      <c r="G237" s="69">
        <f t="shared" si="63"/>
        <v>1338.9</v>
      </c>
      <c r="H237" s="69">
        <f t="shared" si="63"/>
        <v>0</v>
      </c>
      <c r="I237" s="69">
        <f t="shared" si="48"/>
        <v>1338.9</v>
      </c>
      <c r="J237" s="69">
        <f t="shared" si="63"/>
        <v>0</v>
      </c>
      <c r="K237" s="85">
        <f t="shared" si="49"/>
        <v>1338.9</v>
      </c>
      <c r="L237" s="13">
        <f t="shared" si="63"/>
        <v>0</v>
      </c>
      <c r="M237" s="85">
        <f t="shared" si="61"/>
        <v>1338.9</v>
      </c>
      <c r="N237" s="13">
        <f t="shared" si="63"/>
        <v>0</v>
      </c>
      <c r="O237" s="85">
        <f t="shared" si="62"/>
        <v>1338.9</v>
      </c>
      <c r="P237" s="13">
        <f t="shared" si="63"/>
        <v>0</v>
      </c>
      <c r="Q237" s="85">
        <f t="shared" si="58"/>
        <v>1338.9</v>
      </c>
      <c r="R237" s="13">
        <f t="shared" si="63"/>
        <v>-17.399999999999999</v>
      </c>
      <c r="S237" s="85">
        <f t="shared" si="59"/>
        <v>1321.5</v>
      </c>
      <c r="T237" s="13">
        <f t="shared" si="63"/>
        <v>0</v>
      </c>
      <c r="U237" s="85">
        <f t="shared" si="57"/>
        <v>1321.5</v>
      </c>
    </row>
    <row r="238" spans="1:21" s="148" customFormat="1">
      <c r="A238" s="61" t="str">
        <f ca="1">IF(ISERROR(MATCH(F238,Код_КВР,0)),"",INDIRECT(ADDRESS(MATCH(F238,Код_КВР,0)+1,2,,,"КВР")))</f>
        <v>Субсидии бюджетным учреждениям</v>
      </c>
      <c r="B238" s="145">
        <v>801</v>
      </c>
      <c r="C238" s="8" t="s">
        <v>216</v>
      </c>
      <c r="D238" s="8" t="s">
        <v>213</v>
      </c>
      <c r="E238" s="145" t="s">
        <v>566</v>
      </c>
      <c r="F238" s="145">
        <v>610</v>
      </c>
      <c r="G238" s="69">
        <f t="shared" si="63"/>
        <v>1338.9</v>
      </c>
      <c r="H238" s="69">
        <f t="shared" si="63"/>
        <v>0</v>
      </c>
      <c r="I238" s="69">
        <f t="shared" si="48"/>
        <v>1338.9</v>
      </c>
      <c r="J238" s="69">
        <f t="shared" si="63"/>
        <v>0</v>
      </c>
      <c r="K238" s="85">
        <f t="shared" si="49"/>
        <v>1338.9</v>
      </c>
      <c r="L238" s="13">
        <f t="shared" si="63"/>
        <v>0</v>
      </c>
      <c r="M238" s="85">
        <f t="shared" si="61"/>
        <v>1338.9</v>
      </c>
      <c r="N238" s="13">
        <f t="shared" si="63"/>
        <v>0</v>
      </c>
      <c r="O238" s="85">
        <f t="shared" si="62"/>
        <v>1338.9</v>
      </c>
      <c r="P238" s="13">
        <f t="shared" si="63"/>
        <v>0</v>
      </c>
      <c r="Q238" s="85">
        <f t="shared" si="58"/>
        <v>1338.9</v>
      </c>
      <c r="R238" s="13">
        <f t="shared" si="63"/>
        <v>-17.399999999999999</v>
      </c>
      <c r="S238" s="85">
        <f t="shared" si="59"/>
        <v>1321.5</v>
      </c>
      <c r="T238" s="13">
        <f t="shared" si="63"/>
        <v>0</v>
      </c>
      <c r="U238" s="85">
        <f t="shared" si="57"/>
        <v>1321.5</v>
      </c>
    </row>
    <row r="239" spans="1:21" s="148" customFormat="1" ht="49.5">
      <c r="A239" s="61" t="str">
        <f ca="1">IF(ISERROR(MATCH(F239,Код_КВР,0)),"",INDIRECT(ADDRESS(MATCH(F239,Код_КВР,0)+1,2,,,"КВР")))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39" s="145">
        <v>801</v>
      </c>
      <c r="C239" s="8" t="s">
        <v>216</v>
      </c>
      <c r="D239" s="8" t="s">
        <v>213</v>
      </c>
      <c r="E239" s="145" t="s">
        <v>566</v>
      </c>
      <c r="F239" s="145">
        <v>611</v>
      </c>
      <c r="G239" s="69">
        <v>1338.9</v>
      </c>
      <c r="H239" s="69"/>
      <c r="I239" s="69">
        <f t="shared" si="48"/>
        <v>1338.9</v>
      </c>
      <c r="J239" s="69"/>
      <c r="K239" s="85">
        <f t="shared" si="49"/>
        <v>1338.9</v>
      </c>
      <c r="L239" s="13"/>
      <c r="M239" s="85">
        <f t="shared" si="61"/>
        <v>1338.9</v>
      </c>
      <c r="N239" s="13"/>
      <c r="O239" s="85">
        <f t="shared" si="62"/>
        <v>1338.9</v>
      </c>
      <c r="P239" s="13"/>
      <c r="Q239" s="85">
        <f t="shared" si="58"/>
        <v>1338.9</v>
      </c>
      <c r="R239" s="13">
        <v>-17.399999999999999</v>
      </c>
      <c r="S239" s="85">
        <f t="shared" si="59"/>
        <v>1321.5</v>
      </c>
      <c r="T239" s="13"/>
      <c r="U239" s="85">
        <f t="shared" si="57"/>
        <v>1321.5</v>
      </c>
    </row>
    <row r="240" spans="1:21" s="148" customFormat="1">
      <c r="A240" s="77" t="s">
        <v>361</v>
      </c>
      <c r="B240" s="145">
        <v>801</v>
      </c>
      <c r="C240" s="8" t="s">
        <v>216</v>
      </c>
      <c r="D240" s="8" t="s">
        <v>222</v>
      </c>
      <c r="E240" s="145"/>
      <c r="F240" s="145"/>
      <c r="G240" s="69"/>
      <c r="H240" s="69"/>
      <c r="I240" s="69"/>
      <c r="J240" s="69"/>
      <c r="K240" s="85"/>
      <c r="L240" s="13"/>
      <c r="M240" s="85"/>
      <c r="N240" s="13"/>
      <c r="O240" s="85"/>
      <c r="P240" s="13">
        <f>P241</f>
        <v>12800</v>
      </c>
      <c r="Q240" s="85">
        <f t="shared" si="58"/>
        <v>12800</v>
      </c>
      <c r="R240" s="13">
        <f>R241</f>
        <v>0</v>
      </c>
      <c r="S240" s="85">
        <f t="shared" si="59"/>
        <v>12800</v>
      </c>
      <c r="T240" s="13">
        <f>T241</f>
        <v>0</v>
      </c>
      <c r="U240" s="85">
        <f t="shared" si="57"/>
        <v>12800</v>
      </c>
    </row>
    <row r="241" spans="1:21" s="148" customFormat="1" ht="33">
      <c r="A241" s="61" t="str">
        <f ca="1">IF(ISERROR(MATCH(E241,Код_КЦСР,0)),"",INDIRECT(ADDRESS(MATCH(E241,Код_КЦСР,0)+1,2,,,"КЦСР")))</f>
        <v>Муниципальная программа «Развитие городского общественного транспорта» на 2014-2016 годы</v>
      </c>
      <c r="B241" s="145">
        <v>801</v>
      </c>
      <c r="C241" s="8" t="s">
        <v>216</v>
      </c>
      <c r="D241" s="8" t="s">
        <v>222</v>
      </c>
      <c r="E241" s="145" t="s">
        <v>38</v>
      </c>
      <c r="F241" s="145"/>
      <c r="G241" s="69"/>
      <c r="H241" s="69"/>
      <c r="I241" s="69"/>
      <c r="J241" s="69"/>
      <c r="K241" s="85"/>
      <c r="L241" s="13"/>
      <c r="M241" s="85"/>
      <c r="N241" s="13"/>
      <c r="O241" s="85"/>
      <c r="P241" s="13">
        <f>P242</f>
        <v>12800</v>
      </c>
      <c r="Q241" s="85">
        <f t="shared" si="58"/>
        <v>12800</v>
      </c>
      <c r="R241" s="13">
        <f>R242</f>
        <v>0</v>
      </c>
      <c r="S241" s="85">
        <f t="shared" si="59"/>
        <v>12800</v>
      </c>
      <c r="T241" s="13">
        <f>T242</f>
        <v>0</v>
      </c>
      <c r="U241" s="85">
        <f t="shared" si="57"/>
        <v>12800</v>
      </c>
    </row>
    <row r="242" spans="1:21" s="148" customFormat="1" ht="66.75" customHeight="1">
      <c r="A242" s="61" t="str">
        <f ca="1">IF(ISERROR(MATCH(E242,Код_КЦСР,0)),"",INDIRECT(ADDRESS(MATCH(E242,Код_КЦСР,0)+1,2,,,"КЦСР")))</f>
        <v>Обеспечение равной доступности услуг общественного транспорта по перевозке пассажиров по социально-значимым маршрутам</v>
      </c>
      <c r="B242" s="145">
        <v>801</v>
      </c>
      <c r="C242" s="8" t="s">
        <v>216</v>
      </c>
      <c r="D242" s="8" t="s">
        <v>222</v>
      </c>
      <c r="E242" s="145" t="s">
        <v>636</v>
      </c>
      <c r="F242" s="143"/>
      <c r="G242" s="69"/>
      <c r="H242" s="69"/>
      <c r="I242" s="69"/>
      <c r="J242" s="69"/>
      <c r="K242" s="85"/>
      <c r="L242" s="13"/>
      <c r="M242" s="85"/>
      <c r="N242" s="13"/>
      <c r="O242" s="85"/>
      <c r="P242" s="13">
        <f>P243</f>
        <v>12800</v>
      </c>
      <c r="Q242" s="85">
        <f t="shared" si="58"/>
        <v>12800</v>
      </c>
      <c r="R242" s="13">
        <f>R243</f>
        <v>0</v>
      </c>
      <c r="S242" s="85">
        <f t="shared" si="59"/>
        <v>12800</v>
      </c>
      <c r="T242" s="13">
        <f>T243</f>
        <v>0</v>
      </c>
      <c r="U242" s="85">
        <f t="shared" si="57"/>
        <v>12800</v>
      </c>
    </row>
    <row r="243" spans="1:21" s="148" customFormat="1">
      <c r="A243" s="61" t="str">
        <f ca="1">IF(ISERROR(MATCH(F243,Код_КВР,0)),"",INDIRECT(ADDRESS(MATCH(F243,Код_КВР,0)+1,2,,,"КВР")))</f>
        <v>Иные бюджетные ассигнования</v>
      </c>
      <c r="B243" s="145">
        <v>801</v>
      </c>
      <c r="C243" s="8" t="s">
        <v>216</v>
      </c>
      <c r="D243" s="8" t="s">
        <v>222</v>
      </c>
      <c r="E243" s="145" t="s">
        <v>636</v>
      </c>
      <c r="F243" s="145">
        <v>800</v>
      </c>
      <c r="G243" s="69"/>
      <c r="H243" s="69"/>
      <c r="I243" s="69"/>
      <c r="J243" s="69"/>
      <c r="K243" s="85"/>
      <c r="L243" s="13"/>
      <c r="M243" s="85"/>
      <c r="N243" s="13"/>
      <c r="O243" s="85"/>
      <c r="P243" s="13">
        <f>P244</f>
        <v>12800</v>
      </c>
      <c r="Q243" s="85">
        <f t="shared" si="58"/>
        <v>12800</v>
      </c>
      <c r="R243" s="13">
        <f>R244</f>
        <v>0</v>
      </c>
      <c r="S243" s="85">
        <f t="shared" si="59"/>
        <v>12800</v>
      </c>
      <c r="T243" s="13">
        <f>T244</f>
        <v>0</v>
      </c>
      <c r="U243" s="85">
        <f t="shared" si="57"/>
        <v>12800</v>
      </c>
    </row>
    <row r="244" spans="1:21" s="148" customFormat="1" ht="42.75" customHeight="1">
      <c r="A244" s="61" t="str">
        <f ca="1">IF(ISERROR(MATCH(F244,Код_КВР,0)),"",INDIRECT(ADDRESS(MATCH(F244,Код_КВР,0)+1,2,,,"КВР")))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244" s="145">
        <v>801</v>
      </c>
      <c r="C244" s="8" t="s">
        <v>216</v>
      </c>
      <c r="D244" s="8" t="s">
        <v>222</v>
      </c>
      <c r="E244" s="145" t="s">
        <v>636</v>
      </c>
      <c r="F244" s="145">
        <v>810</v>
      </c>
      <c r="G244" s="69"/>
      <c r="H244" s="69"/>
      <c r="I244" s="69"/>
      <c r="J244" s="69"/>
      <c r="K244" s="85"/>
      <c r="L244" s="13"/>
      <c r="M244" s="85"/>
      <c r="N244" s="13"/>
      <c r="O244" s="85"/>
      <c r="P244" s="13">
        <v>12800</v>
      </c>
      <c r="Q244" s="85">
        <f t="shared" si="58"/>
        <v>12800</v>
      </c>
      <c r="R244" s="13"/>
      <c r="S244" s="85">
        <f t="shared" si="59"/>
        <v>12800</v>
      </c>
      <c r="T244" s="13"/>
      <c r="U244" s="85">
        <f t="shared" si="57"/>
        <v>12800</v>
      </c>
    </row>
    <row r="245" spans="1:21" s="148" customFormat="1">
      <c r="A245" s="12" t="s">
        <v>230</v>
      </c>
      <c r="B245" s="145">
        <v>801</v>
      </c>
      <c r="C245" s="8" t="s">
        <v>216</v>
      </c>
      <c r="D245" s="8" t="s">
        <v>188</v>
      </c>
      <c r="E245" s="145"/>
      <c r="F245" s="145"/>
      <c r="G245" s="69">
        <f>G246+G256+G267</f>
        <v>53815.5</v>
      </c>
      <c r="H245" s="69">
        <f>H246+H256+H267</f>
        <v>0</v>
      </c>
      <c r="I245" s="69">
        <f t="shared" si="48"/>
        <v>53815.5</v>
      </c>
      <c r="J245" s="69">
        <f>J246+J256+J267</f>
        <v>1675.6999999999998</v>
      </c>
      <c r="K245" s="85">
        <f t="shared" si="49"/>
        <v>55491.199999999997</v>
      </c>
      <c r="L245" s="13">
        <f>L246+L256+L267</f>
        <v>-642.5</v>
      </c>
      <c r="M245" s="85">
        <f t="shared" si="61"/>
        <v>54848.7</v>
      </c>
      <c r="N245" s="13">
        <f>N246+N256+N267</f>
        <v>41.6</v>
      </c>
      <c r="O245" s="85">
        <f t="shared" si="62"/>
        <v>54890.299999999996</v>
      </c>
      <c r="P245" s="13">
        <f>P246+P256+P267</f>
        <v>0</v>
      </c>
      <c r="Q245" s="85">
        <f t="shared" si="58"/>
        <v>54890.299999999996</v>
      </c>
      <c r="R245" s="13">
        <f>R246+R256+R267</f>
        <v>-3457</v>
      </c>
      <c r="S245" s="85">
        <f t="shared" si="59"/>
        <v>51433.299999999996</v>
      </c>
      <c r="T245" s="13">
        <f>T246+T256+T267</f>
        <v>0</v>
      </c>
      <c r="U245" s="85">
        <f t="shared" si="57"/>
        <v>51433.299999999996</v>
      </c>
    </row>
    <row r="246" spans="1:21" s="148" customFormat="1" ht="33">
      <c r="A246" s="61" t="str">
        <f ca="1">IF(ISERROR(MATCH(E246,Код_КЦСР,0)),"",INDIRECT(ADDRESS(MATCH(E246,Код_КЦСР,0)+1,2,,,"КЦСР")))</f>
        <v>Муниципальная программа «iCity – Современные информационные технологии г. Череповца»  на 2014-2020 годы</v>
      </c>
      <c r="B246" s="145">
        <v>801</v>
      </c>
      <c r="C246" s="8" t="s">
        <v>216</v>
      </c>
      <c r="D246" s="8" t="s">
        <v>188</v>
      </c>
      <c r="E246" s="145" t="s">
        <v>582</v>
      </c>
      <c r="F246" s="145"/>
      <c r="G246" s="69">
        <f>G247+G251</f>
        <v>46345.3</v>
      </c>
      <c r="H246" s="69">
        <f>H247+H251</f>
        <v>0</v>
      </c>
      <c r="I246" s="69">
        <f t="shared" si="48"/>
        <v>46345.3</v>
      </c>
      <c r="J246" s="69">
        <f>J247+J251</f>
        <v>2175.6999999999998</v>
      </c>
      <c r="K246" s="85">
        <f t="shared" si="49"/>
        <v>48521</v>
      </c>
      <c r="L246" s="13">
        <f>L247+L251</f>
        <v>-642.5</v>
      </c>
      <c r="M246" s="85">
        <f t="shared" si="61"/>
        <v>47878.5</v>
      </c>
      <c r="N246" s="13">
        <f>N247+N251</f>
        <v>41.6</v>
      </c>
      <c r="O246" s="85">
        <f t="shared" si="62"/>
        <v>47920.1</v>
      </c>
      <c r="P246" s="13">
        <f>P247+P251</f>
        <v>1200</v>
      </c>
      <c r="Q246" s="85">
        <f t="shared" si="58"/>
        <v>49120.1</v>
      </c>
      <c r="R246" s="13">
        <f>R247+R251</f>
        <v>12.700000000000003</v>
      </c>
      <c r="S246" s="85">
        <f t="shared" si="59"/>
        <v>49132.799999999996</v>
      </c>
      <c r="T246" s="13">
        <f>T247+T251</f>
        <v>0</v>
      </c>
      <c r="U246" s="85">
        <f t="shared" si="57"/>
        <v>49132.799999999996</v>
      </c>
    </row>
    <row r="247" spans="1:21" s="148" customFormat="1" ht="49.5">
      <c r="A247" s="61" t="str">
        <f ca="1">IF(ISERROR(MATCH(E247,Код_КЦСР,0)),"",INDIRECT(ADDRESS(MATCH(E247,Код_КЦСР,0)+1,2,,,"КЦСР")))</f>
        <v>Обеспечение развития и надежного функционирования городской сетевой инфраструктуры МСПД, базирующейся на современных технических решениях</v>
      </c>
      <c r="B247" s="145">
        <v>801</v>
      </c>
      <c r="C247" s="8" t="s">
        <v>216</v>
      </c>
      <c r="D247" s="8" t="s">
        <v>188</v>
      </c>
      <c r="E247" s="145" t="s">
        <v>584</v>
      </c>
      <c r="F247" s="145"/>
      <c r="G247" s="69">
        <f t="shared" ref="G247:T249" si="64">G248</f>
        <v>736</v>
      </c>
      <c r="H247" s="69">
        <f t="shared" si="64"/>
        <v>0</v>
      </c>
      <c r="I247" s="69">
        <f t="shared" si="48"/>
        <v>736</v>
      </c>
      <c r="J247" s="69">
        <f t="shared" si="64"/>
        <v>500</v>
      </c>
      <c r="K247" s="85">
        <f t="shared" si="49"/>
        <v>1236</v>
      </c>
      <c r="L247" s="13">
        <f t="shared" si="64"/>
        <v>0</v>
      </c>
      <c r="M247" s="85">
        <f t="shared" si="61"/>
        <v>1236</v>
      </c>
      <c r="N247" s="13">
        <f t="shared" si="64"/>
        <v>0</v>
      </c>
      <c r="O247" s="85">
        <f t="shared" si="62"/>
        <v>1236</v>
      </c>
      <c r="P247" s="13">
        <f t="shared" si="64"/>
        <v>0</v>
      </c>
      <c r="Q247" s="85">
        <f t="shared" si="58"/>
        <v>1236</v>
      </c>
      <c r="R247" s="13">
        <f t="shared" si="64"/>
        <v>137.9</v>
      </c>
      <c r="S247" s="85">
        <f t="shared" si="59"/>
        <v>1373.9</v>
      </c>
      <c r="T247" s="13">
        <f t="shared" si="64"/>
        <v>81.2</v>
      </c>
      <c r="U247" s="85">
        <f t="shared" si="57"/>
        <v>1455.1000000000001</v>
      </c>
    </row>
    <row r="248" spans="1:21" s="148" customFormat="1" ht="33">
      <c r="A248" s="61" t="str">
        <f ca="1">IF(ISERROR(MATCH(F248,Код_КВР,0)),"",INDIRECT(ADDRESS(MATCH(F248,Код_КВР,0)+1,2,,,"КВР")))</f>
        <v>Предоставление субсидий бюджетным, автономным учреждениям и иным некоммерческим организациям</v>
      </c>
      <c r="B248" s="145">
        <v>801</v>
      </c>
      <c r="C248" s="8" t="s">
        <v>216</v>
      </c>
      <c r="D248" s="8" t="s">
        <v>188</v>
      </c>
      <c r="E248" s="145" t="s">
        <v>584</v>
      </c>
      <c r="F248" s="145">
        <v>600</v>
      </c>
      <c r="G248" s="69">
        <f t="shared" si="64"/>
        <v>736</v>
      </c>
      <c r="H248" s="69">
        <f t="shared" si="64"/>
        <v>0</v>
      </c>
      <c r="I248" s="69">
        <f t="shared" si="48"/>
        <v>736</v>
      </c>
      <c r="J248" s="69">
        <f t="shared" si="64"/>
        <v>500</v>
      </c>
      <c r="K248" s="85">
        <f t="shared" si="49"/>
        <v>1236</v>
      </c>
      <c r="L248" s="13">
        <f t="shared" si="64"/>
        <v>0</v>
      </c>
      <c r="M248" s="85">
        <f t="shared" si="61"/>
        <v>1236</v>
      </c>
      <c r="N248" s="13">
        <f t="shared" si="64"/>
        <v>0</v>
      </c>
      <c r="O248" s="85">
        <f t="shared" si="62"/>
        <v>1236</v>
      </c>
      <c r="P248" s="13">
        <f t="shared" si="64"/>
        <v>0</v>
      </c>
      <c r="Q248" s="85">
        <f t="shared" si="58"/>
        <v>1236</v>
      </c>
      <c r="R248" s="13">
        <f t="shared" si="64"/>
        <v>137.9</v>
      </c>
      <c r="S248" s="85">
        <f t="shared" si="59"/>
        <v>1373.9</v>
      </c>
      <c r="T248" s="13">
        <f t="shared" si="64"/>
        <v>81.2</v>
      </c>
      <c r="U248" s="85">
        <f t="shared" si="57"/>
        <v>1455.1000000000001</v>
      </c>
    </row>
    <row r="249" spans="1:21" s="148" customFormat="1">
      <c r="A249" s="61" t="str">
        <f ca="1">IF(ISERROR(MATCH(F249,Код_КВР,0)),"",INDIRECT(ADDRESS(MATCH(F249,Код_КВР,0)+1,2,,,"КВР")))</f>
        <v>Субсидии бюджетным учреждениям</v>
      </c>
      <c r="B249" s="145">
        <v>801</v>
      </c>
      <c r="C249" s="8" t="s">
        <v>216</v>
      </c>
      <c r="D249" s="8" t="s">
        <v>188</v>
      </c>
      <c r="E249" s="145" t="s">
        <v>584</v>
      </c>
      <c r="F249" s="145">
        <v>610</v>
      </c>
      <c r="G249" s="69">
        <f t="shared" si="64"/>
        <v>736</v>
      </c>
      <c r="H249" s="69">
        <f t="shared" si="64"/>
        <v>0</v>
      </c>
      <c r="I249" s="69">
        <f t="shared" si="48"/>
        <v>736</v>
      </c>
      <c r="J249" s="69">
        <f t="shared" si="64"/>
        <v>500</v>
      </c>
      <c r="K249" s="85">
        <f t="shared" si="49"/>
        <v>1236</v>
      </c>
      <c r="L249" s="13">
        <f t="shared" si="64"/>
        <v>0</v>
      </c>
      <c r="M249" s="85">
        <f t="shared" si="61"/>
        <v>1236</v>
      </c>
      <c r="N249" s="13">
        <f t="shared" si="64"/>
        <v>0</v>
      </c>
      <c r="O249" s="85">
        <f t="shared" si="62"/>
        <v>1236</v>
      </c>
      <c r="P249" s="13">
        <f t="shared" si="64"/>
        <v>0</v>
      </c>
      <c r="Q249" s="85">
        <f t="shared" si="58"/>
        <v>1236</v>
      </c>
      <c r="R249" s="13">
        <f t="shared" si="64"/>
        <v>137.9</v>
      </c>
      <c r="S249" s="85">
        <f t="shared" si="59"/>
        <v>1373.9</v>
      </c>
      <c r="T249" s="13">
        <f t="shared" si="64"/>
        <v>81.2</v>
      </c>
      <c r="U249" s="85">
        <f t="shared" si="57"/>
        <v>1455.1000000000001</v>
      </c>
    </row>
    <row r="250" spans="1:21" s="148" customFormat="1">
      <c r="A250" s="61" t="str">
        <f ca="1">IF(ISERROR(MATCH(F250,Код_КВР,0)),"",INDIRECT(ADDRESS(MATCH(F250,Код_КВР,0)+1,2,,,"КВР")))</f>
        <v>Субсидии бюджетным учреждениям на иные цели</v>
      </c>
      <c r="B250" s="145">
        <v>801</v>
      </c>
      <c r="C250" s="8" t="s">
        <v>216</v>
      </c>
      <c r="D250" s="8" t="s">
        <v>188</v>
      </c>
      <c r="E250" s="145" t="s">
        <v>584</v>
      </c>
      <c r="F250" s="145">
        <v>612</v>
      </c>
      <c r="G250" s="69">
        <v>736</v>
      </c>
      <c r="H250" s="69"/>
      <c r="I250" s="69">
        <f t="shared" ref="I250:I316" si="65">G250+H250</f>
        <v>736</v>
      </c>
      <c r="J250" s="69">
        <v>500</v>
      </c>
      <c r="K250" s="85">
        <f t="shared" ref="K250:K316" si="66">I250+J250</f>
        <v>1236</v>
      </c>
      <c r="L250" s="13"/>
      <c r="M250" s="85">
        <f t="shared" si="61"/>
        <v>1236</v>
      </c>
      <c r="N250" s="13"/>
      <c r="O250" s="85">
        <f t="shared" si="62"/>
        <v>1236</v>
      </c>
      <c r="P250" s="13"/>
      <c r="Q250" s="85">
        <f t="shared" si="58"/>
        <v>1236</v>
      </c>
      <c r="R250" s="13">
        <f>162-24.1</f>
        <v>137.9</v>
      </c>
      <c r="S250" s="85">
        <f t="shared" si="59"/>
        <v>1373.9</v>
      </c>
      <c r="T250" s="13">
        <f>-98.2+179.4</f>
        <v>81.2</v>
      </c>
      <c r="U250" s="85">
        <f t="shared" si="57"/>
        <v>1455.1000000000001</v>
      </c>
    </row>
    <row r="251" spans="1:21" s="148" customFormat="1" ht="87.75" customHeight="1">
      <c r="A251" s="61" t="str">
        <f ca="1">IF(ISERROR(MATCH(E251,Код_КЦСР,0)),"",INDIRECT(ADDRESS(MATCH(E251,Код_КЦСР,0)+1,2,,,"КЦСР")))</f>
        <v>Обеспечение выполнения муниципального задания бюджетным учреждением города в сфере информационных технологий по обеспечению надежного функционирования технической и сетевой инфраструктуры, информационных систем, средств связи органов мэрии города</v>
      </c>
      <c r="B251" s="145">
        <v>801</v>
      </c>
      <c r="C251" s="8" t="s">
        <v>216</v>
      </c>
      <c r="D251" s="8" t="s">
        <v>188</v>
      </c>
      <c r="E251" s="145" t="s">
        <v>585</v>
      </c>
      <c r="F251" s="145"/>
      <c r="G251" s="69">
        <f>G252</f>
        <v>45609.3</v>
      </c>
      <c r="H251" s="69">
        <f>H252</f>
        <v>0</v>
      </c>
      <c r="I251" s="69">
        <f t="shared" si="65"/>
        <v>45609.3</v>
      </c>
      <c r="J251" s="69">
        <f>J252</f>
        <v>1675.7</v>
      </c>
      <c r="K251" s="85">
        <f t="shared" si="66"/>
        <v>47285</v>
      </c>
      <c r="L251" s="13">
        <f>L252</f>
        <v>-642.5</v>
      </c>
      <c r="M251" s="85">
        <f t="shared" si="61"/>
        <v>46642.5</v>
      </c>
      <c r="N251" s="13">
        <f>N252</f>
        <v>41.6</v>
      </c>
      <c r="O251" s="85">
        <f t="shared" si="62"/>
        <v>46684.1</v>
      </c>
      <c r="P251" s="13">
        <f>P252</f>
        <v>1200</v>
      </c>
      <c r="Q251" s="85">
        <f t="shared" si="58"/>
        <v>47884.1</v>
      </c>
      <c r="R251" s="13">
        <f>R252</f>
        <v>-125.2</v>
      </c>
      <c r="S251" s="85">
        <f t="shared" si="59"/>
        <v>47758.9</v>
      </c>
      <c r="T251" s="13">
        <f>T252</f>
        <v>-81.199999999999989</v>
      </c>
      <c r="U251" s="85">
        <f t="shared" si="57"/>
        <v>47677.700000000004</v>
      </c>
    </row>
    <row r="252" spans="1:21" s="148" customFormat="1" ht="33">
      <c r="A252" s="61" t="str">
        <f ca="1">IF(ISERROR(MATCH(F252,Код_КВР,0)),"",INDIRECT(ADDRESS(MATCH(F252,Код_КВР,0)+1,2,,,"КВР")))</f>
        <v>Предоставление субсидий бюджетным, автономным учреждениям и иным некоммерческим организациям</v>
      </c>
      <c r="B252" s="145">
        <v>801</v>
      </c>
      <c r="C252" s="8" t="s">
        <v>216</v>
      </c>
      <c r="D252" s="8" t="s">
        <v>188</v>
      </c>
      <c r="E252" s="145" t="s">
        <v>585</v>
      </c>
      <c r="F252" s="145">
        <v>600</v>
      </c>
      <c r="G252" s="69">
        <f>G253</f>
        <v>45609.3</v>
      </c>
      <c r="H252" s="69">
        <f>H253</f>
        <v>0</v>
      </c>
      <c r="I252" s="69">
        <f t="shared" si="65"/>
        <v>45609.3</v>
      </c>
      <c r="J252" s="69">
        <f>J253</f>
        <v>1675.7</v>
      </c>
      <c r="K252" s="85">
        <f t="shared" si="66"/>
        <v>47285</v>
      </c>
      <c r="L252" s="13">
        <f>L253</f>
        <v>-642.5</v>
      </c>
      <c r="M252" s="85">
        <f t="shared" si="61"/>
        <v>46642.5</v>
      </c>
      <c r="N252" s="13">
        <f>N253</f>
        <v>41.6</v>
      </c>
      <c r="O252" s="85">
        <f t="shared" si="62"/>
        <v>46684.1</v>
      </c>
      <c r="P252" s="13">
        <f>P253</f>
        <v>1200</v>
      </c>
      <c r="Q252" s="85">
        <f t="shared" si="58"/>
        <v>47884.1</v>
      </c>
      <c r="R252" s="13">
        <f>R253</f>
        <v>-125.2</v>
      </c>
      <c r="S252" s="85">
        <f t="shared" si="59"/>
        <v>47758.9</v>
      </c>
      <c r="T252" s="13">
        <f>T253</f>
        <v>-81.199999999999989</v>
      </c>
      <c r="U252" s="85">
        <f t="shared" si="57"/>
        <v>47677.700000000004</v>
      </c>
    </row>
    <row r="253" spans="1:21" s="148" customFormat="1">
      <c r="A253" s="61" t="str">
        <f ca="1">IF(ISERROR(MATCH(F253,Код_КВР,0)),"",INDIRECT(ADDRESS(MATCH(F253,Код_КВР,0)+1,2,,,"КВР")))</f>
        <v>Субсидии бюджетным учреждениям</v>
      </c>
      <c r="B253" s="145">
        <v>801</v>
      </c>
      <c r="C253" s="8" t="s">
        <v>216</v>
      </c>
      <c r="D253" s="8" t="s">
        <v>188</v>
      </c>
      <c r="E253" s="145" t="s">
        <v>585</v>
      </c>
      <c r="F253" s="145">
        <v>610</v>
      </c>
      <c r="G253" s="69">
        <f>SUM(G254:G255)</f>
        <v>45609.3</v>
      </c>
      <c r="H253" s="69">
        <f>SUM(H254:H255)</f>
        <v>0</v>
      </c>
      <c r="I253" s="69">
        <f t="shared" si="65"/>
        <v>45609.3</v>
      </c>
      <c r="J253" s="69">
        <f>SUM(J254:J255)</f>
        <v>1675.7</v>
      </c>
      <c r="K253" s="85">
        <f t="shared" si="66"/>
        <v>47285</v>
      </c>
      <c r="L253" s="13">
        <f>SUM(L254:L255)</f>
        <v>-642.5</v>
      </c>
      <c r="M253" s="85">
        <f t="shared" si="61"/>
        <v>46642.5</v>
      </c>
      <c r="N253" s="13">
        <f>SUM(N254:N255)</f>
        <v>41.6</v>
      </c>
      <c r="O253" s="85">
        <f t="shared" si="62"/>
        <v>46684.1</v>
      </c>
      <c r="P253" s="13">
        <f>SUM(P254:P255)</f>
        <v>1200</v>
      </c>
      <c r="Q253" s="85">
        <f t="shared" si="58"/>
        <v>47884.1</v>
      </c>
      <c r="R253" s="13">
        <f>SUM(R254:R255)</f>
        <v>-125.2</v>
      </c>
      <c r="S253" s="85">
        <f t="shared" si="59"/>
        <v>47758.9</v>
      </c>
      <c r="T253" s="13">
        <f>SUM(T254:T255)</f>
        <v>-81.199999999999989</v>
      </c>
      <c r="U253" s="85">
        <f t="shared" si="57"/>
        <v>47677.700000000004</v>
      </c>
    </row>
    <row r="254" spans="1:21" s="148" customFormat="1" ht="49.5">
      <c r="A254" s="61" t="str">
        <f ca="1">IF(ISERROR(MATCH(F254,Код_КВР,0)),"",INDIRECT(ADDRESS(MATCH(F254,Код_КВР,0)+1,2,,,"КВР")))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254" s="145">
        <v>801</v>
      </c>
      <c r="C254" s="8" t="s">
        <v>216</v>
      </c>
      <c r="D254" s="8" t="s">
        <v>188</v>
      </c>
      <c r="E254" s="145" t="s">
        <v>585</v>
      </c>
      <c r="F254" s="145">
        <v>611</v>
      </c>
      <c r="G254" s="69">
        <v>42162.3</v>
      </c>
      <c r="H254" s="69"/>
      <c r="I254" s="69">
        <f t="shared" si="65"/>
        <v>42162.3</v>
      </c>
      <c r="J254" s="69">
        <f>1411.7+134</f>
        <v>1545.7</v>
      </c>
      <c r="K254" s="85">
        <f t="shared" si="66"/>
        <v>43708</v>
      </c>
      <c r="L254" s="13">
        <f>-247.9-394.6</f>
        <v>-642.5</v>
      </c>
      <c r="M254" s="85">
        <f t="shared" si="61"/>
        <v>43065.5</v>
      </c>
      <c r="N254" s="13"/>
      <c r="O254" s="85">
        <f t="shared" si="62"/>
        <v>43065.5</v>
      </c>
      <c r="P254" s="13"/>
      <c r="Q254" s="85">
        <f t="shared" si="58"/>
        <v>43065.5</v>
      </c>
      <c r="R254" s="13"/>
      <c r="S254" s="85">
        <f t="shared" si="59"/>
        <v>43065.5</v>
      </c>
      <c r="T254" s="13"/>
      <c r="U254" s="85">
        <f t="shared" si="57"/>
        <v>43065.5</v>
      </c>
    </row>
    <row r="255" spans="1:21" s="148" customFormat="1">
      <c r="A255" s="61" t="str">
        <f ca="1">IF(ISERROR(MATCH(F255,Код_КВР,0)),"",INDIRECT(ADDRESS(MATCH(F255,Код_КВР,0)+1,2,,,"КВР")))</f>
        <v>Субсидии бюджетным учреждениям на иные цели</v>
      </c>
      <c r="B255" s="145">
        <v>801</v>
      </c>
      <c r="C255" s="8" t="s">
        <v>216</v>
      </c>
      <c r="D255" s="8" t="s">
        <v>188</v>
      </c>
      <c r="E255" s="145" t="s">
        <v>585</v>
      </c>
      <c r="F255" s="145">
        <v>612</v>
      </c>
      <c r="G255" s="69">
        <v>3447</v>
      </c>
      <c r="H255" s="69"/>
      <c r="I255" s="69">
        <f t="shared" si="65"/>
        <v>3447</v>
      </c>
      <c r="J255" s="69">
        <v>130</v>
      </c>
      <c r="K255" s="85">
        <f t="shared" si="66"/>
        <v>3577</v>
      </c>
      <c r="L255" s="13"/>
      <c r="M255" s="85">
        <f t="shared" si="61"/>
        <v>3577</v>
      </c>
      <c r="N255" s="13">
        <v>41.6</v>
      </c>
      <c r="O255" s="85">
        <f t="shared" si="62"/>
        <v>3618.6</v>
      </c>
      <c r="P255" s="13">
        <v>1200</v>
      </c>
      <c r="Q255" s="85">
        <f t="shared" si="58"/>
        <v>4818.6000000000004</v>
      </c>
      <c r="R255" s="13">
        <f>-24-23.3-77.9</f>
        <v>-125.2</v>
      </c>
      <c r="S255" s="85">
        <f t="shared" si="59"/>
        <v>4693.4000000000005</v>
      </c>
      <c r="T255" s="13">
        <f>-42.6-4.6-33.9-0.1</f>
        <v>-81.199999999999989</v>
      </c>
      <c r="U255" s="85">
        <f t="shared" si="57"/>
        <v>4612.2000000000007</v>
      </c>
    </row>
    <row r="256" spans="1:21" s="148" customFormat="1" ht="33">
      <c r="A256" s="61" t="str">
        <f ca="1">IF(ISERROR(MATCH(E256,Код_КЦСР,0)),"",INDIRECT(ADDRESS(MATCH(E256,Код_КЦСР,0)+1,2,,,"КЦСР")))</f>
        <v>Муниципальная программа «Совершенствование муниципального управления в городе Череповце» на 2014-2018 годы</v>
      </c>
      <c r="B256" s="145">
        <v>801</v>
      </c>
      <c r="C256" s="8" t="s">
        <v>216</v>
      </c>
      <c r="D256" s="8" t="s">
        <v>188</v>
      </c>
      <c r="E256" s="145" t="s">
        <v>123</v>
      </c>
      <c r="F256" s="145"/>
      <c r="G256" s="69">
        <f>G257+G262</f>
        <v>6170</v>
      </c>
      <c r="H256" s="69">
        <f>H257+H262</f>
        <v>0</v>
      </c>
      <c r="I256" s="69">
        <f t="shared" si="65"/>
        <v>6170</v>
      </c>
      <c r="J256" s="69">
        <f>J257+J262</f>
        <v>-500</v>
      </c>
      <c r="K256" s="85">
        <f t="shared" si="66"/>
        <v>5670</v>
      </c>
      <c r="L256" s="13">
        <f>L257+L262</f>
        <v>0</v>
      </c>
      <c r="M256" s="85">
        <f t="shared" si="61"/>
        <v>5670</v>
      </c>
      <c r="N256" s="13">
        <f>N257+N262</f>
        <v>0</v>
      </c>
      <c r="O256" s="85">
        <f t="shared" si="62"/>
        <v>5670</v>
      </c>
      <c r="P256" s="13">
        <f>P257+P262</f>
        <v>-1200</v>
      </c>
      <c r="Q256" s="85">
        <f t="shared" si="58"/>
        <v>4470</v>
      </c>
      <c r="R256" s="13">
        <f>R257+R262</f>
        <v>-3469.7</v>
      </c>
      <c r="S256" s="85">
        <f t="shared" si="59"/>
        <v>1000.3000000000002</v>
      </c>
      <c r="T256" s="13">
        <f>T257+T262</f>
        <v>0</v>
      </c>
      <c r="U256" s="85">
        <f t="shared" si="57"/>
        <v>1000.3000000000002</v>
      </c>
    </row>
    <row r="257" spans="1:21" s="148" customFormat="1" ht="33">
      <c r="A257" s="61" t="str">
        <f ca="1">IF(ISERROR(MATCH(E257,Код_КЦСР,0)),"",INDIRECT(ADDRESS(MATCH(E257,Код_КЦСР,0)+1,2,,,"КЦСР")))</f>
        <v>Создание условий для обеспечения выполнения органами муниципальной власти своих полномочий</v>
      </c>
      <c r="B257" s="145">
        <v>801</v>
      </c>
      <c r="C257" s="8" t="s">
        <v>216</v>
      </c>
      <c r="D257" s="8" t="s">
        <v>188</v>
      </c>
      <c r="E257" s="145" t="s">
        <v>124</v>
      </c>
      <c r="F257" s="145"/>
      <c r="G257" s="69">
        <f t="shared" ref="G257:T260" si="67">G258</f>
        <v>290</v>
      </c>
      <c r="H257" s="69">
        <f t="shared" si="67"/>
        <v>0</v>
      </c>
      <c r="I257" s="69">
        <f t="shared" si="65"/>
        <v>290</v>
      </c>
      <c r="J257" s="69">
        <f t="shared" si="67"/>
        <v>0</v>
      </c>
      <c r="K257" s="85">
        <f t="shared" si="66"/>
        <v>290</v>
      </c>
      <c r="L257" s="13">
        <f t="shared" si="67"/>
        <v>0</v>
      </c>
      <c r="M257" s="85">
        <f t="shared" si="61"/>
        <v>290</v>
      </c>
      <c r="N257" s="13">
        <f t="shared" si="67"/>
        <v>0</v>
      </c>
      <c r="O257" s="85">
        <f t="shared" si="62"/>
        <v>290</v>
      </c>
      <c r="P257" s="13">
        <f t="shared" si="67"/>
        <v>0</v>
      </c>
      <c r="Q257" s="85">
        <f t="shared" si="58"/>
        <v>290</v>
      </c>
      <c r="R257" s="13">
        <f t="shared" si="67"/>
        <v>-12.7</v>
      </c>
      <c r="S257" s="85">
        <f t="shared" si="59"/>
        <v>277.3</v>
      </c>
      <c r="T257" s="13">
        <f t="shared" si="67"/>
        <v>0</v>
      </c>
      <c r="U257" s="85">
        <f t="shared" si="57"/>
        <v>277.3</v>
      </c>
    </row>
    <row r="258" spans="1:21" s="148" customFormat="1">
      <c r="A258" s="61" t="str">
        <f ca="1">IF(ISERROR(MATCH(E258,Код_КЦСР,0)),"",INDIRECT(ADDRESS(MATCH(E258,Код_КЦСР,0)+1,2,,,"КЦСР")))</f>
        <v>Обеспечение работы СЭД «Летограф»</v>
      </c>
      <c r="B258" s="145">
        <v>801</v>
      </c>
      <c r="C258" s="8" t="s">
        <v>216</v>
      </c>
      <c r="D258" s="8" t="s">
        <v>188</v>
      </c>
      <c r="E258" s="145" t="s">
        <v>126</v>
      </c>
      <c r="F258" s="145"/>
      <c r="G258" s="69">
        <f t="shared" si="67"/>
        <v>290</v>
      </c>
      <c r="H258" s="69">
        <f t="shared" si="67"/>
        <v>0</v>
      </c>
      <c r="I258" s="69">
        <f t="shared" si="65"/>
        <v>290</v>
      </c>
      <c r="J258" s="69">
        <f t="shared" si="67"/>
        <v>0</v>
      </c>
      <c r="K258" s="85">
        <f t="shared" si="66"/>
        <v>290</v>
      </c>
      <c r="L258" s="13">
        <f t="shared" si="67"/>
        <v>0</v>
      </c>
      <c r="M258" s="85">
        <f t="shared" si="61"/>
        <v>290</v>
      </c>
      <c r="N258" s="13">
        <f t="shared" si="67"/>
        <v>0</v>
      </c>
      <c r="O258" s="85">
        <f t="shared" si="62"/>
        <v>290</v>
      </c>
      <c r="P258" s="13">
        <f t="shared" si="67"/>
        <v>0</v>
      </c>
      <c r="Q258" s="85">
        <f t="shared" si="58"/>
        <v>290</v>
      </c>
      <c r="R258" s="13">
        <f t="shared" si="67"/>
        <v>-12.7</v>
      </c>
      <c r="S258" s="85">
        <f t="shared" si="59"/>
        <v>277.3</v>
      </c>
      <c r="T258" s="13">
        <f t="shared" si="67"/>
        <v>0</v>
      </c>
      <c r="U258" s="85">
        <f t="shared" si="57"/>
        <v>277.3</v>
      </c>
    </row>
    <row r="259" spans="1:21" s="148" customFormat="1" ht="33">
      <c r="A259" s="61" t="str">
        <f ca="1">IF(ISERROR(MATCH(F259,Код_КВР,0)),"",INDIRECT(ADDRESS(MATCH(F259,Код_КВР,0)+1,2,,,"КВР")))</f>
        <v>Предоставление субсидий бюджетным, автономным учреждениям и иным некоммерческим организациям</v>
      </c>
      <c r="B259" s="145">
        <v>801</v>
      </c>
      <c r="C259" s="8" t="s">
        <v>216</v>
      </c>
      <c r="D259" s="8" t="s">
        <v>188</v>
      </c>
      <c r="E259" s="145" t="s">
        <v>126</v>
      </c>
      <c r="F259" s="145">
        <v>600</v>
      </c>
      <c r="G259" s="69">
        <f t="shared" si="67"/>
        <v>290</v>
      </c>
      <c r="H259" s="69">
        <f t="shared" si="67"/>
        <v>0</v>
      </c>
      <c r="I259" s="69">
        <f t="shared" si="65"/>
        <v>290</v>
      </c>
      <c r="J259" s="69">
        <f t="shared" si="67"/>
        <v>0</v>
      </c>
      <c r="K259" s="85">
        <f t="shared" si="66"/>
        <v>290</v>
      </c>
      <c r="L259" s="13">
        <f t="shared" si="67"/>
        <v>0</v>
      </c>
      <c r="M259" s="85">
        <f t="shared" si="61"/>
        <v>290</v>
      </c>
      <c r="N259" s="13">
        <f t="shared" si="67"/>
        <v>0</v>
      </c>
      <c r="O259" s="85">
        <f t="shared" si="62"/>
        <v>290</v>
      </c>
      <c r="P259" s="13">
        <f t="shared" si="67"/>
        <v>0</v>
      </c>
      <c r="Q259" s="85">
        <f t="shared" si="58"/>
        <v>290</v>
      </c>
      <c r="R259" s="13">
        <f t="shared" si="67"/>
        <v>-12.7</v>
      </c>
      <c r="S259" s="85">
        <f t="shared" si="59"/>
        <v>277.3</v>
      </c>
      <c r="T259" s="13">
        <f t="shared" si="67"/>
        <v>0</v>
      </c>
      <c r="U259" s="85">
        <f t="shared" si="57"/>
        <v>277.3</v>
      </c>
    </row>
    <row r="260" spans="1:21" s="148" customFormat="1">
      <c r="A260" s="61" t="str">
        <f ca="1">IF(ISERROR(MATCH(F260,Код_КВР,0)),"",INDIRECT(ADDRESS(MATCH(F260,Код_КВР,0)+1,2,,,"КВР")))</f>
        <v>Субсидии бюджетным учреждениям</v>
      </c>
      <c r="B260" s="145">
        <v>801</v>
      </c>
      <c r="C260" s="8" t="s">
        <v>216</v>
      </c>
      <c r="D260" s="8" t="s">
        <v>188</v>
      </c>
      <c r="E260" s="145" t="s">
        <v>126</v>
      </c>
      <c r="F260" s="145">
        <v>610</v>
      </c>
      <c r="G260" s="69">
        <f t="shared" si="67"/>
        <v>290</v>
      </c>
      <c r="H260" s="69">
        <f t="shared" si="67"/>
        <v>0</v>
      </c>
      <c r="I260" s="69">
        <f>G260+H260</f>
        <v>290</v>
      </c>
      <c r="J260" s="69">
        <f t="shared" si="67"/>
        <v>0</v>
      </c>
      <c r="K260" s="85">
        <f t="shared" si="66"/>
        <v>290</v>
      </c>
      <c r="L260" s="13">
        <f t="shared" si="67"/>
        <v>0</v>
      </c>
      <c r="M260" s="85">
        <f t="shared" si="61"/>
        <v>290</v>
      </c>
      <c r="N260" s="13">
        <f t="shared" si="67"/>
        <v>0</v>
      </c>
      <c r="O260" s="85">
        <f t="shared" si="62"/>
        <v>290</v>
      </c>
      <c r="P260" s="13">
        <f t="shared" si="67"/>
        <v>0</v>
      </c>
      <c r="Q260" s="85">
        <f t="shared" si="58"/>
        <v>290</v>
      </c>
      <c r="R260" s="13">
        <f t="shared" si="67"/>
        <v>-12.7</v>
      </c>
      <c r="S260" s="85">
        <f t="shared" si="59"/>
        <v>277.3</v>
      </c>
      <c r="T260" s="13">
        <f t="shared" si="67"/>
        <v>0</v>
      </c>
      <c r="U260" s="85">
        <f t="shared" si="57"/>
        <v>277.3</v>
      </c>
    </row>
    <row r="261" spans="1:21" s="148" customFormat="1">
      <c r="A261" s="61" t="str">
        <f ca="1">IF(ISERROR(MATCH(F261,Код_КВР,0)),"",INDIRECT(ADDRESS(MATCH(F261,Код_КВР,0)+1,2,,,"КВР")))</f>
        <v>Субсидии бюджетным учреждениям на иные цели</v>
      </c>
      <c r="B261" s="145">
        <v>801</v>
      </c>
      <c r="C261" s="8" t="s">
        <v>216</v>
      </c>
      <c r="D261" s="8" t="s">
        <v>188</v>
      </c>
      <c r="E261" s="145" t="s">
        <v>126</v>
      </c>
      <c r="F261" s="145">
        <v>612</v>
      </c>
      <c r="G261" s="69">
        <v>290</v>
      </c>
      <c r="H261" s="69"/>
      <c r="I261" s="69">
        <f t="shared" si="65"/>
        <v>290</v>
      </c>
      <c r="J261" s="69"/>
      <c r="K261" s="85">
        <f t="shared" si="66"/>
        <v>290</v>
      </c>
      <c r="L261" s="13"/>
      <c r="M261" s="85">
        <f t="shared" si="61"/>
        <v>290</v>
      </c>
      <c r="N261" s="13"/>
      <c r="O261" s="85">
        <f t="shared" si="62"/>
        <v>290</v>
      </c>
      <c r="P261" s="13"/>
      <c r="Q261" s="85">
        <f t="shared" si="58"/>
        <v>290</v>
      </c>
      <c r="R261" s="13">
        <f>-12.7</f>
        <v>-12.7</v>
      </c>
      <c r="S261" s="85">
        <f t="shared" si="59"/>
        <v>277.3</v>
      </c>
      <c r="T261" s="13"/>
      <c r="U261" s="85">
        <f t="shared" si="57"/>
        <v>277.3</v>
      </c>
    </row>
    <row r="262" spans="1:21" s="148" customFormat="1" ht="75" customHeight="1">
      <c r="A262" s="61" t="str">
        <f ca="1">IF(ISERROR(MATCH(E262,Код_КЦСР,0)),"",INDIRECT(ADDRESS(MATCH(E262,Код_КЦСР,0)+1,2,,,"КЦСР")))</f>
        <v>Снижение административных барьеров, повышение качества и доступности муниципальных услуг, в том числе на базе многофункционального центра организации предоставления государственных и муниципальных услуг</v>
      </c>
      <c r="B262" s="145">
        <v>801</v>
      </c>
      <c r="C262" s="8" t="s">
        <v>216</v>
      </c>
      <c r="D262" s="8" t="s">
        <v>188</v>
      </c>
      <c r="E262" s="145" t="s">
        <v>135</v>
      </c>
      <c r="F262" s="145"/>
      <c r="G262" s="69">
        <f t="shared" ref="G262:T265" si="68">G263</f>
        <v>5880</v>
      </c>
      <c r="H262" s="69">
        <f t="shared" si="68"/>
        <v>0</v>
      </c>
      <c r="I262" s="69">
        <f t="shared" si="65"/>
        <v>5880</v>
      </c>
      <c r="J262" s="69">
        <f t="shared" si="68"/>
        <v>-500</v>
      </c>
      <c r="K262" s="85">
        <f t="shared" si="66"/>
        <v>5380</v>
      </c>
      <c r="L262" s="13">
        <f t="shared" si="68"/>
        <v>0</v>
      </c>
      <c r="M262" s="85">
        <f t="shared" si="61"/>
        <v>5380</v>
      </c>
      <c r="N262" s="13">
        <f t="shared" si="68"/>
        <v>0</v>
      </c>
      <c r="O262" s="85">
        <f t="shared" si="62"/>
        <v>5380</v>
      </c>
      <c r="P262" s="13">
        <f t="shared" si="68"/>
        <v>-1200</v>
      </c>
      <c r="Q262" s="85">
        <f t="shared" si="58"/>
        <v>4180</v>
      </c>
      <c r="R262" s="13">
        <f t="shared" si="68"/>
        <v>-3457</v>
      </c>
      <c r="S262" s="85">
        <f t="shared" si="59"/>
        <v>723</v>
      </c>
      <c r="T262" s="13">
        <f t="shared" si="68"/>
        <v>0</v>
      </c>
      <c r="U262" s="85">
        <f t="shared" si="57"/>
        <v>723</v>
      </c>
    </row>
    <row r="263" spans="1:21" s="148" customFormat="1" ht="21" customHeight="1">
      <c r="A263" s="61" t="str">
        <f ca="1">IF(ISERROR(MATCH(E263,Код_КЦСР,0)),"",INDIRECT(ADDRESS(MATCH(E263,Код_КЦСР,0)+1,2,,,"КЦСР")))</f>
        <v>Совершенствование предоставления муниципальных услуг</v>
      </c>
      <c r="B263" s="145">
        <v>801</v>
      </c>
      <c r="C263" s="8" t="s">
        <v>216</v>
      </c>
      <c r="D263" s="8" t="s">
        <v>188</v>
      </c>
      <c r="E263" s="145" t="s">
        <v>137</v>
      </c>
      <c r="F263" s="145"/>
      <c r="G263" s="69">
        <f t="shared" si="68"/>
        <v>5880</v>
      </c>
      <c r="H263" s="69">
        <f t="shared" si="68"/>
        <v>0</v>
      </c>
      <c r="I263" s="69">
        <f t="shared" si="65"/>
        <v>5880</v>
      </c>
      <c r="J263" s="69">
        <f t="shared" si="68"/>
        <v>-500</v>
      </c>
      <c r="K263" s="85">
        <f t="shared" si="66"/>
        <v>5380</v>
      </c>
      <c r="L263" s="13">
        <f t="shared" si="68"/>
        <v>0</v>
      </c>
      <c r="M263" s="85">
        <f t="shared" si="61"/>
        <v>5380</v>
      </c>
      <c r="N263" s="13">
        <f t="shared" si="68"/>
        <v>0</v>
      </c>
      <c r="O263" s="85">
        <f t="shared" si="62"/>
        <v>5380</v>
      </c>
      <c r="P263" s="13">
        <f t="shared" si="68"/>
        <v>-1200</v>
      </c>
      <c r="Q263" s="85">
        <f t="shared" si="58"/>
        <v>4180</v>
      </c>
      <c r="R263" s="13">
        <f t="shared" si="68"/>
        <v>-3457</v>
      </c>
      <c r="S263" s="85">
        <f t="shared" si="59"/>
        <v>723</v>
      </c>
      <c r="T263" s="13">
        <f t="shared" si="68"/>
        <v>0</v>
      </c>
      <c r="U263" s="85">
        <f t="shared" si="57"/>
        <v>723</v>
      </c>
    </row>
    <row r="264" spans="1:21" s="148" customFormat="1" ht="33">
      <c r="A264" s="61" t="str">
        <f ca="1">IF(ISERROR(MATCH(F264,Код_КВР,0)),"",INDIRECT(ADDRESS(MATCH(F264,Код_КВР,0)+1,2,,,"КВР")))</f>
        <v>Предоставление субсидий бюджетным, автономным учреждениям и иным некоммерческим организациям</v>
      </c>
      <c r="B264" s="145">
        <v>801</v>
      </c>
      <c r="C264" s="8" t="s">
        <v>216</v>
      </c>
      <c r="D264" s="8" t="s">
        <v>188</v>
      </c>
      <c r="E264" s="145" t="s">
        <v>137</v>
      </c>
      <c r="F264" s="145">
        <v>600</v>
      </c>
      <c r="G264" s="69">
        <f t="shared" si="68"/>
        <v>5880</v>
      </c>
      <c r="H264" s="69">
        <f t="shared" si="68"/>
        <v>0</v>
      </c>
      <c r="I264" s="69">
        <f t="shared" si="65"/>
        <v>5880</v>
      </c>
      <c r="J264" s="69">
        <f t="shared" si="68"/>
        <v>-500</v>
      </c>
      <c r="K264" s="85">
        <f t="shared" si="66"/>
        <v>5380</v>
      </c>
      <c r="L264" s="13">
        <f t="shared" si="68"/>
        <v>0</v>
      </c>
      <c r="M264" s="85">
        <f t="shared" si="61"/>
        <v>5380</v>
      </c>
      <c r="N264" s="13">
        <f t="shared" si="68"/>
        <v>0</v>
      </c>
      <c r="O264" s="85">
        <f t="shared" si="62"/>
        <v>5380</v>
      </c>
      <c r="P264" s="13">
        <f t="shared" si="68"/>
        <v>-1200</v>
      </c>
      <c r="Q264" s="85">
        <f t="shared" si="58"/>
        <v>4180</v>
      </c>
      <c r="R264" s="13">
        <f t="shared" si="68"/>
        <v>-3457</v>
      </c>
      <c r="S264" s="85">
        <f t="shared" si="59"/>
        <v>723</v>
      </c>
      <c r="T264" s="13">
        <f t="shared" si="68"/>
        <v>0</v>
      </c>
      <c r="U264" s="85">
        <f t="shared" si="57"/>
        <v>723</v>
      </c>
    </row>
    <row r="265" spans="1:21" s="148" customFormat="1">
      <c r="A265" s="61" t="str">
        <f ca="1">IF(ISERROR(MATCH(F265,Код_КВР,0)),"",INDIRECT(ADDRESS(MATCH(F265,Код_КВР,0)+1,2,,,"КВР")))</f>
        <v>Субсидии бюджетным учреждениям</v>
      </c>
      <c r="B265" s="145">
        <v>801</v>
      </c>
      <c r="C265" s="8" t="s">
        <v>216</v>
      </c>
      <c r="D265" s="8" t="s">
        <v>188</v>
      </c>
      <c r="E265" s="145" t="s">
        <v>137</v>
      </c>
      <c r="F265" s="145">
        <v>610</v>
      </c>
      <c r="G265" s="69">
        <f t="shared" si="68"/>
        <v>5880</v>
      </c>
      <c r="H265" s="69">
        <f t="shared" si="68"/>
        <v>0</v>
      </c>
      <c r="I265" s="69">
        <f t="shared" si="65"/>
        <v>5880</v>
      </c>
      <c r="J265" s="69">
        <f t="shared" si="68"/>
        <v>-500</v>
      </c>
      <c r="K265" s="85">
        <f t="shared" si="66"/>
        <v>5380</v>
      </c>
      <c r="L265" s="13">
        <f t="shared" si="68"/>
        <v>0</v>
      </c>
      <c r="M265" s="85">
        <f t="shared" si="61"/>
        <v>5380</v>
      </c>
      <c r="N265" s="13">
        <f t="shared" si="68"/>
        <v>0</v>
      </c>
      <c r="O265" s="85">
        <f t="shared" si="62"/>
        <v>5380</v>
      </c>
      <c r="P265" s="13">
        <f t="shared" si="68"/>
        <v>-1200</v>
      </c>
      <c r="Q265" s="85">
        <f t="shared" si="58"/>
        <v>4180</v>
      </c>
      <c r="R265" s="13">
        <f t="shared" si="68"/>
        <v>-3457</v>
      </c>
      <c r="S265" s="85">
        <f t="shared" si="59"/>
        <v>723</v>
      </c>
      <c r="T265" s="13">
        <f t="shared" si="68"/>
        <v>0</v>
      </c>
      <c r="U265" s="85">
        <f t="shared" si="57"/>
        <v>723</v>
      </c>
    </row>
    <row r="266" spans="1:21" s="148" customFormat="1">
      <c r="A266" s="61" t="str">
        <f ca="1">IF(ISERROR(MATCH(F266,Код_КВР,0)),"",INDIRECT(ADDRESS(MATCH(F266,Код_КВР,0)+1,2,,,"КВР")))</f>
        <v>Субсидии бюджетным учреждениям на иные цели</v>
      </c>
      <c r="B266" s="145">
        <v>801</v>
      </c>
      <c r="C266" s="8" t="s">
        <v>216</v>
      </c>
      <c r="D266" s="8" t="s">
        <v>188</v>
      </c>
      <c r="E266" s="145" t="s">
        <v>137</v>
      </c>
      <c r="F266" s="145">
        <v>612</v>
      </c>
      <c r="G266" s="69">
        <v>5880</v>
      </c>
      <c r="H266" s="69"/>
      <c r="I266" s="69">
        <f t="shared" si="65"/>
        <v>5880</v>
      </c>
      <c r="J266" s="69">
        <v>-500</v>
      </c>
      <c r="K266" s="85">
        <f t="shared" si="66"/>
        <v>5380</v>
      </c>
      <c r="L266" s="13"/>
      <c r="M266" s="85">
        <f t="shared" si="61"/>
        <v>5380</v>
      </c>
      <c r="N266" s="13"/>
      <c r="O266" s="85">
        <f t="shared" si="62"/>
        <v>5380</v>
      </c>
      <c r="P266" s="13">
        <v>-1200</v>
      </c>
      <c r="Q266" s="85">
        <f t="shared" si="58"/>
        <v>4180</v>
      </c>
      <c r="R266" s="13">
        <f>-4657+1200</f>
        <v>-3457</v>
      </c>
      <c r="S266" s="85">
        <f t="shared" si="59"/>
        <v>723</v>
      </c>
      <c r="T266" s="13"/>
      <c r="U266" s="85">
        <f t="shared" si="57"/>
        <v>723</v>
      </c>
    </row>
    <row r="267" spans="1:21" s="148" customFormat="1" ht="33">
      <c r="A267" s="61" t="str">
        <f ca="1">IF(ISERROR(MATCH(E267,Код_КЦСР,0)),"",INDIRECT(ADDRESS(MATCH(E267,Код_КЦСР,0)+1,2,,,"КЦСР")))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267" s="145">
        <v>801</v>
      </c>
      <c r="C267" s="8" t="s">
        <v>216</v>
      </c>
      <c r="D267" s="8" t="s">
        <v>188</v>
      </c>
      <c r="E267" s="145" t="s">
        <v>150</v>
      </c>
      <c r="F267" s="145"/>
      <c r="G267" s="69">
        <f>G268</f>
        <v>1300.2</v>
      </c>
      <c r="H267" s="69">
        <f>H268</f>
        <v>0</v>
      </c>
      <c r="I267" s="69">
        <f t="shared" si="65"/>
        <v>1300.2</v>
      </c>
      <c r="J267" s="69">
        <f>J268</f>
        <v>0</v>
      </c>
      <c r="K267" s="85">
        <f t="shared" si="66"/>
        <v>1300.2</v>
      </c>
      <c r="L267" s="13">
        <f>L268</f>
        <v>0</v>
      </c>
      <c r="M267" s="85">
        <f t="shared" si="61"/>
        <v>1300.2</v>
      </c>
      <c r="N267" s="13">
        <f>N268</f>
        <v>0</v>
      </c>
      <c r="O267" s="85">
        <f t="shared" si="62"/>
        <v>1300.2</v>
      </c>
      <c r="P267" s="13">
        <f>P268</f>
        <v>0</v>
      </c>
      <c r="Q267" s="85">
        <f t="shared" si="58"/>
        <v>1300.2</v>
      </c>
      <c r="R267" s="13">
        <f>R268</f>
        <v>0</v>
      </c>
      <c r="S267" s="85">
        <f t="shared" si="59"/>
        <v>1300.2</v>
      </c>
      <c r="T267" s="13">
        <f>T268</f>
        <v>0</v>
      </c>
      <c r="U267" s="85">
        <f t="shared" si="57"/>
        <v>1300.2</v>
      </c>
    </row>
    <row r="268" spans="1:21" s="148" customFormat="1">
      <c r="A268" s="61" t="str">
        <f ca="1">IF(ISERROR(MATCH(E268,Код_КЦСР,0)),"",INDIRECT(ADDRESS(MATCH(E268,Код_КЦСР,0)+1,2,,,"КЦСР")))</f>
        <v>Профилактика преступлений и иных правонарушений в городе Череповце</v>
      </c>
      <c r="B268" s="145">
        <v>801</v>
      </c>
      <c r="C268" s="8" t="s">
        <v>216</v>
      </c>
      <c r="D268" s="8" t="s">
        <v>188</v>
      </c>
      <c r="E268" s="145" t="s">
        <v>152</v>
      </c>
      <c r="F268" s="145"/>
      <c r="G268" s="69">
        <f>G269+G273</f>
        <v>1300.2</v>
      </c>
      <c r="H268" s="69">
        <f>H269+H273</f>
        <v>0</v>
      </c>
      <c r="I268" s="69">
        <f t="shared" si="65"/>
        <v>1300.2</v>
      </c>
      <c r="J268" s="69">
        <f>J269+J273</f>
        <v>0</v>
      </c>
      <c r="K268" s="85">
        <f t="shared" si="66"/>
        <v>1300.2</v>
      </c>
      <c r="L268" s="13">
        <f>L269+L273</f>
        <v>0</v>
      </c>
      <c r="M268" s="85">
        <f t="shared" si="61"/>
        <v>1300.2</v>
      </c>
      <c r="N268" s="13">
        <f>N269+N273</f>
        <v>0</v>
      </c>
      <c r="O268" s="85">
        <f t="shared" si="62"/>
        <v>1300.2</v>
      </c>
      <c r="P268" s="13">
        <f>P269+P273</f>
        <v>0</v>
      </c>
      <c r="Q268" s="85">
        <f t="shared" si="58"/>
        <v>1300.2</v>
      </c>
      <c r="R268" s="13">
        <f>R269+R273</f>
        <v>0</v>
      </c>
      <c r="S268" s="85">
        <f t="shared" si="59"/>
        <v>1300.2</v>
      </c>
      <c r="T268" s="13">
        <f>T269+T273</f>
        <v>0</v>
      </c>
      <c r="U268" s="85">
        <f t="shared" si="57"/>
        <v>1300.2</v>
      </c>
    </row>
    <row r="269" spans="1:21" s="148" customFormat="1" ht="49.5">
      <c r="A269" s="61" t="str">
        <f ca="1">IF(ISERROR(MATCH(E269,Код_КЦСР,0)),"",INDIRECT(ADDRESS(MATCH(E269,Код_КЦСР,0)+1,2,,,"КЦСР")))</f>
        <v>Внедрение современных технических средств, направленных на предупреждение правонарушений и преступлений в общественных местах и на улицах</v>
      </c>
      <c r="B269" s="145">
        <v>801</v>
      </c>
      <c r="C269" s="8" t="s">
        <v>216</v>
      </c>
      <c r="D269" s="8" t="s">
        <v>188</v>
      </c>
      <c r="E269" s="145" t="s">
        <v>386</v>
      </c>
      <c r="F269" s="145"/>
      <c r="G269" s="69">
        <f t="shared" ref="G269:T271" si="69">G270</f>
        <v>65</v>
      </c>
      <c r="H269" s="69">
        <f t="shared" si="69"/>
        <v>0</v>
      </c>
      <c r="I269" s="69">
        <f t="shared" si="65"/>
        <v>65</v>
      </c>
      <c r="J269" s="69">
        <f t="shared" si="69"/>
        <v>0</v>
      </c>
      <c r="K269" s="85">
        <f t="shared" si="66"/>
        <v>65</v>
      </c>
      <c r="L269" s="13">
        <f t="shared" si="69"/>
        <v>0</v>
      </c>
      <c r="M269" s="85">
        <f t="shared" si="61"/>
        <v>65</v>
      </c>
      <c r="N269" s="13">
        <f t="shared" si="69"/>
        <v>0</v>
      </c>
      <c r="O269" s="85">
        <f t="shared" si="62"/>
        <v>65</v>
      </c>
      <c r="P269" s="13">
        <f t="shared" si="69"/>
        <v>0</v>
      </c>
      <c r="Q269" s="85">
        <f t="shared" si="58"/>
        <v>65</v>
      </c>
      <c r="R269" s="13">
        <f t="shared" si="69"/>
        <v>0</v>
      </c>
      <c r="S269" s="85">
        <f t="shared" si="59"/>
        <v>65</v>
      </c>
      <c r="T269" s="13">
        <f t="shared" si="69"/>
        <v>0</v>
      </c>
      <c r="U269" s="85">
        <f t="shared" si="57"/>
        <v>65</v>
      </c>
    </row>
    <row r="270" spans="1:21" s="148" customFormat="1" ht="33">
      <c r="A270" s="61" t="str">
        <f ca="1">IF(ISERROR(MATCH(F270,Код_КВР,0)),"",INDIRECT(ADDRESS(MATCH(F270,Код_КВР,0)+1,2,,,"КВР")))</f>
        <v>Предоставление субсидий бюджетным, автономным учреждениям и иным некоммерческим организациям</v>
      </c>
      <c r="B270" s="145">
        <v>801</v>
      </c>
      <c r="C270" s="8" t="s">
        <v>216</v>
      </c>
      <c r="D270" s="8" t="s">
        <v>188</v>
      </c>
      <c r="E270" s="145" t="s">
        <v>386</v>
      </c>
      <c r="F270" s="145">
        <v>600</v>
      </c>
      <c r="G270" s="69">
        <f t="shared" si="69"/>
        <v>65</v>
      </c>
      <c r="H270" s="69">
        <f t="shared" si="69"/>
        <v>0</v>
      </c>
      <c r="I270" s="69">
        <f t="shared" si="65"/>
        <v>65</v>
      </c>
      <c r="J270" s="69">
        <f t="shared" si="69"/>
        <v>0</v>
      </c>
      <c r="K270" s="85">
        <f t="shared" si="66"/>
        <v>65</v>
      </c>
      <c r="L270" s="13">
        <f t="shared" si="69"/>
        <v>0</v>
      </c>
      <c r="M270" s="85">
        <f t="shared" si="61"/>
        <v>65</v>
      </c>
      <c r="N270" s="13">
        <f t="shared" si="69"/>
        <v>0</v>
      </c>
      <c r="O270" s="85">
        <f t="shared" si="62"/>
        <v>65</v>
      </c>
      <c r="P270" s="13">
        <f t="shared" si="69"/>
        <v>0</v>
      </c>
      <c r="Q270" s="85">
        <f t="shared" si="58"/>
        <v>65</v>
      </c>
      <c r="R270" s="13">
        <f t="shared" si="69"/>
        <v>0</v>
      </c>
      <c r="S270" s="85">
        <f t="shared" si="59"/>
        <v>65</v>
      </c>
      <c r="T270" s="13">
        <f t="shared" si="69"/>
        <v>0</v>
      </c>
      <c r="U270" s="85">
        <f t="shared" si="57"/>
        <v>65</v>
      </c>
    </row>
    <row r="271" spans="1:21" s="148" customFormat="1">
      <c r="A271" s="61" t="str">
        <f ca="1">IF(ISERROR(MATCH(F271,Код_КВР,0)),"",INDIRECT(ADDRESS(MATCH(F271,Код_КВР,0)+1,2,,,"КВР")))</f>
        <v>Субсидии бюджетным учреждениям</v>
      </c>
      <c r="B271" s="145">
        <v>801</v>
      </c>
      <c r="C271" s="8" t="s">
        <v>216</v>
      </c>
      <c r="D271" s="8" t="s">
        <v>188</v>
      </c>
      <c r="E271" s="145" t="s">
        <v>386</v>
      </c>
      <c r="F271" s="145">
        <v>610</v>
      </c>
      <c r="G271" s="69">
        <f t="shared" si="69"/>
        <v>65</v>
      </c>
      <c r="H271" s="69">
        <f t="shared" si="69"/>
        <v>0</v>
      </c>
      <c r="I271" s="69">
        <f t="shared" si="65"/>
        <v>65</v>
      </c>
      <c r="J271" s="69">
        <f t="shared" si="69"/>
        <v>0</v>
      </c>
      <c r="K271" s="85">
        <f t="shared" si="66"/>
        <v>65</v>
      </c>
      <c r="L271" s="13">
        <f t="shared" si="69"/>
        <v>0</v>
      </c>
      <c r="M271" s="85">
        <f t="shared" si="61"/>
        <v>65</v>
      </c>
      <c r="N271" s="13">
        <f t="shared" si="69"/>
        <v>0</v>
      </c>
      <c r="O271" s="85">
        <f t="shared" si="62"/>
        <v>65</v>
      </c>
      <c r="P271" s="13">
        <f t="shared" si="69"/>
        <v>0</v>
      </c>
      <c r="Q271" s="85">
        <f t="shared" si="58"/>
        <v>65</v>
      </c>
      <c r="R271" s="13">
        <f t="shared" si="69"/>
        <v>0</v>
      </c>
      <c r="S271" s="85">
        <f t="shared" si="59"/>
        <v>65</v>
      </c>
      <c r="T271" s="13">
        <f t="shared" si="69"/>
        <v>0</v>
      </c>
      <c r="U271" s="85">
        <f t="shared" si="57"/>
        <v>65</v>
      </c>
    </row>
    <row r="272" spans="1:21" s="148" customFormat="1">
      <c r="A272" s="61" t="str">
        <f ca="1">IF(ISERROR(MATCH(F272,Код_КВР,0)),"",INDIRECT(ADDRESS(MATCH(F272,Код_КВР,0)+1,2,,,"КВР")))</f>
        <v>Субсидии бюджетным учреждениям на иные цели</v>
      </c>
      <c r="B272" s="145">
        <v>801</v>
      </c>
      <c r="C272" s="8" t="s">
        <v>216</v>
      </c>
      <c r="D272" s="8" t="s">
        <v>188</v>
      </c>
      <c r="E272" s="145" t="s">
        <v>386</v>
      </c>
      <c r="F272" s="145">
        <v>612</v>
      </c>
      <c r="G272" s="69">
        <v>65</v>
      </c>
      <c r="H272" s="69"/>
      <c r="I272" s="69">
        <f t="shared" si="65"/>
        <v>65</v>
      </c>
      <c r="J272" s="69"/>
      <c r="K272" s="85">
        <f t="shared" si="66"/>
        <v>65</v>
      </c>
      <c r="L272" s="13"/>
      <c r="M272" s="85">
        <f t="shared" si="61"/>
        <v>65</v>
      </c>
      <c r="N272" s="13"/>
      <c r="O272" s="85">
        <f t="shared" si="62"/>
        <v>65</v>
      </c>
      <c r="P272" s="13"/>
      <c r="Q272" s="85">
        <f t="shared" si="58"/>
        <v>65</v>
      </c>
      <c r="R272" s="13"/>
      <c r="S272" s="85">
        <f t="shared" si="59"/>
        <v>65</v>
      </c>
      <c r="T272" s="13"/>
      <c r="U272" s="85">
        <f t="shared" si="57"/>
        <v>65</v>
      </c>
    </row>
    <row r="273" spans="1:21" s="148" customFormat="1" ht="33">
      <c r="A273" s="61" t="str">
        <f ca="1">IF(ISERROR(MATCH(E273,Код_КЦСР,0)),"",INDIRECT(ADDRESS(MATCH(E273,Код_КЦСР,0)+1,2,,,"КЦСР")))</f>
        <v>Внедрение и (или) эксплуатация аппаратно-программного комплекса «Безопасный город» за счет субсидий из областного бюджета</v>
      </c>
      <c r="B273" s="145">
        <v>801</v>
      </c>
      <c r="C273" s="8" t="s">
        <v>216</v>
      </c>
      <c r="D273" s="8" t="s">
        <v>188</v>
      </c>
      <c r="E273" s="145" t="s">
        <v>388</v>
      </c>
      <c r="F273" s="145"/>
      <c r="G273" s="69">
        <f t="shared" ref="G273:T275" si="70">G274</f>
        <v>1235.2</v>
      </c>
      <c r="H273" s="69">
        <f t="shared" si="70"/>
        <v>0</v>
      </c>
      <c r="I273" s="69">
        <f t="shared" si="65"/>
        <v>1235.2</v>
      </c>
      <c r="J273" s="69">
        <f t="shared" si="70"/>
        <v>0</v>
      </c>
      <c r="K273" s="85">
        <f t="shared" si="66"/>
        <v>1235.2</v>
      </c>
      <c r="L273" s="13">
        <f t="shared" si="70"/>
        <v>0</v>
      </c>
      <c r="M273" s="85">
        <f t="shared" si="61"/>
        <v>1235.2</v>
      </c>
      <c r="N273" s="13">
        <f t="shared" si="70"/>
        <v>0</v>
      </c>
      <c r="O273" s="85">
        <f t="shared" si="62"/>
        <v>1235.2</v>
      </c>
      <c r="P273" s="13">
        <f t="shared" si="70"/>
        <v>0</v>
      </c>
      <c r="Q273" s="85">
        <f t="shared" si="58"/>
        <v>1235.2</v>
      </c>
      <c r="R273" s="13">
        <f t="shared" si="70"/>
        <v>0</v>
      </c>
      <c r="S273" s="85">
        <f t="shared" si="59"/>
        <v>1235.2</v>
      </c>
      <c r="T273" s="13">
        <f t="shared" si="70"/>
        <v>0</v>
      </c>
      <c r="U273" s="85">
        <f t="shared" si="57"/>
        <v>1235.2</v>
      </c>
    </row>
    <row r="274" spans="1:21" s="148" customFormat="1" ht="33">
      <c r="A274" s="61" t="str">
        <f ca="1">IF(ISERROR(MATCH(F274,Код_КВР,0)),"",INDIRECT(ADDRESS(MATCH(F274,Код_КВР,0)+1,2,,,"КВР")))</f>
        <v>Предоставление субсидий бюджетным, автономным учреждениям и иным некоммерческим организациям</v>
      </c>
      <c r="B274" s="145">
        <v>801</v>
      </c>
      <c r="C274" s="8" t="s">
        <v>216</v>
      </c>
      <c r="D274" s="8" t="s">
        <v>188</v>
      </c>
      <c r="E274" s="145" t="s">
        <v>388</v>
      </c>
      <c r="F274" s="145">
        <v>600</v>
      </c>
      <c r="G274" s="69">
        <f t="shared" si="70"/>
        <v>1235.2</v>
      </c>
      <c r="H274" s="69">
        <f t="shared" si="70"/>
        <v>0</v>
      </c>
      <c r="I274" s="69">
        <f t="shared" si="65"/>
        <v>1235.2</v>
      </c>
      <c r="J274" s="69">
        <f t="shared" si="70"/>
        <v>0</v>
      </c>
      <c r="K274" s="85">
        <f t="shared" si="66"/>
        <v>1235.2</v>
      </c>
      <c r="L274" s="13">
        <f t="shared" si="70"/>
        <v>0</v>
      </c>
      <c r="M274" s="85">
        <f t="shared" si="61"/>
        <v>1235.2</v>
      </c>
      <c r="N274" s="13">
        <f t="shared" si="70"/>
        <v>0</v>
      </c>
      <c r="O274" s="85">
        <f t="shared" si="62"/>
        <v>1235.2</v>
      </c>
      <c r="P274" s="13">
        <f t="shared" si="70"/>
        <v>0</v>
      </c>
      <c r="Q274" s="85">
        <f t="shared" si="58"/>
        <v>1235.2</v>
      </c>
      <c r="R274" s="13">
        <f t="shared" si="70"/>
        <v>0</v>
      </c>
      <c r="S274" s="85">
        <f t="shared" si="59"/>
        <v>1235.2</v>
      </c>
      <c r="T274" s="13">
        <f t="shared" si="70"/>
        <v>0</v>
      </c>
      <c r="U274" s="85">
        <f t="shared" si="57"/>
        <v>1235.2</v>
      </c>
    </row>
    <row r="275" spans="1:21" s="148" customFormat="1">
      <c r="A275" s="61" t="str">
        <f ca="1">IF(ISERROR(MATCH(F275,Код_КВР,0)),"",INDIRECT(ADDRESS(MATCH(F275,Код_КВР,0)+1,2,,,"КВР")))</f>
        <v>Субсидии бюджетным учреждениям</v>
      </c>
      <c r="B275" s="145">
        <v>801</v>
      </c>
      <c r="C275" s="8" t="s">
        <v>216</v>
      </c>
      <c r="D275" s="8" t="s">
        <v>188</v>
      </c>
      <c r="E275" s="145" t="s">
        <v>388</v>
      </c>
      <c r="F275" s="145">
        <v>610</v>
      </c>
      <c r="G275" s="69">
        <f t="shared" si="70"/>
        <v>1235.2</v>
      </c>
      <c r="H275" s="69">
        <f t="shared" si="70"/>
        <v>0</v>
      </c>
      <c r="I275" s="69">
        <f t="shared" si="65"/>
        <v>1235.2</v>
      </c>
      <c r="J275" s="69">
        <f t="shared" si="70"/>
        <v>0</v>
      </c>
      <c r="K275" s="85">
        <f t="shared" si="66"/>
        <v>1235.2</v>
      </c>
      <c r="L275" s="13">
        <f t="shared" si="70"/>
        <v>0</v>
      </c>
      <c r="M275" s="85">
        <f t="shared" si="61"/>
        <v>1235.2</v>
      </c>
      <c r="N275" s="13">
        <f t="shared" si="70"/>
        <v>0</v>
      </c>
      <c r="O275" s="85">
        <f t="shared" si="62"/>
        <v>1235.2</v>
      </c>
      <c r="P275" s="13">
        <f t="shared" si="70"/>
        <v>0</v>
      </c>
      <c r="Q275" s="85">
        <f t="shared" si="58"/>
        <v>1235.2</v>
      </c>
      <c r="R275" s="13">
        <f t="shared" si="70"/>
        <v>0</v>
      </c>
      <c r="S275" s="85">
        <f t="shared" si="59"/>
        <v>1235.2</v>
      </c>
      <c r="T275" s="13">
        <f t="shared" si="70"/>
        <v>0</v>
      </c>
      <c r="U275" s="85">
        <f t="shared" si="57"/>
        <v>1235.2</v>
      </c>
    </row>
    <row r="276" spans="1:21" s="148" customFormat="1">
      <c r="A276" s="61" t="str">
        <f ca="1">IF(ISERROR(MATCH(F276,Код_КВР,0)),"",INDIRECT(ADDRESS(MATCH(F276,Код_КВР,0)+1,2,,,"КВР")))</f>
        <v>Субсидии бюджетным учреждениям на иные цели</v>
      </c>
      <c r="B276" s="145">
        <v>801</v>
      </c>
      <c r="C276" s="8" t="s">
        <v>216</v>
      </c>
      <c r="D276" s="8" t="s">
        <v>188</v>
      </c>
      <c r="E276" s="145" t="s">
        <v>388</v>
      </c>
      <c r="F276" s="145">
        <v>612</v>
      </c>
      <c r="G276" s="69">
        <v>1235.2</v>
      </c>
      <c r="H276" s="69"/>
      <c r="I276" s="69">
        <f t="shared" si="65"/>
        <v>1235.2</v>
      </c>
      <c r="J276" s="69"/>
      <c r="K276" s="85">
        <f t="shared" si="66"/>
        <v>1235.2</v>
      </c>
      <c r="L276" s="13"/>
      <c r="M276" s="85">
        <f t="shared" si="61"/>
        <v>1235.2</v>
      </c>
      <c r="N276" s="13"/>
      <c r="O276" s="85">
        <f t="shared" si="62"/>
        <v>1235.2</v>
      </c>
      <c r="P276" s="13"/>
      <c r="Q276" s="85">
        <f t="shared" si="58"/>
        <v>1235.2</v>
      </c>
      <c r="R276" s="13"/>
      <c r="S276" s="85">
        <f t="shared" si="59"/>
        <v>1235.2</v>
      </c>
      <c r="T276" s="13"/>
      <c r="U276" s="85">
        <f t="shared" si="57"/>
        <v>1235.2</v>
      </c>
    </row>
    <row r="277" spans="1:21" s="148" customFormat="1">
      <c r="A277" s="12" t="s">
        <v>223</v>
      </c>
      <c r="B277" s="145">
        <v>801</v>
      </c>
      <c r="C277" s="8" t="s">
        <v>216</v>
      </c>
      <c r="D277" s="8" t="s">
        <v>196</v>
      </c>
      <c r="E277" s="145"/>
      <c r="F277" s="145"/>
      <c r="G277" s="69">
        <f>G278+G288+G298</f>
        <v>14908.7</v>
      </c>
      <c r="H277" s="69">
        <f>H278+H288+H298</f>
        <v>0</v>
      </c>
      <c r="I277" s="69">
        <f t="shared" si="65"/>
        <v>14908.7</v>
      </c>
      <c r="J277" s="69">
        <f>J278+J288+J298</f>
        <v>0</v>
      </c>
      <c r="K277" s="85">
        <f t="shared" si="66"/>
        <v>14908.7</v>
      </c>
      <c r="L277" s="13">
        <f>L278+L288+L298</f>
        <v>0</v>
      </c>
      <c r="M277" s="85">
        <f t="shared" si="61"/>
        <v>14908.7</v>
      </c>
      <c r="N277" s="13">
        <f>N278+N288+N298</f>
        <v>278</v>
      </c>
      <c r="O277" s="85">
        <f t="shared" si="62"/>
        <v>15186.7</v>
      </c>
      <c r="P277" s="13">
        <f>P278+P288+P298</f>
        <v>0</v>
      </c>
      <c r="Q277" s="85">
        <f t="shared" si="58"/>
        <v>15186.7</v>
      </c>
      <c r="R277" s="13">
        <f>R278+R288+R298</f>
        <v>312.60000000000002</v>
      </c>
      <c r="S277" s="85">
        <f t="shared" si="59"/>
        <v>15499.300000000001</v>
      </c>
      <c r="T277" s="13">
        <f>T278+T288+T298</f>
        <v>0</v>
      </c>
      <c r="U277" s="85">
        <f t="shared" si="57"/>
        <v>15499.300000000001</v>
      </c>
    </row>
    <row r="278" spans="1:21" s="148" customFormat="1" ht="33">
      <c r="A278" s="61" t="str">
        <f ca="1">IF(ISERROR(MATCH(E278,Код_КЦСР,0)),"",INDIRECT(ADDRESS(MATCH(E278,Код_КЦСР,0)+1,2,,,"КЦСР")))</f>
        <v>Муниципальная программа «Поддержка и развитие малого и среднего предпринимательства в городе Череповце на 2013-2017 годы»</v>
      </c>
      <c r="B278" s="145">
        <v>801</v>
      </c>
      <c r="C278" s="8" t="s">
        <v>216</v>
      </c>
      <c r="D278" s="8" t="s">
        <v>196</v>
      </c>
      <c r="E278" s="145" t="s">
        <v>550</v>
      </c>
      <c r="F278" s="145"/>
      <c r="G278" s="69">
        <f>G279+G282</f>
        <v>3117.5</v>
      </c>
      <c r="H278" s="69">
        <f>H279+H282</f>
        <v>0</v>
      </c>
      <c r="I278" s="69">
        <f t="shared" si="65"/>
        <v>3117.5</v>
      </c>
      <c r="J278" s="69">
        <f>J279+J282</f>
        <v>0</v>
      </c>
      <c r="K278" s="85">
        <f t="shared" si="66"/>
        <v>3117.5</v>
      </c>
      <c r="L278" s="13">
        <f>L279+L282</f>
        <v>0</v>
      </c>
      <c r="M278" s="85">
        <f t="shared" si="61"/>
        <v>3117.5</v>
      </c>
      <c r="N278" s="13">
        <f>N279+N282</f>
        <v>278</v>
      </c>
      <c r="O278" s="85">
        <f t="shared" si="62"/>
        <v>3395.5</v>
      </c>
      <c r="P278" s="13">
        <f>P279+P282</f>
        <v>0</v>
      </c>
      <c r="Q278" s="85">
        <f t="shared" si="58"/>
        <v>3395.5</v>
      </c>
      <c r="R278" s="13">
        <f>R279+R282+R285</f>
        <v>312.60000000000002</v>
      </c>
      <c r="S278" s="85">
        <f t="shared" si="59"/>
        <v>3708.1</v>
      </c>
      <c r="T278" s="13">
        <f>T279+T282+T285</f>
        <v>0</v>
      </c>
      <c r="U278" s="85">
        <f t="shared" si="57"/>
        <v>3708.1</v>
      </c>
    </row>
    <row r="279" spans="1:21" s="148" customFormat="1" ht="33">
      <c r="A279" s="61" t="str">
        <f ca="1">IF(ISERROR(MATCH(E279,Код_КЦСР,0)),"",INDIRECT(ADDRESS(MATCH(E279,Код_КЦСР,0)+1,2,,,"КЦСР")))</f>
        <v>Субсидии организациям, образующим инфраструктуру поддержки МСП: НП «Агентство Городского Развития»</v>
      </c>
      <c r="B279" s="145">
        <v>801</v>
      </c>
      <c r="C279" s="8" t="s">
        <v>216</v>
      </c>
      <c r="D279" s="8" t="s">
        <v>196</v>
      </c>
      <c r="E279" s="145" t="s">
        <v>552</v>
      </c>
      <c r="F279" s="145"/>
      <c r="G279" s="69">
        <f>G280</f>
        <v>3115</v>
      </c>
      <c r="H279" s="69">
        <f>H280</f>
        <v>0</v>
      </c>
      <c r="I279" s="69">
        <f t="shared" si="65"/>
        <v>3115</v>
      </c>
      <c r="J279" s="69">
        <f>J280</f>
        <v>0</v>
      </c>
      <c r="K279" s="85">
        <f t="shared" si="66"/>
        <v>3115</v>
      </c>
      <c r="L279" s="13">
        <f>L280</f>
        <v>0</v>
      </c>
      <c r="M279" s="85">
        <f t="shared" si="61"/>
        <v>3115</v>
      </c>
      <c r="N279" s="13">
        <f>N280</f>
        <v>278</v>
      </c>
      <c r="O279" s="85">
        <f t="shared" si="62"/>
        <v>3393</v>
      </c>
      <c r="P279" s="13">
        <f>P280</f>
        <v>0</v>
      </c>
      <c r="Q279" s="85">
        <f t="shared" si="58"/>
        <v>3393</v>
      </c>
      <c r="R279" s="13">
        <f>R280</f>
        <v>0</v>
      </c>
      <c r="S279" s="85">
        <f t="shared" si="59"/>
        <v>3393</v>
      </c>
      <c r="T279" s="13">
        <f>T280</f>
        <v>0</v>
      </c>
      <c r="U279" s="85">
        <f t="shared" si="57"/>
        <v>3393</v>
      </c>
    </row>
    <row r="280" spans="1:21" s="148" customFormat="1" ht="33">
      <c r="A280" s="61" t="str">
        <f ca="1">IF(ISERROR(MATCH(F280,Код_КВР,0)),"",INDIRECT(ADDRESS(MATCH(F280,Код_КВР,0)+1,2,,,"КВР")))</f>
        <v>Предоставление субсидий бюджетным, автономным учреждениям и иным некоммерческим организациям</v>
      </c>
      <c r="B280" s="145">
        <v>801</v>
      </c>
      <c r="C280" s="8" t="s">
        <v>216</v>
      </c>
      <c r="D280" s="8" t="s">
        <v>196</v>
      </c>
      <c r="E280" s="145" t="s">
        <v>552</v>
      </c>
      <c r="F280" s="145">
        <v>600</v>
      </c>
      <c r="G280" s="69">
        <f>G281</f>
        <v>3115</v>
      </c>
      <c r="H280" s="69">
        <f>H281</f>
        <v>0</v>
      </c>
      <c r="I280" s="69">
        <f t="shared" si="65"/>
        <v>3115</v>
      </c>
      <c r="J280" s="69">
        <f>J281</f>
        <v>0</v>
      </c>
      <c r="K280" s="85">
        <f t="shared" si="66"/>
        <v>3115</v>
      </c>
      <c r="L280" s="13">
        <f>L281</f>
        <v>0</v>
      </c>
      <c r="M280" s="85">
        <f t="shared" si="61"/>
        <v>3115</v>
      </c>
      <c r="N280" s="13">
        <f>N281</f>
        <v>278</v>
      </c>
      <c r="O280" s="85">
        <f t="shared" si="62"/>
        <v>3393</v>
      </c>
      <c r="P280" s="13">
        <f>P281</f>
        <v>0</v>
      </c>
      <c r="Q280" s="85">
        <f t="shared" si="58"/>
        <v>3393</v>
      </c>
      <c r="R280" s="13">
        <f>R281</f>
        <v>0</v>
      </c>
      <c r="S280" s="85">
        <f t="shared" si="59"/>
        <v>3393</v>
      </c>
      <c r="T280" s="13">
        <f>T281</f>
        <v>0</v>
      </c>
      <c r="U280" s="85">
        <f t="shared" si="57"/>
        <v>3393</v>
      </c>
    </row>
    <row r="281" spans="1:21" s="148" customFormat="1" ht="33">
      <c r="A281" s="61" t="str">
        <f ca="1">IF(ISERROR(MATCH(F281,Код_КВР,0)),"",INDIRECT(ADDRESS(MATCH(F281,Код_КВР,0)+1,2,,,"КВР")))</f>
        <v>Субсидии некоммерческим организациям (за исключением государственных (муниципальных) учреждений)</v>
      </c>
      <c r="B281" s="145">
        <v>801</v>
      </c>
      <c r="C281" s="8" t="s">
        <v>216</v>
      </c>
      <c r="D281" s="8" t="s">
        <v>196</v>
      </c>
      <c r="E281" s="145" t="s">
        <v>552</v>
      </c>
      <c r="F281" s="145">
        <v>630</v>
      </c>
      <c r="G281" s="69">
        <v>3115</v>
      </c>
      <c r="H281" s="69"/>
      <c r="I281" s="69">
        <f t="shared" si="65"/>
        <v>3115</v>
      </c>
      <c r="J281" s="69"/>
      <c r="K281" s="85">
        <f t="shared" si="66"/>
        <v>3115</v>
      </c>
      <c r="L281" s="13"/>
      <c r="M281" s="85">
        <f t="shared" si="61"/>
        <v>3115</v>
      </c>
      <c r="N281" s="13">
        <v>278</v>
      </c>
      <c r="O281" s="85">
        <f t="shared" si="62"/>
        <v>3393</v>
      </c>
      <c r="P281" s="13"/>
      <c r="Q281" s="85">
        <f t="shared" si="58"/>
        <v>3393</v>
      </c>
      <c r="R281" s="13"/>
      <c r="S281" s="85">
        <f t="shared" si="59"/>
        <v>3393</v>
      </c>
      <c r="T281" s="13"/>
      <c r="U281" s="85">
        <f t="shared" si="57"/>
        <v>3393</v>
      </c>
    </row>
    <row r="282" spans="1:21" s="148" customFormat="1" ht="33">
      <c r="A282" s="61" t="str">
        <f ca="1">IF(ISERROR(MATCH(E282,Код_КЦСР,0)),"",INDIRECT(ADDRESS(MATCH(E282,Код_КЦСР,0)+1,2,,,"КЦСР")))</f>
        <v>Субсидии организациям, образующим инфраструктуру поддержки МСП: Вологодская торгово-промышленная палата (членский взнос)</v>
      </c>
      <c r="B282" s="145">
        <v>801</v>
      </c>
      <c r="C282" s="8" t="s">
        <v>216</v>
      </c>
      <c r="D282" s="8" t="s">
        <v>196</v>
      </c>
      <c r="E282" s="145" t="s">
        <v>554</v>
      </c>
      <c r="F282" s="145"/>
      <c r="G282" s="69">
        <f>G283</f>
        <v>2.5</v>
      </c>
      <c r="H282" s="69">
        <f>H283</f>
        <v>0</v>
      </c>
      <c r="I282" s="69">
        <f t="shared" si="65"/>
        <v>2.5</v>
      </c>
      <c r="J282" s="69">
        <f>J283</f>
        <v>0</v>
      </c>
      <c r="K282" s="85">
        <f t="shared" si="66"/>
        <v>2.5</v>
      </c>
      <c r="L282" s="13">
        <f>L283</f>
        <v>0</v>
      </c>
      <c r="M282" s="85">
        <f t="shared" si="61"/>
        <v>2.5</v>
      </c>
      <c r="N282" s="13">
        <f>N283</f>
        <v>0</v>
      </c>
      <c r="O282" s="85">
        <f t="shared" si="62"/>
        <v>2.5</v>
      </c>
      <c r="P282" s="13">
        <f>P283</f>
        <v>0</v>
      </c>
      <c r="Q282" s="85">
        <f t="shared" si="58"/>
        <v>2.5</v>
      </c>
      <c r="R282" s="13">
        <f>R283</f>
        <v>0</v>
      </c>
      <c r="S282" s="85">
        <f t="shared" si="59"/>
        <v>2.5</v>
      </c>
      <c r="T282" s="13">
        <f>T283</f>
        <v>0</v>
      </c>
      <c r="U282" s="85">
        <f t="shared" ref="U282:U345" si="71">S282+T282</f>
        <v>2.5</v>
      </c>
    </row>
    <row r="283" spans="1:21" s="148" customFormat="1" ht="33">
      <c r="A283" s="61" t="str">
        <f ca="1">IF(ISERROR(MATCH(F283,Код_КВР,0)),"",INDIRECT(ADDRESS(MATCH(F283,Код_КВР,0)+1,2,,,"КВР")))</f>
        <v>Предоставление субсидий бюджетным, автономным учреждениям и иным некоммерческим организациям</v>
      </c>
      <c r="B283" s="145">
        <v>801</v>
      </c>
      <c r="C283" s="8" t="s">
        <v>216</v>
      </c>
      <c r="D283" s="8" t="s">
        <v>196</v>
      </c>
      <c r="E283" s="145" t="s">
        <v>554</v>
      </c>
      <c r="F283" s="145">
        <v>600</v>
      </c>
      <c r="G283" s="69">
        <f>G284</f>
        <v>2.5</v>
      </c>
      <c r="H283" s="69">
        <f>H284</f>
        <v>0</v>
      </c>
      <c r="I283" s="69">
        <f t="shared" si="65"/>
        <v>2.5</v>
      </c>
      <c r="J283" s="69">
        <f>J284</f>
        <v>0</v>
      </c>
      <c r="K283" s="85">
        <f t="shared" si="66"/>
        <v>2.5</v>
      </c>
      <c r="L283" s="13">
        <f>L284</f>
        <v>0</v>
      </c>
      <c r="M283" s="85">
        <f t="shared" si="61"/>
        <v>2.5</v>
      </c>
      <c r="N283" s="13">
        <f>N284</f>
        <v>0</v>
      </c>
      <c r="O283" s="85">
        <f t="shared" si="62"/>
        <v>2.5</v>
      </c>
      <c r="P283" s="13">
        <f>P284</f>
        <v>0</v>
      </c>
      <c r="Q283" s="85">
        <f t="shared" si="58"/>
        <v>2.5</v>
      </c>
      <c r="R283" s="13">
        <f>R284</f>
        <v>0</v>
      </c>
      <c r="S283" s="85">
        <f t="shared" si="59"/>
        <v>2.5</v>
      </c>
      <c r="T283" s="13">
        <f>T284</f>
        <v>0</v>
      </c>
      <c r="U283" s="85">
        <f t="shared" si="71"/>
        <v>2.5</v>
      </c>
    </row>
    <row r="284" spans="1:21" s="148" customFormat="1" ht="41.25" customHeight="1">
      <c r="A284" s="61" t="str">
        <f ca="1">IF(ISERROR(MATCH(F284,Код_КВР,0)),"",INDIRECT(ADDRESS(MATCH(F284,Код_КВР,0)+1,2,,,"КВР")))</f>
        <v>Субсидии некоммерческим организациям (за исключением государственных (муниципальных) учреждений)</v>
      </c>
      <c r="B284" s="145">
        <v>801</v>
      </c>
      <c r="C284" s="8" t="s">
        <v>216</v>
      </c>
      <c r="D284" s="8" t="s">
        <v>196</v>
      </c>
      <c r="E284" s="145" t="s">
        <v>554</v>
      </c>
      <c r="F284" s="145">
        <v>630</v>
      </c>
      <c r="G284" s="69">
        <v>2.5</v>
      </c>
      <c r="H284" s="69"/>
      <c r="I284" s="69">
        <f t="shared" si="65"/>
        <v>2.5</v>
      </c>
      <c r="J284" s="69"/>
      <c r="K284" s="85">
        <f t="shared" si="66"/>
        <v>2.5</v>
      </c>
      <c r="L284" s="13"/>
      <c r="M284" s="85">
        <f t="shared" si="61"/>
        <v>2.5</v>
      </c>
      <c r="N284" s="13"/>
      <c r="O284" s="85">
        <f t="shared" si="62"/>
        <v>2.5</v>
      </c>
      <c r="P284" s="13"/>
      <c r="Q284" s="85">
        <f t="shared" si="58"/>
        <v>2.5</v>
      </c>
      <c r="R284" s="13"/>
      <c r="S284" s="85">
        <f t="shared" si="59"/>
        <v>2.5</v>
      </c>
      <c r="T284" s="13"/>
      <c r="U284" s="85">
        <f t="shared" si="71"/>
        <v>2.5</v>
      </c>
    </row>
    <row r="285" spans="1:21" s="148" customFormat="1" ht="60.75" customHeight="1">
      <c r="A285" s="61" t="str">
        <f ca="1">IF(ISERROR(MATCH(E285,Код_КЦСР,0)),"",INDIRECT(ADDRESS(MATCH(E285,Код_КЦСР,0)+1,2,,,"КЦСР")))</f>
        <v>Государственная поддержка малого и среднего предпринимательства, включая крестьянские (фермерские) хозяйства, за счет субсидий из федерального бюджета</v>
      </c>
      <c r="B285" s="145">
        <v>801</v>
      </c>
      <c r="C285" s="8" t="s">
        <v>216</v>
      </c>
      <c r="D285" s="8" t="s">
        <v>196</v>
      </c>
      <c r="E285" s="145" t="s">
        <v>643</v>
      </c>
      <c r="F285" s="145"/>
      <c r="G285" s="69"/>
      <c r="H285" s="69"/>
      <c r="I285" s="69"/>
      <c r="J285" s="69"/>
      <c r="K285" s="85"/>
      <c r="L285" s="13"/>
      <c r="M285" s="85"/>
      <c r="N285" s="13"/>
      <c r="O285" s="85"/>
      <c r="P285" s="13"/>
      <c r="Q285" s="85"/>
      <c r="R285" s="13">
        <f>R286</f>
        <v>312.60000000000002</v>
      </c>
      <c r="S285" s="85">
        <f t="shared" si="59"/>
        <v>312.60000000000002</v>
      </c>
      <c r="T285" s="13">
        <f>T286</f>
        <v>0</v>
      </c>
      <c r="U285" s="85">
        <f t="shared" si="71"/>
        <v>312.60000000000002</v>
      </c>
    </row>
    <row r="286" spans="1:21" s="148" customFormat="1" ht="21.95" customHeight="1">
      <c r="A286" s="61" t="str">
        <f ca="1">IF(ISERROR(MATCH(F286,Код_КВР,0)),"",INDIRECT(ADDRESS(MATCH(F286,Код_КВР,0)+1,2,,,"КВР")))</f>
        <v>Иные бюджетные ассигнования</v>
      </c>
      <c r="B286" s="145">
        <v>801</v>
      </c>
      <c r="C286" s="8" t="s">
        <v>216</v>
      </c>
      <c r="D286" s="8" t="s">
        <v>196</v>
      </c>
      <c r="E286" s="145" t="s">
        <v>643</v>
      </c>
      <c r="F286" s="145">
        <v>800</v>
      </c>
      <c r="G286" s="69"/>
      <c r="H286" s="69"/>
      <c r="I286" s="69"/>
      <c r="J286" s="69"/>
      <c r="K286" s="85"/>
      <c r="L286" s="13"/>
      <c r="M286" s="85"/>
      <c r="N286" s="13"/>
      <c r="O286" s="85"/>
      <c r="P286" s="13"/>
      <c r="Q286" s="85"/>
      <c r="R286" s="13">
        <f>R287</f>
        <v>312.60000000000002</v>
      </c>
      <c r="S286" s="85">
        <f t="shared" si="59"/>
        <v>312.60000000000002</v>
      </c>
      <c r="T286" s="13">
        <f>T287</f>
        <v>0</v>
      </c>
      <c r="U286" s="85">
        <f t="shared" si="71"/>
        <v>312.60000000000002</v>
      </c>
    </row>
    <row r="287" spans="1:21" s="148" customFormat="1" ht="33">
      <c r="A287" s="61" t="str">
        <f ca="1">IF(ISERROR(MATCH(F287,Код_КВР,0)),"",INDIRECT(ADDRESS(MATCH(F287,Код_КВР,0)+1,2,,,"КВР")))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287" s="145">
        <v>801</v>
      </c>
      <c r="C287" s="8" t="s">
        <v>216</v>
      </c>
      <c r="D287" s="8" t="s">
        <v>196</v>
      </c>
      <c r="E287" s="145" t="s">
        <v>643</v>
      </c>
      <c r="F287" s="145">
        <v>810</v>
      </c>
      <c r="G287" s="69"/>
      <c r="H287" s="69"/>
      <c r="I287" s="69"/>
      <c r="J287" s="69"/>
      <c r="K287" s="85"/>
      <c r="L287" s="13"/>
      <c r="M287" s="85"/>
      <c r="N287" s="13"/>
      <c r="O287" s="85"/>
      <c r="P287" s="13"/>
      <c r="Q287" s="85"/>
      <c r="R287" s="13">
        <f>312.6</f>
        <v>312.60000000000002</v>
      </c>
      <c r="S287" s="85">
        <f t="shared" si="59"/>
        <v>312.60000000000002</v>
      </c>
      <c r="T287" s="13"/>
      <c r="U287" s="85">
        <f t="shared" si="71"/>
        <v>312.60000000000002</v>
      </c>
    </row>
    <row r="288" spans="1:21" s="148" customFormat="1" ht="33">
      <c r="A288" s="61" t="str">
        <f ca="1">IF(ISERROR(MATCH(E288,Код_КЦСР,0)),"",INDIRECT(ADDRESS(MATCH(E288,Код_КЦСР,0)+1,2,,,"КЦСР")))</f>
        <v>Муниципальная программа «Повышение инвестиционной привлекательности города Череповца» на 2014-2018 годы</v>
      </c>
      <c r="B288" s="145">
        <v>801</v>
      </c>
      <c r="C288" s="8" t="s">
        <v>216</v>
      </c>
      <c r="D288" s="8" t="s">
        <v>196</v>
      </c>
      <c r="E288" s="145" t="s">
        <v>556</v>
      </c>
      <c r="F288" s="145"/>
      <c r="G288" s="69">
        <f>G289+G292+G295</f>
        <v>11791.2</v>
      </c>
      <c r="H288" s="69">
        <f>H289+H292+H295</f>
        <v>0</v>
      </c>
      <c r="I288" s="69">
        <f t="shared" si="65"/>
        <v>11791.2</v>
      </c>
      <c r="J288" s="69">
        <f>J289+J292+J295</f>
        <v>0</v>
      </c>
      <c r="K288" s="85">
        <f t="shared" si="66"/>
        <v>11791.2</v>
      </c>
      <c r="L288" s="13">
        <f>L289+L292+L295</f>
        <v>0</v>
      </c>
      <c r="M288" s="85">
        <f t="shared" si="61"/>
        <v>11791.2</v>
      </c>
      <c r="N288" s="13">
        <f>N289+N292+N295</f>
        <v>0</v>
      </c>
      <c r="O288" s="85">
        <f t="shared" si="62"/>
        <v>11791.2</v>
      </c>
      <c r="P288" s="13">
        <f>P289+P292+P295</f>
        <v>0</v>
      </c>
      <c r="Q288" s="85">
        <f t="shared" si="58"/>
        <v>11791.2</v>
      </c>
      <c r="R288" s="13">
        <f>R289+R292+R295</f>
        <v>0</v>
      </c>
      <c r="S288" s="85">
        <f t="shared" si="59"/>
        <v>11791.2</v>
      </c>
      <c r="T288" s="13">
        <f>T289+T292+T295</f>
        <v>0</v>
      </c>
      <c r="U288" s="85">
        <f t="shared" si="71"/>
        <v>11791.2</v>
      </c>
    </row>
    <row r="289" spans="1:22" s="148" customFormat="1" ht="21.95" customHeight="1">
      <c r="A289" s="61" t="str">
        <f ca="1">IF(ISERROR(MATCH(E289,Код_КЦСР,0)),"",INDIRECT(ADDRESS(MATCH(E289,Код_КЦСР,0)+1,2,,,"КЦСР")))</f>
        <v>Стимулирование экономического роста путем привлечения инвесторов</v>
      </c>
      <c r="B289" s="145">
        <v>801</v>
      </c>
      <c r="C289" s="8" t="s">
        <v>216</v>
      </c>
      <c r="D289" s="8" t="s">
        <v>196</v>
      </c>
      <c r="E289" s="145" t="s">
        <v>558</v>
      </c>
      <c r="F289" s="145"/>
      <c r="G289" s="69">
        <f>G290</f>
        <v>5549.9</v>
      </c>
      <c r="H289" s="69">
        <f>H290</f>
        <v>0</v>
      </c>
      <c r="I289" s="69">
        <f t="shared" si="65"/>
        <v>5549.9</v>
      </c>
      <c r="J289" s="69">
        <f>J290</f>
        <v>0</v>
      </c>
      <c r="K289" s="85">
        <f t="shared" si="66"/>
        <v>5549.9</v>
      </c>
      <c r="L289" s="13">
        <f>L290</f>
        <v>0</v>
      </c>
      <c r="M289" s="85">
        <f t="shared" si="61"/>
        <v>5549.9</v>
      </c>
      <c r="N289" s="13">
        <f>N290</f>
        <v>0</v>
      </c>
      <c r="O289" s="85">
        <f t="shared" si="62"/>
        <v>5549.9</v>
      </c>
      <c r="P289" s="13">
        <f>P290</f>
        <v>0</v>
      </c>
      <c r="Q289" s="85">
        <f t="shared" si="58"/>
        <v>5549.9</v>
      </c>
      <c r="R289" s="13">
        <f>R290</f>
        <v>0</v>
      </c>
      <c r="S289" s="85">
        <f t="shared" si="59"/>
        <v>5549.9</v>
      </c>
      <c r="T289" s="13">
        <f>T290</f>
        <v>0</v>
      </c>
      <c r="U289" s="85">
        <f t="shared" si="71"/>
        <v>5549.9</v>
      </c>
    </row>
    <row r="290" spans="1:22" s="148" customFormat="1" ht="33">
      <c r="A290" s="61" t="str">
        <f ca="1">IF(ISERROR(MATCH(F290,Код_КВР,0)),"",INDIRECT(ADDRESS(MATCH(F290,Код_КВР,0)+1,2,,,"КВР")))</f>
        <v>Предоставление субсидий бюджетным, автономным учреждениям и иным некоммерческим организациям</v>
      </c>
      <c r="B290" s="145">
        <v>801</v>
      </c>
      <c r="C290" s="8" t="s">
        <v>216</v>
      </c>
      <c r="D290" s="8" t="s">
        <v>196</v>
      </c>
      <c r="E290" s="145" t="s">
        <v>558</v>
      </c>
      <c r="F290" s="145">
        <v>600</v>
      </c>
      <c r="G290" s="69">
        <f>G291</f>
        <v>5549.9</v>
      </c>
      <c r="H290" s="69">
        <f>H291</f>
        <v>0</v>
      </c>
      <c r="I290" s="69">
        <f t="shared" si="65"/>
        <v>5549.9</v>
      </c>
      <c r="J290" s="69">
        <f>J291</f>
        <v>0</v>
      </c>
      <c r="K290" s="85">
        <f t="shared" si="66"/>
        <v>5549.9</v>
      </c>
      <c r="L290" s="13">
        <f>L291</f>
        <v>0</v>
      </c>
      <c r="M290" s="85">
        <f t="shared" si="61"/>
        <v>5549.9</v>
      </c>
      <c r="N290" s="13">
        <f>N291</f>
        <v>0</v>
      </c>
      <c r="O290" s="85">
        <f t="shared" si="62"/>
        <v>5549.9</v>
      </c>
      <c r="P290" s="13">
        <f>P291</f>
        <v>0</v>
      </c>
      <c r="Q290" s="85">
        <f t="shared" si="58"/>
        <v>5549.9</v>
      </c>
      <c r="R290" s="13">
        <f>R291</f>
        <v>0</v>
      </c>
      <c r="S290" s="85">
        <f t="shared" si="59"/>
        <v>5549.9</v>
      </c>
      <c r="T290" s="13">
        <f>T291</f>
        <v>0</v>
      </c>
      <c r="U290" s="85">
        <f t="shared" si="71"/>
        <v>5549.9</v>
      </c>
    </row>
    <row r="291" spans="1:22" s="148" customFormat="1" ht="33">
      <c r="A291" s="61" t="str">
        <f ca="1">IF(ISERROR(MATCH(F291,Код_КВР,0)),"",INDIRECT(ADDRESS(MATCH(F291,Код_КВР,0)+1,2,,,"КВР")))</f>
        <v>Субсидии некоммерческим организациям (за исключением государственных (муниципальных) учреждений)</v>
      </c>
      <c r="B291" s="145">
        <v>801</v>
      </c>
      <c r="C291" s="8" t="s">
        <v>216</v>
      </c>
      <c r="D291" s="8" t="s">
        <v>196</v>
      </c>
      <c r="E291" s="145" t="s">
        <v>558</v>
      </c>
      <c r="F291" s="145">
        <v>630</v>
      </c>
      <c r="G291" s="69">
        <v>5549.9</v>
      </c>
      <c r="H291" s="69"/>
      <c r="I291" s="69">
        <f t="shared" si="65"/>
        <v>5549.9</v>
      </c>
      <c r="J291" s="69"/>
      <c r="K291" s="85">
        <f t="shared" si="66"/>
        <v>5549.9</v>
      </c>
      <c r="L291" s="13"/>
      <c r="M291" s="85">
        <f t="shared" si="61"/>
        <v>5549.9</v>
      </c>
      <c r="N291" s="13"/>
      <c r="O291" s="85">
        <f t="shared" si="62"/>
        <v>5549.9</v>
      </c>
      <c r="P291" s="13"/>
      <c r="Q291" s="85">
        <f t="shared" si="58"/>
        <v>5549.9</v>
      </c>
      <c r="R291" s="13"/>
      <c r="S291" s="85">
        <f t="shared" ref="S291:S358" si="72">Q291+R291</f>
        <v>5549.9</v>
      </c>
      <c r="T291" s="13"/>
      <c r="U291" s="85">
        <f t="shared" si="71"/>
        <v>5549.9</v>
      </c>
    </row>
    <row r="292" spans="1:22" s="148" customFormat="1" ht="33">
      <c r="A292" s="61" t="str">
        <f ca="1">IF(ISERROR(MATCH(E292,Код_КЦСР,0)),"",INDIRECT(ADDRESS(MATCH(E292,Код_КЦСР,0)+1,2,,,"КЦСР")))</f>
        <v>Информационное и нормативно-правовое сопровождение инвестиционной деятельности</v>
      </c>
      <c r="B292" s="145">
        <v>801</v>
      </c>
      <c r="C292" s="8" t="s">
        <v>216</v>
      </c>
      <c r="D292" s="8" t="s">
        <v>196</v>
      </c>
      <c r="E292" s="145" t="s">
        <v>560</v>
      </c>
      <c r="F292" s="145"/>
      <c r="G292" s="69">
        <f>G293</f>
        <v>2874.8</v>
      </c>
      <c r="H292" s="69">
        <f>H293</f>
        <v>0</v>
      </c>
      <c r="I292" s="69">
        <f t="shared" si="65"/>
        <v>2874.8</v>
      </c>
      <c r="J292" s="69">
        <f>J293</f>
        <v>0</v>
      </c>
      <c r="K292" s="85">
        <f t="shared" si="66"/>
        <v>2874.8</v>
      </c>
      <c r="L292" s="13">
        <f>L293</f>
        <v>0</v>
      </c>
      <c r="M292" s="85">
        <f t="shared" si="61"/>
        <v>2874.8</v>
      </c>
      <c r="N292" s="13">
        <f>N293</f>
        <v>0</v>
      </c>
      <c r="O292" s="85">
        <f t="shared" si="62"/>
        <v>2874.8</v>
      </c>
      <c r="P292" s="13">
        <f>P293</f>
        <v>0</v>
      </c>
      <c r="Q292" s="85">
        <f t="shared" si="58"/>
        <v>2874.8</v>
      </c>
      <c r="R292" s="13">
        <f>R293</f>
        <v>0</v>
      </c>
      <c r="S292" s="85">
        <f t="shared" si="72"/>
        <v>2874.8</v>
      </c>
      <c r="T292" s="13">
        <f>T293</f>
        <v>0</v>
      </c>
      <c r="U292" s="85">
        <f t="shared" si="71"/>
        <v>2874.8</v>
      </c>
    </row>
    <row r="293" spans="1:22" s="148" customFormat="1" ht="33">
      <c r="A293" s="61" t="str">
        <f ca="1">IF(ISERROR(MATCH(F293,Код_КВР,0)),"",INDIRECT(ADDRESS(MATCH(F293,Код_КВР,0)+1,2,,,"КВР")))</f>
        <v>Предоставление субсидий бюджетным, автономным учреждениям и иным некоммерческим организациям</v>
      </c>
      <c r="B293" s="145">
        <v>801</v>
      </c>
      <c r="C293" s="8" t="s">
        <v>216</v>
      </c>
      <c r="D293" s="8" t="s">
        <v>196</v>
      </c>
      <c r="E293" s="145" t="s">
        <v>560</v>
      </c>
      <c r="F293" s="145">
        <v>600</v>
      </c>
      <c r="G293" s="69">
        <f>G294</f>
        <v>2874.8</v>
      </c>
      <c r="H293" s="69">
        <f>H294</f>
        <v>0</v>
      </c>
      <c r="I293" s="69">
        <f t="shared" si="65"/>
        <v>2874.8</v>
      </c>
      <c r="J293" s="69">
        <f>J294</f>
        <v>0</v>
      </c>
      <c r="K293" s="85">
        <f t="shared" si="66"/>
        <v>2874.8</v>
      </c>
      <c r="L293" s="13">
        <f>L294</f>
        <v>0</v>
      </c>
      <c r="M293" s="85">
        <f t="shared" si="61"/>
        <v>2874.8</v>
      </c>
      <c r="N293" s="13">
        <f>N294</f>
        <v>0</v>
      </c>
      <c r="O293" s="85">
        <f t="shared" si="62"/>
        <v>2874.8</v>
      </c>
      <c r="P293" s="13">
        <f>P294</f>
        <v>0</v>
      </c>
      <c r="Q293" s="85">
        <f t="shared" si="58"/>
        <v>2874.8</v>
      </c>
      <c r="R293" s="13">
        <f>R294</f>
        <v>0</v>
      </c>
      <c r="S293" s="85">
        <f t="shared" si="72"/>
        <v>2874.8</v>
      </c>
      <c r="T293" s="13">
        <f>T294</f>
        <v>0</v>
      </c>
      <c r="U293" s="85">
        <f t="shared" si="71"/>
        <v>2874.8</v>
      </c>
    </row>
    <row r="294" spans="1:22" s="148" customFormat="1" ht="33">
      <c r="A294" s="61" t="str">
        <f ca="1">IF(ISERROR(MATCH(F294,Код_КВР,0)),"",INDIRECT(ADDRESS(MATCH(F294,Код_КВР,0)+1,2,,,"КВР")))</f>
        <v>Субсидии некоммерческим организациям (за исключением государственных (муниципальных) учреждений)</v>
      </c>
      <c r="B294" s="145">
        <v>801</v>
      </c>
      <c r="C294" s="8" t="s">
        <v>216</v>
      </c>
      <c r="D294" s="8" t="s">
        <v>196</v>
      </c>
      <c r="E294" s="145" t="s">
        <v>560</v>
      </c>
      <c r="F294" s="145">
        <v>630</v>
      </c>
      <c r="G294" s="69">
        <v>2874.8</v>
      </c>
      <c r="H294" s="69"/>
      <c r="I294" s="69">
        <f t="shared" si="65"/>
        <v>2874.8</v>
      </c>
      <c r="J294" s="69"/>
      <c r="K294" s="85">
        <f t="shared" si="66"/>
        <v>2874.8</v>
      </c>
      <c r="L294" s="13"/>
      <c r="M294" s="85">
        <f t="shared" si="61"/>
        <v>2874.8</v>
      </c>
      <c r="N294" s="13"/>
      <c r="O294" s="85">
        <f t="shared" si="62"/>
        <v>2874.8</v>
      </c>
      <c r="P294" s="13"/>
      <c r="Q294" s="85">
        <f t="shared" si="58"/>
        <v>2874.8</v>
      </c>
      <c r="R294" s="13"/>
      <c r="S294" s="85">
        <f t="shared" si="72"/>
        <v>2874.8</v>
      </c>
      <c r="T294" s="13"/>
      <c r="U294" s="85">
        <f t="shared" si="71"/>
        <v>2874.8</v>
      </c>
    </row>
    <row r="295" spans="1:22" s="148" customFormat="1">
      <c r="A295" s="61" t="str">
        <f ca="1">IF(ISERROR(MATCH(E295,Код_КЦСР,0)),"",INDIRECT(ADDRESS(MATCH(E295,Код_КЦСР,0)+1,2,,,"КЦСР")))</f>
        <v>Комплексное сопровождение инвестиционных проектов</v>
      </c>
      <c r="B295" s="145">
        <v>801</v>
      </c>
      <c r="C295" s="8" t="s">
        <v>216</v>
      </c>
      <c r="D295" s="8" t="s">
        <v>196</v>
      </c>
      <c r="E295" s="145" t="s">
        <v>562</v>
      </c>
      <c r="F295" s="145"/>
      <c r="G295" s="69">
        <f>G296</f>
        <v>3366.5</v>
      </c>
      <c r="H295" s="69">
        <f>H296</f>
        <v>0</v>
      </c>
      <c r="I295" s="69">
        <f t="shared" si="65"/>
        <v>3366.5</v>
      </c>
      <c r="J295" s="69">
        <f>J296</f>
        <v>0</v>
      </c>
      <c r="K295" s="85">
        <f t="shared" si="66"/>
        <v>3366.5</v>
      </c>
      <c r="L295" s="13">
        <f>L296</f>
        <v>0</v>
      </c>
      <c r="M295" s="85">
        <f t="shared" si="61"/>
        <v>3366.5</v>
      </c>
      <c r="N295" s="13">
        <f>N296</f>
        <v>0</v>
      </c>
      <c r="O295" s="85">
        <f t="shared" si="62"/>
        <v>3366.5</v>
      </c>
      <c r="P295" s="13">
        <f>P296</f>
        <v>0</v>
      </c>
      <c r="Q295" s="85">
        <f t="shared" si="58"/>
        <v>3366.5</v>
      </c>
      <c r="R295" s="13">
        <f>R296</f>
        <v>0</v>
      </c>
      <c r="S295" s="85">
        <f t="shared" si="72"/>
        <v>3366.5</v>
      </c>
      <c r="T295" s="13">
        <f>T296</f>
        <v>0</v>
      </c>
      <c r="U295" s="85">
        <f t="shared" si="71"/>
        <v>3366.5</v>
      </c>
    </row>
    <row r="296" spans="1:22" s="148" customFormat="1" ht="33">
      <c r="A296" s="61" t="str">
        <f ca="1">IF(ISERROR(MATCH(F296,Код_КВР,0)),"",INDIRECT(ADDRESS(MATCH(F296,Код_КВР,0)+1,2,,,"КВР")))</f>
        <v>Предоставление субсидий бюджетным, автономным учреждениям и иным некоммерческим организациям</v>
      </c>
      <c r="B296" s="145">
        <v>801</v>
      </c>
      <c r="C296" s="8" t="s">
        <v>216</v>
      </c>
      <c r="D296" s="8" t="s">
        <v>196</v>
      </c>
      <c r="E296" s="145" t="s">
        <v>562</v>
      </c>
      <c r="F296" s="145">
        <v>600</v>
      </c>
      <c r="G296" s="69">
        <f>G297</f>
        <v>3366.5</v>
      </c>
      <c r="H296" s="69">
        <f>H297</f>
        <v>0</v>
      </c>
      <c r="I296" s="69">
        <f t="shared" si="65"/>
        <v>3366.5</v>
      </c>
      <c r="J296" s="69">
        <f>J297</f>
        <v>0</v>
      </c>
      <c r="K296" s="85">
        <f t="shared" si="66"/>
        <v>3366.5</v>
      </c>
      <c r="L296" s="13">
        <f>L297</f>
        <v>0</v>
      </c>
      <c r="M296" s="85">
        <f t="shared" si="61"/>
        <v>3366.5</v>
      </c>
      <c r="N296" s="13">
        <f>N297</f>
        <v>0</v>
      </c>
      <c r="O296" s="85">
        <f t="shared" si="62"/>
        <v>3366.5</v>
      </c>
      <c r="P296" s="13">
        <f>P297</f>
        <v>0</v>
      </c>
      <c r="Q296" s="85">
        <f t="shared" ref="Q296:Q363" si="73">O296+P296</f>
        <v>3366.5</v>
      </c>
      <c r="R296" s="13">
        <f>R297</f>
        <v>0</v>
      </c>
      <c r="S296" s="85">
        <f t="shared" si="72"/>
        <v>3366.5</v>
      </c>
      <c r="T296" s="13">
        <f>T297</f>
        <v>0</v>
      </c>
      <c r="U296" s="85">
        <f t="shared" si="71"/>
        <v>3366.5</v>
      </c>
    </row>
    <row r="297" spans="1:22" s="148" customFormat="1" ht="33">
      <c r="A297" s="61" t="str">
        <f ca="1">IF(ISERROR(MATCH(F297,Код_КВР,0)),"",INDIRECT(ADDRESS(MATCH(F297,Код_КВР,0)+1,2,,,"КВР")))</f>
        <v>Субсидии некоммерческим организациям (за исключением государственных (муниципальных) учреждений)</v>
      </c>
      <c r="B297" s="145">
        <v>801</v>
      </c>
      <c r="C297" s="8" t="s">
        <v>216</v>
      </c>
      <c r="D297" s="8" t="s">
        <v>196</v>
      </c>
      <c r="E297" s="145" t="s">
        <v>562</v>
      </c>
      <c r="F297" s="145">
        <v>630</v>
      </c>
      <c r="G297" s="69">
        <v>3366.5</v>
      </c>
      <c r="H297" s="69"/>
      <c r="I297" s="69">
        <f t="shared" si="65"/>
        <v>3366.5</v>
      </c>
      <c r="J297" s="69"/>
      <c r="K297" s="85">
        <f t="shared" si="66"/>
        <v>3366.5</v>
      </c>
      <c r="L297" s="13"/>
      <c r="M297" s="85">
        <f t="shared" si="61"/>
        <v>3366.5</v>
      </c>
      <c r="N297" s="13"/>
      <c r="O297" s="85">
        <f t="shared" si="62"/>
        <v>3366.5</v>
      </c>
      <c r="P297" s="13"/>
      <c r="Q297" s="85">
        <f t="shared" si="73"/>
        <v>3366.5</v>
      </c>
      <c r="R297" s="13"/>
      <c r="S297" s="85">
        <f t="shared" si="72"/>
        <v>3366.5</v>
      </c>
      <c r="T297" s="13"/>
      <c r="U297" s="85">
        <f t="shared" si="71"/>
        <v>3366.5</v>
      </c>
    </row>
    <row r="298" spans="1:22" s="148" customFormat="1" ht="33" hidden="1">
      <c r="A298" s="61" t="str">
        <f ca="1">IF(ISERROR(MATCH(E298,Код_КЦСР,0)),"",INDIRECT(ADDRESS(MATCH(E298,Код_КЦСР,0)+1,2,,,"КЦСР")))</f>
        <v>Муниципальная программа «Развитие внутреннего и въездного туризма в г. Череповце» на 2014-2022 годы</v>
      </c>
      <c r="B298" s="145">
        <v>801</v>
      </c>
      <c r="C298" s="8" t="s">
        <v>216</v>
      </c>
      <c r="D298" s="8" t="s">
        <v>196</v>
      </c>
      <c r="E298" s="145" t="s">
        <v>1</v>
      </c>
      <c r="F298" s="145"/>
      <c r="G298" s="69">
        <f t="shared" ref="G298:T301" si="74">G299</f>
        <v>0</v>
      </c>
      <c r="H298" s="69">
        <f t="shared" si="74"/>
        <v>0</v>
      </c>
      <c r="I298" s="69">
        <f t="shared" si="65"/>
        <v>0</v>
      </c>
      <c r="J298" s="69">
        <f t="shared" si="74"/>
        <v>0</v>
      </c>
      <c r="K298" s="85">
        <f t="shared" si="66"/>
        <v>0</v>
      </c>
      <c r="L298" s="13">
        <f t="shared" si="74"/>
        <v>0</v>
      </c>
      <c r="M298" s="85">
        <f t="shared" si="61"/>
        <v>0</v>
      </c>
      <c r="N298" s="13">
        <f t="shared" si="74"/>
        <v>0</v>
      </c>
      <c r="O298" s="85">
        <f t="shared" si="62"/>
        <v>0</v>
      </c>
      <c r="P298" s="13">
        <f t="shared" si="74"/>
        <v>0</v>
      </c>
      <c r="Q298" s="85">
        <f t="shared" si="73"/>
        <v>0</v>
      </c>
      <c r="R298" s="13">
        <f t="shared" si="74"/>
        <v>0</v>
      </c>
      <c r="S298" s="85">
        <f>Q298+R298</f>
        <v>0</v>
      </c>
      <c r="T298" s="13">
        <f t="shared" si="74"/>
        <v>0</v>
      </c>
      <c r="U298" s="85">
        <f t="shared" si="71"/>
        <v>0</v>
      </c>
      <c r="V298" s="155" t="s">
        <v>715</v>
      </c>
    </row>
    <row r="299" spans="1:22" s="148" customFormat="1" hidden="1">
      <c r="A299" s="61" t="str">
        <f ca="1">IF(ISERROR(MATCH(E299,Код_КЦСР,0)),"",INDIRECT(ADDRESS(MATCH(E299,Код_КЦСР,0)+1,2,,,"КЦСР")))</f>
        <v>Продвижение городского туристского продукта на российском рынке</v>
      </c>
      <c r="B299" s="145">
        <v>801</v>
      </c>
      <c r="C299" s="8" t="s">
        <v>216</v>
      </c>
      <c r="D299" s="8" t="s">
        <v>196</v>
      </c>
      <c r="E299" s="145" t="s">
        <v>2</v>
      </c>
      <c r="F299" s="145"/>
      <c r="G299" s="69">
        <f t="shared" si="74"/>
        <v>0</v>
      </c>
      <c r="H299" s="69">
        <f t="shared" si="74"/>
        <v>0</v>
      </c>
      <c r="I299" s="69">
        <f t="shared" si="65"/>
        <v>0</v>
      </c>
      <c r="J299" s="69">
        <f t="shared" si="74"/>
        <v>0</v>
      </c>
      <c r="K299" s="85">
        <f t="shared" si="66"/>
        <v>0</v>
      </c>
      <c r="L299" s="13">
        <f t="shared" si="74"/>
        <v>0</v>
      </c>
      <c r="M299" s="85">
        <f t="shared" si="61"/>
        <v>0</v>
      </c>
      <c r="N299" s="13">
        <f t="shared" si="74"/>
        <v>0</v>
      </c>
      <c r="O299" s="85">
        <f t="shared" si="62"/>
        <v>0</v>
      </c>
      <c r="P299" s="13">
        <f t="shared" si="74"/>
        <v>0</v>
      </c>
      <c r="Q299" s="85">
        <f t="shared" si="73"/>
        <v>0</v>
      </c>
      <c r="R299" s="13">
        <f t="shared" si="74"/>
        <v>0</v>
      </c>
      <c r="S299" s="85">
        <f t="shared" si="72"/>
        <v>0</v>
      </c>
      <c r="T299" s="13">
        <f t="shared" si="74"/>
        <v>0</v>
      </c>
      <c r="U299" s="85">
        <f t="shared" si="71"/>
        <v>0</v>
      </c>
      <c r="V299" s="155" t="s">
        <v>715</v>
      </c>
    </row>
    <row r="300" spans="1:22" s="148" customFormat="1" hidden="1">
      <c r="A300" s="61" t="str">
        <f ca="1">IF(ISERROR(MATCH(F300,Код_КВР,0)),"",INDIRECT(ADDRESS(MATCH(F300,Код_КВР,0)+1,2,,,"КВР")))</f>
        <v>Закупка товаров, работ и услуг для муниципальных нужд</v>
      </c>
      <c r="B300" s="145">
        <v>801</v>
      </c>
      <c r="C300" s="8" t="s">
        <v>216</v>
      </c>
      <c r="D300" s="8" t="s">
        <v>196</v>
      </c>
      <c r="E300" s="145" t="s">
        <v>2</v>
      </c>
      <c r="F300" s="145">
        <v>200</v>
      </c>
      <c r="G300" s="69">
        <f t="shared" si="74"/>
        <v>0</v>
      </c>
      <c r="H300" s="69">
        <f t="shared" si="74"/>
        <v>0</v>
      </c>
      <c r="I300" s="69">
        <f t="shared" si="65"/>
        <v>0</v>
      </c>
      <c r="J300" s="69">
        <f t="shared" si="74"/>
        <v>0</v>
      </c>
      <c r="K300" s="85">
        <f t="shared" si="66"/>
        <v>0</v>
      </c>
      <c r="L300" s="13">
        <f t="shared" si="74"/>
        <v>0</v>
      </c>
      <c r="M300" s="85">
        <f t="shared" si="61"/>
        <v>0</v>
      </c>
      <c r="N300" s="13">
        <f t="shared" si="74"/>
        <v>0</v>
      </c>
      <c r="O300" s="85">
        <f t="shared" si="62"/>
        <v>0</v>
      </c>
      <c r="P300" s="13">
        <f t="shared" si="74"/>
        <v>0</v>
      </c>
      <c r="Q300" s="85">
        <f t="shared" si="73"/>
        <v>0</v>
      </c>
      <c r="R300" s="13">
        <f t="shared" si="74"/>
        <v>0</v>
      </c>
      <c r="S300" s="85">
        <f t="shared" si="72"/>
        <v>0</v>
      </c>
      <c r="T300" s="13">
        <f t="shared" si="74"/>
        <v>0</v>
      </c>
      <c r="U300" s="85">
        <f t="shared" si="71"/>
        <v>0</v>
      </c>
      <c r="V300" s="155" t="s">
        <v>715</v>
      </c>
    </row>
    <row r="301" spans="1:22" s="148" customFormat="1" ht="33" hidden="1">
      <c r="A301" s="61" t="str">
        <f ca="1">IF(ISERROR(MATCH(F301,Код_КВР,0)),"",INDIRECT(ADDRESS(MATCH(F301,Код_КВР,0)+1,2,,,"КВР")))</f>
        <v>Иные закупки товаров, работ и услуг для обеспечения муниципальных нужд</v>
      </c>
      <c r="B301" s="145">
        <v>801</v>
      </c>
      <c r="C301" s="8" t="s">
        <v>216</v>
      </c>
      <c r="D301" s="8" t="s">
        <v>196</v>
      </c>
      <c r="E301" s="145" t="s">
        <v>2</v>
      </c>
      <c r="F301" s="145">
        <v>240</v>
      </c>
      <c r="G301" s="69">
        <f t="shared" si="74"/>
        <v>0</v>
      </c>
      <c r="H301" s="69">
        <f t="shared" si="74"/>
        <v>0</v>
      </c>
      <c r="I301" s="69">
        <f t="shared" si="65"/>
        <v>0</v>
      </c>
      <c r="J301" s="69">
        <f t="shared" si="74"/>
        <v>0</v>
      </c>
      <c r="K301" s="85">
        <f t="shared" si="66"/>
        <v>0</v>
      </c>
      <c r="L301" s="13">
        <f t="shared" si="74"/>
        <v>0</v>
      </c>
      <c r="M301" s="85">
        <f t="shared" si="61"/>
        <v>0</v>
      </c>
      <c r="N301" s="13">
        <f t="shared" si="74"/>
        <v>0</v>
      </c>
      <c r="O301" s="85">
        <f t="shared" si="62"/>
        <v>0</v>
      </c>
      <c r="P301" s="13">
        <f t="shared" si="74"/>
        <v>0</v>
      </c>
      <c r="Q301" s="85">
        <f t="shared" si="73"/>
        <v>0</v>
      </c>
      <c r="R301" s="13">
        <f t="shared" si="74"/>
        <v>0</v>
      </c>
      <c r="S301" s="85">
        <f t="shared" si="72"/>
        <v>0</v>
      </c>
      <c r="T301" s="13">
        <f t="shared" si="74"/>
        <v>0</v>
      </c>
      <c r="U301" s="85">
        <f t="shared" si="71"/>
        <v>0</v>
      </c>
      <c r="V301" s="155" t="s">
        <v>715</v>
      </c>
    </row>
    <row r="302" spans="1:22" s="148" customFormat="1" ht="33" hidden="1">
      <c r="A302" s="61" t="str">
        <f ca="1">IF(ISERROR(MATCH(F302,Код_КВР,0)),"",INDIRECT(ADDRESS(MATCH(F302,Код_КВР,0)+1,2,,,"КВР")))</f>
        <v xml:space="preserve">Прочая закупка товаров, работ и услуг для обеспечения муниципальных нужд         </v>
      </c>
      <c r="B302" s="145">
        <v>801</v>
      </c>
      <c r="C302" s="8" t="s">
        <v>216</v>
      </c>
      <c r="D302" s="8" t="s">
        <v>196</v>
      </c>
      <c r="E302" s="145" t="s">
        <v>2</v>
      </c>
      <c r="F302" s="145">
        <v>244</v>
      </c>
      <c r="G302" s="69"/>
      <c r="H302" s="69"/>
      <c r="I302" s="69">
        <f t="shared" si="65"/>
        <v>0</v>
      </c>
      <c r="J302" s="69"/>
      <c r="K302" s="85">
        <f t="shared" si="66"/>
        <v>0</v>
      </c>
      <c r="L302" s="13"/>
      <c r="M302" s="85">
        <f t="shared" ref="M302:M369" si="75">K302+L302</f>
        <v>0</v>
      </c>
      <c r="N302" s="13"/>
      <c r="O302" s="85">
        <f t="shared" ref="O302:O369" si="76">M302+N302</f>
        <v>0</v>
      </c>
      <c r="P302" s="13"/>
      <c r="Q302" s="85">
        <f t="shared" si="73"/>
        <v>0</v>
      </c>
      <c r="R302" s="13"/>
      <c r="S302" s="85">
        <f t="shared" si="72"/>
        <v>0</v>
      </c>
      <c r="T302" s="13"/>
      <c r="U302" s="85">
        <f t="shared" si="71"/>
        <v>0</v>
      </c>
      <c r="V302" s="155" t="s">
        <v>715</v>
      </c>
    </row>
    <row r="303" spans="1:22" s="148" customFormat="1">
      <c r="A303" s="61" t="str">
        <f ca="1">IF(ISERROR(MATCH(C303,Код_Раздел,0)),"",INDIRECT(ADDRESS(MATCH(C303,Код_Раздел,0)+1,2,,,"Раздел")))</f>
        <v>Образование</v>
      </c>
      <c r="B303" s="145">
        <v>801</v>
      </c>
      <c r="C303" s="8" t="s">
        <v>195</v>
      </c>
      <c r="D303" s="8"/>
      <c r="E303" s="145"/>
      <c r="F303" s="145"/>
      <c r="G303" s="69">
        <f>G304</f>
        <v>8002.7</v>
      </c>
      <c r="H303" s="69">
        <f>H304</f>
        <v>0</v>
      </c>
      <c r="I303" s="69">
        <f t="shared" si="65"/>
        <v>8002.7</v>
      </c>
      <c r="J303" s="69">
        <f>J304</f>
        <v>0.7</v>
      </c>
      <c r="K303" s="85">
        <f t="shared" si="66"/>
        <v>8003.4</v>
      </c>
      <c r="L303" s="13">
        <f>L304</f>
        <v>-100.6</v>
      </c>
      <c r="M303" s="85">
        <f t="shared" si="75"/>
        <v>7902.7999999999993</v>
      </c>
      <c r="N303" s="13">
        <f>N304</f>
        <v>0</v>
      </c>
      <c r="O303" s="85">
        <f t="shared" si="76"/>
        <v>7902.7999999999993</v>
      </c>
      <c r="P303" s="13">
        <f>P304</f>
        <v>0</v>
      </c>
      <c r="Q303" s="85">
        <f t="shared" si="73"/>
        <v>7902.7999999999993</v>
      </c>
      <c r="R303" s="13">
        <f>R304</f>
        <v>0</v>
      </c>
      <c r="S303" s="85">
        <f t="shared" si="72"/>
        <v>7902.7999999999993</v>
      </c>
      <c r="T303" s="13">
        <f>T304</f>
        <v>0</v>
      </c>
      <c r="U303" s="85">
        <f t="shared" si="71"/>
        <v>7902.7999999999993</v>
      </c>
    </row>
    <row r="304" spans="1:22" s="148" customFormat="1">
      <c r="A304" s="12" t="s">
        <v>199</v>
      </c>
      <c r="B304" s="145">
        <v>801</v>
      </c>
      <c r="C304" s="8" t="s">
        <v>195</v>
      </c>
      <c r="D304" s="8" t="s">
        <v>195</v>
      </c>
      <c r="E304" s="145"/>
      <c r="F304" s="145"/>
      <c r="G304" s="69">
        <f>G305+G314</f>
        <v>8002.7</v>
      </c>
      <c r="H304" s="69">
        <f>H305+H314</f>
        <v>0</v>
      </c>
      <c r="I304" s="69">
        <f t="shared" si="65"/>
        <v>8002.7</v>
      </c>
      <c r="J304" s="69">
        <f>J305+J314+J327</f>
        <v>0.7</v>
      </c>
      <c r="K304" s="85">
        <f t="shared" si="66"/>
        <v>8003.4</v>
      </c>
      <c r="L304" s="13">
        <f>L305+L314+L327</f>
        <v>-100.6</v>
      </c>
      <c r="M304" s="85">
        <f t="shared" si="75"/>
        <v>7902.7999999999993</v>
      </c>
      <c r="N304" s="13">
        <f>N305+N314+N327</f>
        <v>0</v>
      </c>
      <c r="O304" s="85">
        <f t="shared" si="76"/>
        <v>7902.7999999999993</v>
      </c>
      <c r="P304" s="13">
        <f>P305+P314+P327</f>
        <v>0</v>
      </c>
      <c r="Q304" s="85">
        <f t="shared" si="73"/>
        <v>7902.7999999999993</v>
      </c>
      <c r="R304" s="13">
        <f>R305+R314+R327</f>
        <v>0</v>
      </c>
      <c r="S304" s="85">
        <f t="shared" si="72"/>
        <v>7902.7999999999993</v>
      </c>
      <c r="T304" s="13">
        <f>T305+T314+T327</f>
        <v>0</v>
      </c>
      <c r="U304" s="85">
        <f t="shared" si="71"/>
        <v>7902.7999999999993</v>
      </c>
    </row>
    <row r="305" spans="1:22" s="148" customFormat="1" ht="33">
      <c r="A305" s="61" t="str">
        <f ca="1">IF(ISERROR(MATCH(E305,Код_КЦСР,0)),"",INDIRECT(ADDRESS(MATCH(E305,Код_КЦСР,0)+1,2,,,"КЦСР")))</f>
        <v>Муниципальная программа «Развитие молодежной политики» на 2013-2018 годы</v>
      </c>
      <c r="B305" s="145">
        <v>801</v>
      </c>
      <c r="C305" s="8" t="s">
        <v>195</v>
      </c>
      <c r="D305" s="8" t="s">
        <v>195</v>
      </c>
      <c r="E305" s="145" t="s">
        <v>564</v>
      </c>
      <c r="F305" s="145"/>
      <c r="G305" s="69">
        <f>G306+G310</f>
        <v>7672.7</v>
      </c>
      <c r="H305" s="69">
        <f>H306+H310</f>
        <v>0</v>
      </c>
      <c r="I305" s="69">
        <f t="shared" si="65"/>
        <v>7672.7</v>
      </c>
      <c r="J305" s="69">
        <f>J306+J310</f>
        <v>0</v>
      </c>
      <c r="K305" s="85">
        <f t="shared" si="66"/>
        <v>7672.7</v>
      </c>
      <c r="L305" s="13">
        <f>L306+L310</f>
        <v>-100.6</v>
      </c>
      <c r="M305" s="85">
        <f t="shared" si="75"/>
        <v>7572.0999999999995</v>
      </c>
      <c r="N305" s="13">
        <f>N306+N310</f>
        <v>0</v>
      </c>
      <c r="O305" s="85">
        <f t="shared" si="76"/>
        <v>7572.0999999999995</v>
      </c>
      <c r="P305" s="13">
        <f>P306+P310</f>
        <v>0</v>
      </c>
      <c r="Q305" s="85">
        <f t="shared" si="73"/>
        <v>7572.0999999999995</v>
      </c>
      <c r="R305" s="13">
        <f>R306+R310</f>
        <v>0</v>
      </c>
      <c r="S305" s="85">
        <f t="shared" si="72"/>
        <v>7572.0999999999995</v>
      </c>
      <c r="T305" s="13">
        <f>T306+T310</f>
        <v>0</v>
      </c>
      <c r="U305" s="85">
        <f t="shared" si="71"/>
        <v>7572.0999999999995</v>
      </c>
    </row>
    <row r="306" spans="1:22" s="148" customFormat="1" ht="49.5">
      <c r="A306" s="61" t="str">
        <f ca="1">IF(ISERROR(MATCH(E306,Код_КЦСР,0)),"",INDIRECT(ADDRESS(MATCH(E306,Код_КЦСР,0)+1,2,,,"КЦСР")))</f>
        <v>Организация и проведение мероприятий с детьми и молодежью в рамках плана мероприятий с детьми и молодежью за счет средств городского бюджета, утверждаемого постановлением мэрии города</v>
      </c>
      <c r="B306" s="145">
        <v>801</v>
      </c>
      <c r="C306" s="8" t="s">
        <v>195</v>
      </c>
      <c r="D306" s="8" t="s">
        <v>195</v>
      </c>
      <c r="E306" s="145" t="s">
        <v>568</v>
      </c>
      <c r="F306" s="145"/>
      <c r="G306" s="69">
        <f t="shared" ref="G306:T308" si="77">G307</f>
        <v>844.8</v>
      </c>
      <c r="H306" s="69">
        <f t="shared" si="77"/>
        <v>0</v>
      </c>
      <c r="I306" s="69">
        <f t="shared" si="65"/>
        <v>844.8</v>
      </c>
      <c r="J306" s="69">
        <f t="shared" si="77"/>
        <v>0</v>
      </c>
      <c r="K306" s="85">
        <f t="shared" si="66"/>
        <v>844.8</v>
      </c>
      <c r="L306" s="13">
        <f t="shared" si="77"/>
        <v>0</v>
      </c>
      <c r="M306" s="85">
        <f t="shared" si="75"/>
        <v>844.8</v>
      </c>
      <c r="N306" s="13">
        <f t="shared" si="77"/>
        <v>0</v>
      </c>
      <c r="O306" s="85">
        <f t="shared" si="76"/>
        <v>844.8</v>
      </c>
      <c r="P306" s="13">
        <f t="shared" si="77"/>
        <v>0</v>
      </c>
      <c r="Q306" s="85">
        <f t="shared" si="73"/>
        <v>844.8</v>
      </c>
      <c r="R306" s="13">
        <f t="shared" si="77"/>
        <v>0</v>
      </c>
      <c r="S306" s="85">
        <f t="shared" si="72"/>
        <v>844.8</v>
      </c>
      <c r="T306" s="13">
        <f t="shared" si="77"/>
        <v>0</v>
      </c>
      <c r="U306" s="85">
        <f t="shared" si="71"/>
        <v>844.8</v>
      </c>
    </row>
    <row r="307" spans="1:22" s="148" customFormat="1" ht="33">
      <c r="A307" s="61" t="str">
        <f ca="1">IF(ISERROR(MATCH(F307,Код_КВР,0)),"",INDIRECT(ADDRESS(MATCH(F307,Код_КВР,0)+1,2,,,"КВР")))</f>
        <v>Предоставление субсидий бюджетным, автономным учреждениям и иным некоммерческим организациям</v>
      </c>
      <c r="B307" s="145">
        <v>801</v>
      </c>
      <c r="C307" s="8" t="s">
        <v>195</v>
      </c>
      <c r="D307" s="8" t="s">
        <v>195</v>
      </c>
      <c r="E307" s="145" t="s">
        <v>568</v>
      </c>
      <c r="F307" s="145">
        <v>600</v>
      </c>
      <c r="G307" s="69">
        <f t="shared" si="77"/>
        <v>844.8</v>
      </c>
      <c r="H307" s="69">
        <f t="shared" si="77"/>
        <v>0</v>
      </c>
      <c r="I307" s="69">
        <f t="shared" si="65"/>
        <v>844.8</v>
      </c>
      <c r="J307" s="69">
        <f t="shared" si="77"/>
        <v>0</v>
      </c>
      <c r="K307" s="85">
        <f t="shared" si="66"/>
        <v>844.8</v>
      </c>
      <c r="L307" s="13">
        <f t="shared" si="77"/>
        <v>0</v>
      </c>
      <c r="M307" s="85">
        <f t="shared" si="75"/>
        <v>844.8</v>
      </c>
      <c r="N307" s="13">
        <f t="shared" si="77"/>
        <v>0</v>
      </c>
      <c r="O307" s="85">
        <f t="shared" si="76"/>
        <v>844.8</v>
      </c>
      <c r="P307" s="13">
        <f t="shared" si="77"/>
        <v>0</v>
      </c>
      <c r="Q307" s="85">
        <f t="shared" si="73"/>
        <v>844.8</v>
      </c>
      <c r="R307" s="13">
        <f t="shared" si="77"/>
        <v>0</v>
      </c>
      <c r="S307" s="85">
        <f t="shared" si="72"/>
        <v>844.8</v>
      </c>
      <c r="T307" s="13">
        <f t="shared" si="77"/>
        <v>0</v>
      </c>
      <c r="U307" s="85">
        <f t="shared" si="71"/>
        <v>844.8</v>
      </c>
    </row>
    <row r="308" spans="1:22" s="148" customFormat="1">
      <c r="A308" s="61" t="str">
        <f ca="1">IF(ISERROR(MATCH(F308,Код_КВР,0)),"",INDIRECT(ADDRESS(MATCH(F308,Код_КВР,0)+1,2,,,"КВР")))</f>
        <v>Субсидии бюджетным учреждениям</v>
      </c>
      <c r="B308" s="145">
        <v>801</v>
      </c>
      <c r="C308" s="8" t="s">
        <v>195</v>
      </c>
      <c r="D308" s="8" t="s">
        <v>195</v>
      </c>
      <c r="E308" s="145" t="s">
        <v>568</v>
      </c>
      <c r="F308" s="145">
        <v>610</v>
      </c>
      <c r="G308" s="69">
        <f t="shared" si="77"/>
        <v>844.8</v>
      </c>
      <c r="H308" s="69">
        <f t="shared" si="77"/>
        <v>0</v>
      </c>
      <c r="I308" s="69">
        <f t="shared" si="65"/>
        <v>844.8</v>
      </c>
      <c r="J308" s="69">
        <f t="shared" si="77"/>
        <v>0</v>
      </c>
      <c r="K308" s="85">
        <f t="shared" si="66"/>
        <v>844.8</v>
      </c>
      <c r="L308" s="13">
        <f t="shared" si="77"/>
        <v>0</v>
      </c>
      <c r="M308" s="85">
        <f t="shared" si="75"/>
        <v>844.8</v>
      </c>
      <c r="N308" s="13">
        <f t="shared" si="77"/>
        <v>0</v>
      </c>
      <c r="O308" s="85">
        <f t="shared" si="76"/>
        <v>844.8</v>
      </c>
      <c r="P308" s="13">
        <f t="shared" si="77"/>
        <v>0</v>
      </c>
      <c r="Q308" s="85">
        <f t="shared" si="73"/>
        <v>844.8</v>
      </c>
      <c r="R308" s="13">
        <f t="shared" si="77"/>
        <v>0</v>
      </c>
      <c r="S308" s="85">
        <f t="shared" si="72"/>
        <v>844.8</v>
      </c>
      <c r="T308" s="13">
        <f t="shared" si="77"/>
        <v>0</v>
      </c>
      <c r="U308" s="85">
        <f t="shared" si="71"/>
        <v>844.8</v>
      </c>
    </row>
    <row r="309" spans="1:22" s="148" customFormat="1" ht="49.5">
      <c r="A309" s="61" t="str">
        <f ca="1">IF(ISERROR(MATCH(F309,Код_КВР,0)),"",INDIRECT(ADDRESS(MATCH(F309,Код_КВР,0)+1,2,,,"КВР")))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09" s="145">
        <v>801</v>
      </c>
      <c r="C309" s="8" t="s">
        <v>195</v>
      </c>
      <c r="D309" s="8" t="s">
        <v>195</v>
      </c>
      <c r="E309" s="145" t="s">
        <v>568</v>
      </c>
      <c r="F309" s="145">
        <v>611</v>
      </c>
      <c r="G309" s="69">
        <v>844.8</v>
      </c>
      <c r="H309" s="69"/>
      <c r="I309" s="69">
        <f t="shared" si="65"/>
        <v>844.8</v>
      </c>
      <c r="J309" s="69"/>
      <c r="K309" s="85">
        <f t="shared" si="66"/>
        <v>844.8</v>
      </c>
      <c r="L309" s="13"/>
      <c r="M309" s="85">
        <f t="shared" si="75"/>
        <v>844.8</v>
      </c>
      <c r="N309" s="13"/>
      <c r="O309" s="85">
        <f t="shared" si="76"/>
        <v>844.8</v>
      </c>
      <c r="P309" s="13"/>
      <c r="Q309" s="85">
        <f t="shared" si="73"/>
        <v>844.8</v>
      </c>
      <c r="R309" s="13"/>
      <c r="S309" s="85">
        <f t="shared" si="72"/>
        <v>844.8</v>
      </c>
      <c r="T309" s="13"/>
      <c r="U309" s="85">
        <f t="shared" si="71"/>
        <v>844.8</v>
      </c>
    </row>
    <row r="310" spans="1:22" s="148" customFormat="1" ht="66">
      <c r="A310" s="61" t="str">
        <f ca="1">IF(ISERROR(MATCH(E310,Код_КЦСР,0)),"",INDIRECT(ADDRESS(MATCH(E310,Код_КЦСР,0)+1,2,,,"КЦСР")))</f>
        <v>Организация и проведение мероприятий с детьми и молодежью, организация поддержки детских и молодежных общественных объединений в рамках текущей деятельности муниципального бюджетного учреждения «Череповецкий молодежный центр»</v>
      </c>
      <c r="B310" s="145">
        <v>801</v>
      </c>
      <c r="C310" s="8" t="s">
        <v>195</v>
      </c>
      <c r="D310" s="8" t="s">
        <v>195</v>
      </c>
      <c r="E310" s="145" t="s">
        <v>569</v>
      </c>
      <c r="F310" s="145"/>
      <c r="G310" s="69">
        <f t="shared" ref="G310:T312" si="78">G311</f>
        <v>6827.9</v>
      </c>
      <c r="H310" s="69">
        <f t="shared" si="78"/>
        <v>0</v>
      </c>
      <c r="I310" s="69">
        <f t="shared" si="65"/>
        <v>6827.9</v>
      </c>
      <c r="J310" s="69">
        <f t="shared" si="78"/>
        <v>0</v>
      </c>
      <c r="K310" s="85">
        <f t="shared" si="66"/>
        <v>6827.9</v>
      </c>
      <c r="L310" s="13">
        <f t="shared" si="78"/>
        <v>-100.6</v>
      </c>
      <c r="M310" s="85">
        <f t="shared" si="75"/>
        <v>6727.2999999999993</v>
      </c>
      <c r="N310" s="13">
        <f t="shared" si="78"/>
        <v>0</v>
      </c>
      <c r="O310" s="85">
        <f t="shared" si="76"/>
        <v>6727.2999999999993</v>
      </c>
      <c r="P310" s="13">
        <f t="shared" si="78"/>
        <v>0</v>
      </c>
      <c r="Q310" s="85">
        <f t="shared" si="73"/>
        <v>6727.2999999999993</v>
      </c>
      <c r="R310" s="13">
        <f t="shared" si="78"/>
        <v>0</v>
      </c>
      <c r="S310" s="85">
        <f t="shared" si="72"/>
        <v>6727.2999999999993</v>
      </c>
      <c r="T310" s="13">
        <f t="shared" si="78"/>
        <v>0</v>
      </c>
      <c r="U310" s="85">
        <f t="shared" si="71"/>
        <v>6727.2999999999993</v>
      </c>
    </row>
    <row r="311" spans="1:22" s="148" customFormat="1" ht="33">
      <c r="A311" s="61" t="str">
        <f ca="1">IF(ISERROR(MATCH(F311,Код_КВР,0)),"",INDIRECT(ADDRESS(MATCH(F311,Код_КВР,0)+1,2,,,"КВР")))</f>
        <v>Предоставление субсидий бюджетным, автономным учреждениям и иным некоммерческим организациям</v>
      </c>
      <c r="B311" s="145">
        <v>801</v>
      </c>
      <c r="C311" s="8" t="s">
        <v>195</v>
      </c>
      <c r="D311" s="8" t="s">
        <v>195</v>
      </c>
      <c r="E311" s="145" t="s">
        <v>569</v>
      </c>
      <c r="F311" s="145">
        <v>600</v>
      </c>
      <c r="G311" s="69">
        <f t="shared" si="78"/>
        <v>6827.9</v>
      </c>
      <c r="H311" s="69">
        <f t="shared" si="78"/>
        <v>0</v>
      </c>
      <c r="I311" s="69">
        <f t="shared" si="65"/>
        <v>6827.9</v>
      </c>
      <c r="J311" s="69">
        <f t="shared" si="78"/>
        <v>0</v>
      </c>
      <c r="K311" s="85">
        <f t="shared" si="66"/>
        <v>6827.9</v>
      </c>
      <c r="L311" s="13">
        <f t="shared" si="78"/>
        <v>-100.6</v>
      </c>
      <c r="M311" s="85">
        <f t="shared" si="75"/>
        <v>6727.2999999999993</v>
      </c>
      <c r="N311" s="13">
        <f t="shared" si="78"/>
        <v>0</v>
      </c>
      <c r="O311" s="85">
        <f t="shared" si="76"/>
        <v>6727.2999999999993</v>
      </c>
      <c r="P311" s="13">
        <f t="shared" si="78"/>
        <v>0</v>
      </c>
      <c r="Q311" s="85">
        <f t="shared" si="73"/>
        <v>6727.2999999999993</v>
      </c>
      <c r="R311" s="13">
        <f t="shared" si="78"/>
        <v>0</v>
      </c>
      <c r="S311" s="85">
        <f t="shared" si="72"/>
        <v>6727.2999999999993</v>
      </c>
      <c r="T311" s="13">
        <f t="shared" si="78"/>
        <v>0</v>
      </c>
      <c r="U311" s="85">
        <f t="shared" si="71"/>
        <v>6727.2999999999993</v>
      </c>
    </row>
    <row r="312" spans="1:22" s="148" customFormat="1">
      <c r="A312" s="61" t="str">
        <f ca="1">IF(ISERROR(MATCH(F312,Код_КВР,0)),"",INDIRECT(ADDRESS(MATCH(F312,Код_КВР,0)+1,2,,,"КВР")))</f>
        <v>Субсидии бюджетным учреждениям</v>
      </c>
      <c r="B312" s="145">
        <v>801</v>
      </c>
      <c r="C312" s="8" t="s">
        <v>195</v>
      </c>
      <c r="D312" s="8" t="s">
        <v>195</v>
      </c>
      <c r="E312" s="145" t="s">
        <v>569</v>
      </c>
      <c r="F312" s="145">
        <v>610</v>
      </c>
      <c r="G312" s="69">
        <f t="shared" si="78"/>
        <v>6827.9</v>
      </c>
      <c r="H312" s="69">
        <f t="shared" si="78"/>
        <v>0</v>
      </c>
      <c r="I312" s="69">
        <f t="shared" si="65"/>
        <v>6827.9</v>
      </c>
      <c r="J312" s="69">
        <f t="shared" si="78"/>
        <v>0</v>
      </c>
      <c r="K312" s="85">
        <f t="shared" si="66"/>
        <v>6827.9</v>
      </c>
      <c r="L312" s="13">
        <f t="shared" si="78"/>
        <v>-100.6</v>
      </c>
      <c r="M312" s="85">
        <f t="shared" si="75"/>
        <v>6727.2999999999993</v>
      </c>
      <c r="N312" s="13">
        <f t="shared" si="78"/>
        <v>0</v>
      </c>
      <c r="O312" s="85">
        <f t="shared" si="76"/>
        <v>6727.2999999999993</v>
      </c>
      <c r="P312" s="13">
        <f t="shared" si="78"/>
        <v>0</v>
      </c>
      <c r="Q312" s="85">
        <f t="shared" si="73"/>
        <v>6727.2999999999993</v>
      </c>
      <c r="R312" s="13">
        <f t="shared" si="78"/>
        <v>0</v>
      </c>
      <c r="S312" s="85">
        <f t="shared" si="72"/>
        <v>6727.2999999999993</v>
      </c>
      <c r="T312" s="13">
        <f t="shared" si="78"/>
        <v>0</v>
      </c>
      <c r="U312" s="85">
        <f t="shared" si="71"/>
        <v>6727.2999999999993</v>
      </c>
    </row>
    <row r="313" spans="1:22" s="148" customFormat="1" ht="49.5">
      <c r="A313" s="61" t="str">
        <f ca="1">IF(ISERROR(MATCH(F313,Код_КВР,0)),"",INDIRECT(ADDRESS(MATCH(F313,Код_КВР,0)+1,2,,,"КВР")))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313" s="145">
        <v>801</v>
      </c>
      <c r="C313" s="8" t="s">
        <v>195</v>
      </c>
      <c r="D313" s="8" t="s">
        <v>195</v>
      </c>
      <c r="E313" s="145" t="s">
        <v>569</v>
      </c>
      <c r="F313" s="145">
        <v>611</v>
      </c>
      <c r="G313" s="69">
        <f>5894.2+933.7</f>
        <v>6827.9</v>
      </c>
      <c r="H313" s="69"/>
      <c r="I313" s="69">
        <f t="shared" si="65"/>
        <v>6827.9</v>
      </c>
      <c r="J313" s="69"/>
      <c r="K313" s="85">
        <f t="shared" si="66"/>
        <v>6827.9</v>
      </c>
      <c r="L313" s="13">
        <v>-100.6</v>
      </c>
      <c r="M313" s="85">
        <f t="shared" si="75"/>
        <v>6727.2999999999993</v>
      </c>
      <c r="N313" s="13"/>
      <c r="O313" s="85">
        <f t="shared" si="76"/>
        <v>6727.2999999999993</v>
      </c>
      <c r="P313" s="13"/>
      <c r="Q313" s="85">
        <f t="shared" si="73"/>
        <v>6727.2999999999993</v>
      </c>
      <c r="R313" s="13"/>
      <c r="S313" s="85">
        <f t="shared" si="72"/>
        <v>6727.2999999999993</v>
      </c>
      <c r="T313" s="13"/>
      <c r="U313" s="85">
        <f t="shared" si="71"/>
        <v>6727.2999999999993</v>
      </c>
    </row>
    <row r="314" spans="1:22">
      <c r="A314" s="61" t="str">
        <f ca="1">IF(ISERROR(MATCH(E314,Код_КЦСР,0)),"",INDIRECT(ADDRESS(MATCH(E314,Код_КЦСР,0)+1,2,,,"КЦСР")))</f>
        <v>Муниципальная программа «Здоровый город» на 2014-2022 годы</v>
      </c>
      <c r="B314" s="145">
        <v>801</v>
      </c>
      <c r="C314" s="8" t="s">
        <v>195</v>
      </c>
      <c r="D314" s="8" t="s">
        <v>195</v>
      </c>
      <c r="E314" s="145" t="s">
        <v>570</v>
      </c>
      <c r="F314" s="145"/>
      <c r="G314" s="69">
        <f>G315+G319+G323</f>
        <v>330</v>
      </c>
      <c r="H314" s="69">
        <f>H315+H319+H323</f>
        <v>0</v>
      </c>
      <c r="I314" s="69">
        <f t="shared" si="65"/>
        <v>330</v>
      </c>
      <c r="J314" s="69">
        <f>J315+J319+J323</f>
        <v>0</v>
      </c>
      <c r="K314" s="85">
        <f t="shared" si="66"/>
        <v>330</v>
      </c>
      <c r="L314" s="13">
        <f>L315+L319+L323</f>
        <v>0</v>
      </c>
      <c r="M314" s="85">
        <f t="shared" si="75"/>
        <v>330</v>
      </c>
      <c r="N314" s="13">
        <f>N315+N319+N323</f>
        <v>0</v>
      </c>
      <c r="O314" s="85">
        <f t="shared" si="76"/>
        <v>330</v>
      </c>
      <c r="P314" s="13">
        <f>P315+P319+P323</f>
        <v>0</v>
      </c>
      <c r="Q314" s="85">
        <f t="shared" si="73"/>
        <v>330</v>
      </c>
      <c r="R314" s="13">
        <f>R315+R319+R323</f>
        <v>0</v>
      </c>
      <c r="S314" s="85">
        <f t="shared" si="72"/>
        <v>330</v>
      </c>
      <c r="T314" s="13">
        <f>T315+T319+T323</f>
        <v>0</v>
      </c>
      <c r="U314" s="85">
        <f t="shared" si="71"/>
        <v>330</v>
      </c>
    </row>
    <row r="315" spans="1:22" hidden="1">
      <c r="A315" s="61" t="str">
        <f ca="1">IF(ISERROR(MATCH(E315,Код_КЦСР,0)),"",INDIRECT(ADDRESS(MATCH(E315,Код_КЦСР,0)+1,2,,,"КЦСР")))</f>
        <v>Организационно-методическое обеспечение Программы</v>
      </c>
      <c r="B315" s="145">
        <v>801</v>
      </c>
      <c r="C315" s="8" t="s">
        <v>195</v>
      </c>
      <c r="D315" s="8" t="s">
        <v>195</v>
      </c>
      <c r="E315" s="145" t="s">
        <v>572</v>
      </c>
      <c r="F315" s="145"/>
      <c r="G315" s="69">
        <f t="shared" ref="G315:T317" si="79">G316</f>
        <v>0</v>
      </c>
      <c r="H315" s="69">
        <f t="shared" si="79"/>
        <v>0</v>
      </c>
      <c r="I315" s="69">
        <f t="shared" si="65"/>
        <v>0</v>
      </c>
      <c r="J315" s="69">
        <f t="shared" si="79"/>
        <v>0</v>
      </c>
      <c r="K315" s="85">
        <f t="shared" si="66"/>
        <v>0</v>
      </c>
      <c r="L315" s="13">
        <f t="shared" si="79"/>
        <v>0</v>
      </c>
      <c r="M315" s="85">
        <f t="shared" si="75"/>
        <v>0</v>
      </c>
      <c r="N315" s="13">
        <f t="shared" si="79"/>
        <v>0</v>
      </c>
      <c r="O315" s="85">
        <f t="shared" si="76"/>
        <v>0</v>
      </c>
      <c r="P315" s="13">
        <f t="shared" si="79"/>
        <v>0</v>
      </c>
      <c r="Q315" s="85">
        <f t="shared" si="73"/>
        <v>0</v>
      </c>
      <c r="R315" s="13">
        <f t="shared" si="79"/>
        <v>0</v>
      </c>
      <c r="S315" s="85">
        <f t="shared" si="72"/>
        <v>0</v>
      </c>
      <c r="T315" s="13">
        <f t="shared" si="79"/>
        <v>0</v>
      </c>
      <c r="U315" s="85">
        <f t="shared" si="71"/>
        <v>0</v>
      </c>
      <c r="V315" s="155" t="s">
        <v>715</v>
      </c>
    </row>
    <row r="316" spans="1:22" ht="33" hidden="1">
      <c r="A316" s="61" t="str">
        <f ca="1">IF(ISERROR(MATCH(F316,Код_КВР,0)),"",INDIRECT(ADDRESS(MATCH(F316,Код_КВР,0)+1,2,,,"КВР")))</f>
        <v>Предоставление субсидий бюджетным, автономным учреждениям и иным некоммерческим организациям</v>
      </c>
      <c r="B316" s="145">
        <v>801</v>
      </c>
      <c r="C316" s="8" t="s">
        <v>195</v>
      </c>
      <c r="D316" s="8" t="s">
        <v>195</v>
      </c>
      <c r="E316" s="145" t="s">
        <v>572</v>
      </c>
      <c r="F316" s="145">
        <v>600</v>
      </c>
      <c r="G316" s="69">
        <f t="shared" si="79"/>
        <v>0</v>
      </c>
      <c r="H316" s="69">
        <f t="shared" si="79"/>
        <v>0</v>
      </c>
      <c r="I316" s="69">
        <f t="shared" si="65"/>
        <v>0</v>
      </c>
      <c r="J316" s="69">
        <f t="shared" si="79"/>
        <v>0</v>
      </c>
      <c r="K316" s="85">
        <f t="shared" si="66"/>
        <v>0</v>
      </c>
      <c r="L316" s="13">
        <f t="shared" si="79"/>
        <v>0</v>
      </c>
      <c r="M316" s="85">
        <f t="shared" si="75"/>
        <v>0</v>
      </c>
      <c r="N316" s="13">
        <f t="shared" si="79"/>
        <v>0</v>
      </c>
      <c r="O316" s="85">
        <f t="shared" si="76"/>
        <v>0</v>
      </c>
      <c r="P316" s="13">
        <f t="shared" si="79"/>
        <v>0</v>
      </c>
      <c r="Q316" s="85">
        <f t="shared" si="73"/>
        <v>0</v>
      </c>
      <c r="R316" s="13">
        <f t="shared" si="79"/>
        <v>0</v>
      </c>
      <c r="S316" s="85">
        <f t="shared" si="72"/>
        <v>0</v>
      </c>
      <c r="T316" s="13">
        <f t="shared" si="79"/>
        <v>0</v>
      </c>
      <c r="U316" s="85">
        <f t="shared" si="71"/>
        <v>0</v>
      </c>
      <c r="V316" s="155" t="s">
        <v>715</v>
      </c>
    </row>
    <row r="317" spans="1:22" hidden="1">
      <c r="A317" s="61" t="str">
        <f ca="1">IF(ISERROR(MATCH(F317,Код_КВР,0)),"",INDIRECT(ADDRESS(MATCH(F317,Код_КВР,0)+1,2,,,"КВР")))</f>
        <v>Субсидии бюджетным учреждениям</v>
      </c>
      <c r="B317" s="145">
        <v>801</v>
      </c>
      <c r="C317" s="8" t="s">
        <v>195</v>
      </c>
      <c r="D317" s="8" t="s">
        <v>195</v>
      </c>
      <c r="E317" s="145" t="s">
        <v>572</v>
      </c>
      <c r="F317" s="145">
        <v>610</v>
      </c>
      <c r="G317" s="69">
        <f t="shared" si="79"/>
        <v>0</v>
      </c>
      <c r="H317" s="69">
        <f t="shared" si="79"/>
        <v>0</v>
      </c>
      <c r="I317" s="69">
        <f t="shared" ref="I317:I396" si="80">G317+H317</f>
        <v>0</v>
      </c>
      <c r="J317" s="69">
        <f t="shared" si="79"/>
        <v>0</v>
      </c>
      <c r="K317" s="85">
        <f t="shared" ref="K317:K396" si="81">I317+J317</f>
        <v>0</v>
      </c>
      <c r="L317" s="13">
        <f t="shared" si="79"/>
        <v>0</v>
      </c>
      <c r="M317" s="85">
        <f t="shared" si="75"/>
        <v>0</v>
      </c>
      <c r="N317" s="13">
        <f t="shared" si="79"/>
        <v>0</v>
      </c>
      <c r="O317" s="85">
        <f t="shared" si="76"/>
        <v>0</v>
      </c>
      <c r="P317" s="13">
        <f t="shared" si="79"/>
        <v>0</v>
      </c>
      <c r="Q317" s="85">
        <f t="shared" si="73"/>
        <v>0</v>
      </c>
      <c r="R317" s="13">
        <f t="shared" si="79"/>
        <v>0</v>
      </c>
      <c r="S317" s="85">
        <f t="shared" si="72"/>
        <v>0</v>
      </c>
      <c r="T317" s="13">
        <f t="shared" si="79"/>
        <v>0</v>
      </c>
      <c r="U317" s="85">
        <f t="shared" si="71"/>
        <v>0</v>
      </c>
      <c r="V317" s="155" t="s">
        <v>715</v>
      </c>
    </row>
    <row r="318" spans="1:22" hidden="1">
      <c r="A318" s="61" t="str">
        <f ca="1">IF(ISERROR(MATCH(F318,Код_КВР,0)),"",INDIRECT(ADDRESS(MATCH(F318,Код_КВР,0)+1,2,,,"КВР")))</f>
        <v>Субсидии бюджетным учреждениям на иные цели</v>
      </c>
      <c r="B318" s="145">
        <v>801</v>
      </c>
      <c r="C318" s="8" t="s">
        <v>195</v>
      </c>
      <c r="D318" s="8" t="s">
        <v>195</v>
      </c>
      <c r="E318" s="145" t="s">
        <v>572</v>
      </c>
      <c r="F318" s="145">
        <v>612</v>
      </c>
      <c r="G318" s="69"/>
      <c r="H318" s="69"/>
      <c r="I318" s="69">
        <f t="shared" si="80"/>
        <v>0</v>
      </c>
      <c r="J318" s="69"/>
      <c r="K318" s="85">
        <f t="shared" si="81"/>
        <v>0</v>
      </c>
      <c r="L318" s="13"/>
      <c r="M318" s="85">
        <f t="shared" si="75"/>
        <v>0</v>
      </c>
      <c r="N318" s="13"/>
      <c r="O318" s="85">
        <f t="shared" si="76"/>
        <v>0</v>
      </c>
      <c r="P318" s="13"/>
      <c r="Q318" s="85">
        <f t="shared" si="73"/>
        <v>0</v>
      </c>
      <c r="R318" s="13"/>
      <c r="S318" s="85">
        <f t="shared" si="72"/>
        <v>0</v>
      </c>
      <c r="T318" s="13"/>
      <c r="U318" s="85">
        <f t="shared" si="71"/>
        <v>0</v>
      </c>
      <c r="V318" s="155" t="s">
        <v>715</v>
      </c>
    </row>
    <row r="319" spans="1:22">
      <c r="A319" s="61" t="str">
        <f ca="1">IF(ISERROR(MATCH(E319,Код_КЦСР,0)),"",INDIRECT(ADDRESS(MATCH(E319,Код_КЦСР,0)+1,2,,,"КЦСР")))</f>
        <v>Пропаганда здорового образа жизни</v>
      </c>
      <c r="B319" s="145">
        <v>801</v>
      </c>
      <c r="C319" s="8" t="s">
        <v>195</v>
      </c>
      <c r="D319" s="8" t="s">
        <v>195</v>
      </c>
      <c r="E319" s="145" t="s">
        <v>575</v>
      </c>
      <c r="F319" s="145"/>
      <c r="G319" s="69">
        <f t="shared" ref="G319:T321" si="82">G320</f>
        <v>330</v>
      </c>
      <c r="H319" s="69">
        <f t="shared" si="82"/>
        <v>0</v>
      </c>
      <c r="I319" s="69">
        <f t="shared" si="80"/>
        <v>330</v>
      </c>
      <c r="J319" s="69">
        <f t="shared" si="82"/>
        <v>0</v>
      </c>
      <c r="K319" s="85">
        <f t="shared" si="81"/>
        <v>330</v>
      </c>
      <c r="L319" s="13">
        <f t="shared" si="82"/>
        <v>0</v>
      </c>
      <c r="M319" s="85">
        <f t="shared" si="75"/>
        <v>330</v>
      </c>
      <c r="N319" s="13">
        <f t="shared" si="82"/>
        <v>0</v>
      </c>
      <c r="O319" s="85">
        <f t="shared" si="76"/>
        <v>330</v>
      </c>
      <c r="P319" s="13">
        <f t="shared" si="82"/>
        <v>0</v>
      </c>
      <c r="Q319" s="85">
        <f t="shared" si="73"/>
        <v>330</v>
      </c>
      <c r="R319" s="13">
        <f t="shared" si="82"/>
        <v>0</v>
      </c>
      <c r="S319" s="85">
        <f t="shared" si="72"/>
        <v>330</v>
      </c>
      <c r="T319" s="13">
        <f t="shared" si="82"/>
        <v>0</v>
      </c>
      <c r="U319" s="85">
        <f t="shared" si="71"/>
        <v>330</v>
      </c>
    </row>
    <row r="320" spans="1:22" ht="33">
      <c r="A320" s="61" t="str">
        <f ca="1">IF(ISERROR(MATCH(F320,Код_КВР,0)),"",INDIRECT(ADDRESS(MATCH(F320,Код_КВР,0)+1,2,,,"КВР")))</f>
        <v>Предоставление субсидий бюджетным, автономным учреждениям и иным некоммерческим организациям</v>
      </c>
      <c r="B320" s="145">
        <v>801</v>
      </c>
      <c r="C320" s="8" t="s">
        <v>195</v>
      </c>
      <c r="D320" s="8" t="s">
        <v>195</v>
      </c>
      <c r="E320" s="145" t="s">
        <v>575</v>
      </c>
      <c r="F320" s="145">
        <v>600</v>
      </c>
      <c r="G320" s="69">
        <f t="shared" si="82"/>
        <v>330</v>
      </c>
      <c r="H320" s="69">
        <f t="shared" si="82"/>
        <v>0</v>
      </c>
      <c r="I320" s="69">
        <f t="shared" si="80"/>
        <v>330</v>
      </c>
      <c r="J320" s="69">
        <f t="shared" si="82"/>
        <v>0</v>
      </c>
      <c r="K320" s="85">
        <f t="shared" si="81"/>
        <v>330</v>
      </c>
      <c r="L320" s="13">
        <f t="shared" si="82"/>
        <v>0</v>
      </c>
      <c r="M320" s="85">
        <f t="shared" si="75"/>
        <v>330</v>
      </c>
      <c r="N320" s="13">
        <f t="shared" si="82"/>
        <v>0</v>
      </c>
      <c r="O320" s="85">
        <f t="shared" si="76"/>
        <v>330</v>
      </c>
      <c r="P320" s="13">
        <f t="shared" si="82"/>
        <v>0</v>
      </c>
      <c r="Q320" s="85">
        <f t="shared" si="73"/>
        <v>330</v>
      </c>
      <c r="R320" s="13">
        <f t="shared" si="82"/>
        <v>0</v>
      </c>
      <c r="S320" s="85">
        <f t="shared" si="72"/>
        <v>330</v>
      </c>
      <c r="T320" s="13">
        <f t="shared" si="82"/>
        <v>0</v>
      </c>
      <c r="U320" s="85">
        <f t="shared" si="71"/>
        <v>330</v>
      </c>
    </row>
    <row r="321" spans="1:22">
      <c r="A321" s="61" t="str">
        <f ca="1">IF(ISERROR(MATCH(F321,Код_КВР,0)),"",INDIRECT(ADDRESS(MATCH(F321,Код_КВР,0)+1,2,,,"КВР")))</f>
        <v>Субсидии бюджетным учреждениям</v>
      </c>
      <c r="B321" s="145">
        <v>801</v>
      </c>
      <c r="C321" s="8" t="s">
        <v>195</v>
      </c>
      <c r="D321" s="8" t="s">
        <v>195</v>
      </c>
      <c r="E321" s="145" t="s">
        <v>575</v>
      </c>
      <c r="F321" s="145">
        <v>610</v>
      </c>
      <c r="G321" s="69">
        <f t="shared" si="82"/>
        <v>330</v>
      </c>
      <c r="H321" s="69">
        <f t="shared" si="82"/>
        <v>0</v>
      </c>
      <c r="I321" s="69">
        <f t="shared" si="80"/>
        <v>330</v>
      </c>
      <c r="J321" s="69">
        <f t="shared" si="82"/>
        <v>0</v>
      </c>
      <c r="K321" s="85">
        <f t="shared" si="81"/>
        <v>330</v>
      </c>
      <c r="L321" s="13">
        <f t="shared" si="82"/>
        <v>0</v>
      </c>
      <c r="M321" s="85">
        <f t="shared" si="75"/>
        <v>330</v>
      </c>
      <c r="N321" s="13">
        <f t="shared" si="82"/>
        <v>0</v>
      </c>
      <c r="O321" s="85">
        <f t="shared" si="76"/>
        <v>330</v>
      </c>
      <c r="P321" s="13">
        <f t="shared" si="82"/>
        <v>0</v>
      </c>
      <c r="Q321" s="85">
        <f t="shared" si="73"/>
        <v>330</v>
      </c>
      <c r="R321" s="13">
        <f t="shared" si="82"/>
        <v>0</v>
      </c>
      <c r="S321" s="85">
        <f t="shared" si="72"/>
        <v>330</v>
      </c>
      <c r="T321" s="13">
        <f t="shared" si="82"/>
        <v>0</v>
      </c>
      <c r="U321" s="85">
        <f t="shared" si="71"/>
        <v>330</v>
      </c>
    </row>
    <row r="322" spans="1:22">
      <c r="A322" s="61" t="str">
        <f ca="1">IF(ISERROR(MATCH(F322,Код_КВР,0)),"",INDIRECT(ADDRESS(MATCH(F322,Код_КВР,0)+1,2,,,"КВР")))</f>
        <v>Субсидии бюджетным учреждениям на иные цели</v>
      </c>
      <c r="B322" s="145">
        <v>801</v>
      </c>
      <c r="C322" s="8" t="s">
        <v>195</v>
      </c>
      <c r="D322" s="8" t="s">
        <v>195</v>
      </c>
      <c r="E322" s="145" t="s">
        <v>575</v>
      </c>
      <c r="F322" s="145">
        <v>612</v>
      </c>
      <c r="G322" s="69">
        <v>330</v>
      </c>
      <c r="H322" s="64"/>
      <c r="I322" s="69">
        <f t="shared" si="80"/>
        <v>330</v>
      </c>
      <c r="J322" s="64"/>
      <c r="K322" s="85">
        <f t="shared" si="81"/>
        <v>330</v>
      </c>
      <c r="L322" s="85"/>
      <c r="M322" s="85">
        <f t="shared" si="75"/>
        <v>330</v>
      </c>
      <c r="N322" s="85"/>
      <c r="O322" s="85">
        <f t="shared" si="76"/>
        <v>330</v>
      </c>
      <c r="P322" s="85"/>
      <c r="Q322" s="85">
        <f t="shared" si="73"/>
        <v>330</v>
      </c>
      <c r="R322" s="85"/>
      <c r="S322" s="85">
        <f t="shared" si="72"/>
        <v>330</v>
      </c>
      <c r="T322" s="85"/>
      <c r="U322" s="85">
        <f t="shared" si="71"/>
        <v>330</v>
      </c>
    </row>
    <row r="323" spans="1:22" hidden="1">
      <c r="A323" s="61" t="str">
        <f ca="1">IF(ISERROR(MATCH(E323,Код_КЦСР,0)),"",INDIRECT(ADDRESS(MATCH(E323,Код_КЦСР,0)+1,2,,,"КЦСР")))</f>
        <v>Здоровье на рабочем месте</v>
      </c>
      <c r="B323" s="145">
        <v>801</v>
      </c>
      <c r="C323" s="8" t="s">
        <v>195</v>
      </c>
      <c r="D323" s="8" t="s">
        <v>195</v>
      </c>
      <c r="E323" s="145" t="s">
        <v>577</v>
      </c>
      <c r="F323" s="145"/>
      <c r="G323" s="69">
        <f>G324</f>
        <v>0</v>
      </c>
      <c r="H323" s="64"/>
      <c r="I323" s="69">
        <f t="shared" si="80"/>
        <v>0</v>
      </c>
      <c r="J323" s="64"/>
      <c r="K323" s="85">
        <f t="shared" si="81"/>
        <v>0</v>
      </c>
      <c r="L323" s="85"/>
      <c r="M323" s="85">
        <f t="shared" si="75"/>
        <v>0</v>
      </c>
      <c r="N323" s="85"/>
      <c r="O323" s="85">
        <f t="shared" si="76"/>
        <v>0</v>
      </c>
      <c r="P323" s="85"/>
      <c r="Q323" s="85">
        <f t="shared" si="73"/>
        <v>0</v>
      </c>
      <c r="R323" s="85"/>
      <c r="S323" s="85">
        <f t="shared" si="72"/>
        <v>0</v>
      </c>
      <c r="T323" s="85"/>
      <c r="U323" s="85">
        <f t="shared" si="71"/>
        <v>0</v>
      </c>
      <c r="V323" s="155" t="s">
        <v>715</v>
      </c>
    </row>
    <row r="324" spans="1:22" ht="33" hidden="1">
      <c r="A324" s="61" t="str">
        <f ca="1">IF(ISERROR(MATCH(F324,Код_КВР,0)),"",INDIRECT(ADDRESS(MATCH(F324,Код_КВР,0)+1,2,,,"КВР")))</f>
        <v>Предоставление субсидий бюджетным, автономным учреждениям и иным некоммерческим организациям</v>
      </c>
      <c r="B324" s="145">
        <v>801</v>
      </c>
      <c r="C324" s="8" t="s">
        <v>195</v>
      </c>
      <c r="D324" s="8" t="s">
        <v>195</v>
      </c>
      <c r="E324" s="145" t="s">
        <v>577</v>
      </c>
      <c r="F324" s="145">
        <v>600</v>
      </c>
      <c r="G324" s="69">
        <f>G325</f>
        <v>0</v>
      </c>
      <c r="H324" s="64"/>
      <c r="I324" s="69">
        <f t="shared" si="80"/>
        <v>0</v>
      </c>
      <c r="J324" s="64"/>
      <c r="K324" s="85">
        <f t="shared" si="81"/>
        <v>0</v>
      </c>
      <c r="L324" s="85"/>
      <c r="M324" s="85">
        <f t="shared" si="75"/>
        <v>0</v>
      </c>
      <c r="N324" s="85"/>
      <c r="O324" s="85">
        <f t="shared" si="76"/>
        <v>0</v>
      </c>
      <c r="P324" s="85"/>
      <c r="Q324" s="85">
        <f t="shared" si="73"/>
        <v>0</v>
      </c>
      <c r="R324" s="85"/>
      <c r="S324" s="85">
        <f t="shared" si="72"/>
        <v>0</v>
      </c>
      <c r="T324" s="85"/>
      <c r="U324" s="85">
        <f t="shared" si="71"/>
        <v>0</v>
      </c>
      <c r="V324" s="155" t="s">
        <v>715</v>
      </c>
    </row>
    <row r="325" spans="1:22" hidden="1">
      <c r="A325" s="61" t="str">
        <f ca="1">IF(ISERROR(MATCH(F325,Код_КВР,0)),"",INDIRECT(ADDRESS(MATCH(F325,Код_КВР,0)+1,2,,,"КВР")))</f>
        <v>Субсидии бюджетным учреждениям</v>
      </c>
      <c r="B325" s="145">
        <v>801</v>
      </c>
      <c r="C325" s="8" t="s">
        <v>195</v>
      </c>
      <c r="D325" s="8" t="s">
        <v>195</v>
      </c>
      <c r="E325" s="145" t="s">
        <v>577</v>
      </c>
      <c r="F325" s="145">
        <v>610</v>
      </c>
      <c r="G325" s="69">
        <f>G326</f>
        <v>0</v>
      </c>
      <c r="H325" s="64"/>
      <c r="I325" s="69">
        <f t="shared" si="80"/>
        <v>0</v>
      </c>
      <c r="J325" s="64"/>
      <c r="K325" s="85">
        <f t="shared" si="81"/>
        <v>0</v>
      </c>
      <c r="L325" s="85"/>
      <c r="M325" s="85">
        <f t="shared" si="75"/>
        <v>0</v>
      </c>
      <c r="N325" s="85"/>
      <c r="O325" s="85">
        <f t="shared" si="76"/>
        <v>0</v>
      </c>
      <c r="P325" s="85"/>
      <c r="Q325" s="85">
        <f t="shared" si="73"/>
        <v>0</v>
      </c>
      <c r="R325" s="85"/>
      <c r="S325" s="85">
        <f t="shared" si="72"/>
        <v>0</v>
      </c>
      <c r="T325" s="85"/>
      <c r="U325" s="85">
        <f t="shared" si="71"/>
        <v>0</v>
      </c>
      <c r="V325" s="155" t="s">
        <v>715</v>
      </c>
    </row>
    <row r="326" spans="1:22" hidden="1">
      <c r="A326" s="61" t="str">
        <f ca="1">IF(ISERROR(MATCH(F326,Код_КВР,0)),"",INDIRECT(ADDRESS(MATCH(F326,Код_КВР,0)+1,2,,,"КВР")))</f>
        <v>Субсидии бюджетным учреждениям на иные цели</v>
      </c>
      <c r="B326" s="145">
        <v>801</v>
      </c>
      <c r="C326" s="8" t="s">
        <v>195</v>
      </c>
      <c r="D326" s="8" t="s">
        <v>195</v>
      </c>
      <c r="E326" s="145" t="s">
        <v>577</v>
      </c>
      <c r="F326" s="145">
        <v>612</v>
      </c>
      <c r="G326" s="69"/>
      <c r="H326" s="64"/>
      <c r="I326" s="69">
        <f t="shared" si="80"/>
        <v>0</v>
      </c>
      <c r="J326" s="64"/>
      <c r="K326" s="85">
        <f t="shared" si="81"/>
        <v>0</v>
      </c>
      <c r="L326" s="85"/>
      <c r="M326" s="85">
        <f t="shared" si="75"/>
        <v>0</v>
      </c>
      <c r="N326" s="85"/>
      <c r="O326" s="85">
        <f t="shared" si="76"/>
        <v>0</v>
      </c>
      <c r="P326" s="85"/>
      <c r="Q326" s="85">
        <f t="shared" si="73"/>
        <v>0</v>
      </c>
      <c r="R326" s="85"/>
      <c r="S326" s="85">
        <f t="shared" si="72"/>
        <v>0</v>
      </c>
      <c r="T326" s="85"/>
      <c r="U326" s="85">
        <f t="shared" si="71"/>
        <v>0</v>
      </c>
      <c r="V326" s="155" t="s">
        <v>715</v>
      </c>
    </row>
    <row r="327" spans="1:22" ht="33">
      <c r="A327" s="61" t="str">
        <f ca="1">IF(ISERROR(MATCH(E327,Код_КЦСР,0)),"",INDIRECT(ADDRESS(MATCH(E327,Код_КЦСР,0)+1,2,,,"КЦСР")))</f>
        <v>Непрограммные направления деятельности органов местного самоуправления</v>
      </c>
      <c r="B327" s="145">
        <v>801</v>
      </c>
      <c r="C327" s="8" t="s">
        <v>195</v>
      </c>
      <c r="D327" s="8" t="s">
        <v>195</v>
      </c>
      <c r="E327" s="145" t="s">
        <v>299</v>
      </c>
      <c r="F327" s="145"/>
      <c r="G327" s="69"/>
      <c r="H327" s="64"/>
      <c r="I327" s="69"/>
      <c r="J327" s="64">
        <f>J328</f>
        <v>0.7</v>
      </c>
      <c r="K327" s="85">
        <f t="shared" si="81"/>
        <v>0.7</v>
      </c>
      <c r="L327" s="85">
        <f>L328</f>
        <v>0</v>
      </c>
      <c r="M327" s="85">
        <f t="shared" si="75"/>
        <v>0.7</v>
      </c>
      <c r="N327" s="85">
        <f>N328</f>
        <v>0</v>
      </c>
      <c r="O327" s="85">
        <f t="shared" si="76"/>
        <v>0.7</v>
      </c>
      <c r="P327" s="85">
        <f>P328</f>
        <v>0</v>
      </c>
      <c r="Q327" s="85">
        <f t="shared" si="73"/>
        <v>0.7</v>
      </c>
      <c r="R327" s="85">
        <f>R328</f>
        <v>0</v>
      </c>
      <c r="S327" s="85">
        <f t="shared" si="72"/>
        <v>0.7</v>
      </c>
      <c r="T327" s="85">
        <f>T328</f>
        <v>0</v>
      </c>
      <c r="U327" s="85">
        <f t="shared" si="71"/>
        <v>0.7</v>
      </c>
    </row>
    <row r="328" spans="1:22">
      <c r="A328" s="61" t="str">
        <f ca="1">IF(ISERROR(MATCH(E328,Код_КЦСР,0)),"",INDIRECT(ADDRESS(MATCH(E328,Код_КЦСР,0)+1,2,,,"КЦСР")))</f>
        <v>Расходы, не включенные в муниципальные программы города Череповца</v>
      </c>
      <c r="B328" s="145">
        <v>801</v>
      </c>
      <c r="C328" s="8" t="s">
        <v>195</v>
      </c>
      <c r="D328" s="8" t="s">
        <v>195</v>
      </c>
      <c r="E328" s="145" t="s">
        <v>301</v>
      </c>
      <c r="F328" s="145"/>
      <c r="G328" s="69"/>
      <c r="H328" s="64"/>
      <c r="I328" s="69"/>
      <c r="J328" s="64">
        <f>J329</f>
        <v>0.7</v>
      </c>
      <c r="K328" s="85">
        <f t="shared" si="81"/>
        <v>0.7</v>
      </c>
      <c r="L328" s="85">
        <f>L329</f>
        <v>0</v>
      </c>
      <c r="M328" s="85">
        <f t="shared" si="75"/>
        <v>0.7</v>
      </c>
      <c r="N328" s="85">
        <f>N329</f>
        <v>0</v>
      </c>
      <c r="O328" s="85">
        <f t="shared" si="76"/>
        <v>0.7</v>
      </c>
      <c r="P328" s="85">
        <f>P329</f>
        <v>0</v>
      </c>
      <c r="Q328" s="85">
        <f t="shared" si="73"/>
        <v>0.7</v>
      </c>
      <c r="R328" s="85">
        <f>R329</f>
        <v>0</v>
      </c>
      <c r="S328" s="85">
        <f t="shared" si="72"/>
        <v>0.7</v>
      </c>
      <c r="T328" s="85">
        <f>T329</f>
        <v>0</v>
      </c>
      <c r="U328" s="85">
        <f t="shared" si="71"/>
        <v>0.7</v>
      </c>
    </row>
    <row r="329" spans="1:22">
      <c r="A329" s="61" t="str">
        <f ca="1">IF(ISERROR(MATCH(E329,Код_КЦСР,0)),"",INDIRECT(ADDRESS(MATCH(E329,Код_КЦСР,0)+1,2,,,"КЦСР")))</f>
        <v>Кредиторская задолженность, сложившаяся по итогам 2013 года</v>
      </c>
      <c r="B329" s="145">
        <v>801</v>
      </c>
      <c r="C329" s="8" t="s">
        <v>195</v>
      </c>
      <c r="D329" s="8" t="s">
        <v>195</v>
      </c>
      <c r="E329" s="145" t="s">
        <v>371</v>
      </c>
      <c r="F329" s="145"/>
      <c r="G329" s="69"/>
      <c r="H329" s="64"/>
      <c r="I329" s="69"/>
      <c r="J329" s="64">
        <f>J330</f>
        <v>0.7</v>
      </c>
      <c r="K329" s="85">
        <f t="shared" si="81"/>
        <v>0.7</v>
      </c>
      <c r="L329" s="85">
        <f>L330</f>
        <v>0</v>
      </c>
      <c r="M329" s="85">
        <f t="shared" si="75"/>
        <v>0.7</v>
      </c>
      <c r="N329" s="85">
        <f>N330</f>
        <v>0</v>
      </c>
      <c r="O329" s="85">
        <f t="shared" si="76"/>
        <v>0.7</v>
      </c>
      <c r="P329" s="85">
        <f>P330</f>
        <v>0</v>
      </c>
      <c r="Q329" s="85">
        <f t="shared" si="73"/>
        <v>0.7</v>
      </c>
      <c r="R329" s="85">
        <f>R330</f>
        <v>0</v>
      </c>
      <c r="S329" s="85">
        <f t="shared" si="72"/>
        <v>0.7</v>
      </c>
      <c r="T329" s="85">
        <f>T330</f>
        <v>0</v>
      </c>
      <c r="U329" s="85">
        <f t="shared" si="71"/>
        <v>0.7</v>
      </c>
    </row>
    <row r="330" spans="1:22" ht="33">
      <c r="A330" s="61" t="str">
        <f ca="1">IF(ISERROR(MATCH(F330,Код_КВР,0)),"",INDIRECT(ADDRESS(MATCH(F330,Код_КВР,0)+1,2,,,"КВР")))</f>
        <v>Предоставление субсидий бюджетным, автономным учреждениям и иным некоммерческим организациям</v>
      </c>
      <c r="B330" s="145">
        <v>801</v>
      </c>
      <c r="C330" s="8" t="s">
        <v>195</v>
      </c>
      <c r="D330" s="8" t="s">
        <v>195</v>
      </c>
      <c r="E330" s="145" t="s">
        <v>371</v>
      </c>
      <c r="F330" s="145">
        <v>600</v>
      </c>
      <c r="G330" s="69"/>
      <c r="H330" s="64"/>
      <c r="I330" s="69"/>
      <c r="J330" s="64">
        <f>J331</f>
        <v>0.7</v>
      </c>
      <c r="K330" s="85">
        <f t="shared" si="81"/>
        <v>0.7</v>
      </c>
      <c r="L330" s="85">
        <f>L331</f>
        <v>0</v>
      </c>
      <c r="M330" s="85">
        <f t="shared" si="75"/>
        <v>0.7</v>
      </c>
      <c r="N330" s="85">
        <f>N331</f>
        <v>0</v>
      </c>
      <c r="O330" s="85">
        <f t="shared" si="76"/>
        <v>0.7</v>
      </c>
      <c r="P330" s="85">
        <f>P331</f>
        <v>0</v>
      </c>
      <c r="Q330" s="85">
        <f t="shared" si="73"/>
        <v>0.7</v>
      </c>
      <c r="R330" s="85">
        <f>R331</f>
        <v>0</v>
      </c>
      <c r="S330" s="85">
        <f t="shared" si="72"/>
        <v>0.7</v>
      </c>
      <c r="T330" s="85">
        <f>T331</f>
        <v>0</v>
      </c>
      <c r="U330" s="85">
        <f t="shared" si="71"/>
        <v>0.7</v>
      </c>
    </row>
    <row r="331" spans="1:22">
      <c r="A331" s="61" t="str">
        <f ca="1">IF(ISERROR(MATCH(F331,Код_КВР,0)),"",INDIRECT(ADDRESS(MATCH(F331,Код_КВР,0)+1,2,,,"КВР")))</f>
        <v>Субсидии бюджетным учреждениям</v>
      </c>
      <c r="B331" s="145">
        <v>801</v>
      </c>
      <c r="C331" s="8" t="s">
        <v>195</v>
      </c>
      <c r="D331" s="8" t="s">
        <v>195</v>
      </c>
      <c r="E331" s="145" t="s">
        <v>371</v>
      </c>
      <c r="F331" s="145">
        <v>610</v>
      </c>
      <c r="G331" s="69"/>
      <c r="H331" s="64"/>
      <c r="I331" s="69"/>
      <c r="J331" s="64">
        <f>J332</f>
        <v>0.7</v>
      </c>
      <c r="K331" s="85">
        <f t="shared" si="81"/>
        <v>0.7</v>
      </c>
      <c r="L331" s="85">
        <f>L332</f>
        <v>0</v>
      </c>
      <c r="M331" s="85">
        <f t="shared" si="75"/>
        <v>0.7</v>
      </c>
      <c r="N331" s="85">
        <f>N332</f>
        <v>0</v>
      </c>
      <c r="O331" s="85">
        <f t="shared" si="76"/>
        <v>0.7</v>
      </c>
      <c r="P331" s="85">
        <f>P332</f>
        <v>0</v>
      </c>
      <c r="Q331" s="85">
        <f t="shared" si="73"/>
        <v>0.7</v>
      </c>
      <c r="R331" s="85">
        <f>R332</f>
        <v>0</v>
      </c>
      <c r="S331" s="85">
        <f t="shared" si="72"/>
        <v>0.7</v>
      </c>
      <c r="T331" s="85">
        <f>T332</f>
        <v>0</v>
      </c>
      <c r="U331" s="85">
        <f t="shared" si="71"/>
        <v>0.7</v>
      </c>
    </row>
    <row r="332" spans="1:22">
      <c r="A332" s="61" t="str">
        <f ca="1">IF(ISERROR(MATCH(F332,Код_КВР,0)),"",INDIRECT(ADDRESS(MATCH(F332,Код_КВР,0)+1,2,,,"КВР")))</f>
        <v>Субсидии бюджетным учреждениям на иные цели</v>
      </c>
      <c r="B332" s="145">
        <v>801</v>
      </c>
      <c r="C332" s="8" t="s">
        <v>195</v>
      </c>
      <c r="D332" s="8" t="s">
        <v>195</v>
      </c>
      <c r="E332" s="145" t="s">
        <v>371</v>
      </c>
      <c r="F332" s="145">
        <v>612</v>
      </c>
      <c r="G332" s="69"/>
      <c r="H332" s="64"/>
      <c r="I332" s="69"/>
      <c r="J332" s="64">
        <v>0.7</v>
      </c>
      <c r="K332" s="85">
        <f t="shared" si="81"/>
        <v>0.7</v>
      </c>
      <c r="L332" s="85"/>
      <c r="M332" s="85">
        <f t="shared" si="75"/>
        <v>0.7</v>
      </c>
      <c r="N332" s="85"/>
      <c r="O332" s="85">
        <f t="shared" si="76"/>
        <v>0.7</v>
      </c>
      <c r="P332" s="85"/>
      <c r="Q332" s="85">
        <f t="shared" si="73"/>
        <v>0.7</v>
      </c>
      <c r="R332" s="85"/>
      <c r="S332" s="85">
        <f t="shared" si="72"/>
        <v>0.7</v>
      </c>
      <c r="T332" s="85"/>
      <c r="U332" s="85">
        <f t="shared" si="71"/>
        <v>0.7</v>
      </c>
    </row>
    <row r="333" spans="1:22">
      <c r="A333" s="61" t="str">
        <f ca="1">IF(ISERROR(MATCH(C333,Код_Раздел,0)),"",INDIRECT(ADDRESS(MATCH(C333,Код_Раздел,0)+1,2,,,"Раздел")))</f>
        <v>Социальная политика</v>
      </c>
      <c r="B333" s="145">
        <v>801</v>
      </c>
      <c r="C333" s="8" t="s">
        <v>188</v>
      </c>
      <c r="D333" s="8"/>
      <c r="E333" s="145"/>
      <c r="F333" s="145"/>
      <c r="G333" s="69">
        <f>G334+G340</f>
        <v>34846.800000000003</v>
      </c>
      <c r="H333" s="69">
        <f>H334+H340</f>
        <v>0</v>
      </c>
      <c r="I333" s="69">
        <f t="shared" si="80"/>
        <v>34846.800000000003</v>
      </c>
      <c r="J333" s="69">
        <f>J334+J340</f>
        <v>0</v>
      </c>
      <c r="K333" s="85">
        <f t="shared" si="81"/>
        <v>34846.800000000003</v>
      </c>
      <c r="L333" s="13">
        <f>L334+L340</f>
        <v>0</v>
      </c>
      <c r="M333" s="85">
        <f t="shared" si="75"/>
        <v>34846.800000000003</v>
      </c>
      <c r="N333" s="13">
        <f>N334+N340</f>
        <v>0</v>
      </c>
      <c r="O333" s="85">
        <f t="shared" si="76"/>
        <v>34846.800000000003</v>
      </c>
      <c r="P333" s="13">
        <f>P334+P340</f>
        <v>0</v>
      </c>
      <c r="Q333" s="85">
        <f t="shared" si="73"/>
        <v>34846.800000000003</v>
      </c>
      <c r="R333" s="13">
        <f>R334+R340</f>
        <v>-3318.1000000000004</v>
      </c>
      <c r="S333" s="85">
        <f t="shared" si="72"/>
        <v>31528.700000000004</v>
      </c>
      <c r="T333" s="13">
        <f>T334+T340</f>
        <v>1</v>
      </c>
      <c r="U333" s="85">
        <f t="shared" si="71"/>
        <v>31529.700000000004</v>
      </c>
    </row>
    <row r="334" spans="1:22">
      <c r="A334" s="12" t="s">
        <v>185</v>
      </c>
      <c r="B334" s="145">
        <v>801</v>
      </c>
      <c r="C334" s="8" t="s">
        <v>188</v>
      </c>
      <c r="D334" s="8" t="s">
        <v>213</v>
      </c>
      <c r="E334" s="145"/>
      <c r="F334" s="145"/>
      <c r="G334" s="69">
        <f t="shared" ref="G334:T338" si="83">G335</f>
        <v>13440</v>
      </c>
      <c r="H334" s="69">
        <f t="shared" si="83"/>
        <v>0</v>
      </c>
      <c r="I334" s="69">
        <f t="shared" si="80"/>
        <v>13440</v>
      </c>
      <c r="J334" s="69">
        <f t="shared" si="83"/>
        <v>0</v>
      </c>
      <c r="K334" s="85">
        <f t="shared" si="81"/>
        <v>13440</v>
      </c>
      <c r="L334" s="13">
        <f t="shared" si="83"/>
        <v>0</v>
      </c>
      <c r="M334" s="85">
        <f t="shared" si="75"/>
        <v>13440</v>
      </c>
      <c r="N334" s="13">
        <f t="shared" si="83"/>
        <v>0</v>
      </c>
      <c r="O334" s="85">
        <f t="shared" si="76"/>
        <v>13440</v>
      </c>
      <c r="P334" s="13">
        <f t="shared" si="83"/>
        <v>0</v>
      </c>
      <c r="Q334" s="85">
        <f t="shared" si="73"/>
        <v>13440</v>
      </c>
      <c r="R334" s="13">
        <f t="shared" si="83"/>
        <v>0</v>
      </c>
      <c r="S334" s="85">
        <f t="shared" si="72"/>
        <v>13440</v>
      </c>
      <c r="T334" s="13">
        <f t="shared" si="83"/>
        <v>0</v>
      </c>
      <c r="U334" s="85">
        <f t="shared" si="71"/>
        <v>13440</v>
      </c>
    </row>
    <row r="335" spans="1:22" ht="33">
      <c r="A335" s="61" t="str">
        <f ca="1">IF(ISERROR(MATCH(E335,Код_КЦСР,0)),"",INDIRECT(ADDRESS(MATCH(E335,Код_КЦСР,0)+1,2,,,"КЦСР")))</f>
        <v>Муниципальная программа «Совершенствование муниципального управления в городе Череповце» на 2014-2018 годы</v>
      </c>
      <c r="B335" s="145">
        <v>801</v>
      </c>
      <c r="C335" s="8" t="s">
        <v>188</v>
      </c>
      <c r="D335" s="8" t="s">
        <v>213</v>
      </c>
      <c r="E335" s="145" t="s">
        <v>123</v>
      </c>
      <c r="F335" s="145"/>
      <c r="G335" s="69">
        <f t="shared" si="83"/>
        <v>13440</v>
      </c>
      <c r="H335" s="69">
        <f t="shared" si="83"/>
        <v>0</v>
      </c>
      <c r="I335" s="69">
        <f t="shared" si="80"/>
        <v>13440</v>
      </c>
      <c r="J335" s="69">
        <f t="shared" si="83"/>
        <v>0</v>
      </c>
      <c r="K335" s="85">
        <f t="shared" si="81"/>
        <v>13440</v>
      </c>
      <c r="L335" s="13">
        <f t="shared" si="83"/>
        <v>0</v>
      </c>
      <c r="M335" s="85">
        <f t="shared" si="75"/>
        <v>13440</v>
      </c>
      <c r="N335" s="13">
        <f t="shared" si="83"/>
        <v>0</v>
      </c>
      <c r="O335" s="85">
        <f t="shared" si="76"/>
        <v>13440</v>
      </c>
      <c r="P335" s="13">
        <f t="shared" si="83"/>
        <v>0</v>
      </c>
      <c r="Q335" s="85">
        <f t="shared" si="73"/>
        <v>13440</v>
      </c>
      <c r="R335" s="13">
        <f t="shared" si="83"/>
        <v>0</v>
      </c>
      <c r="S335" s="85">
        <f t="shared" si="72"/>
        <v>13440</v>
      </c>
      <c r="T335" s="13">
        <f t="shared" si="83"/>
        <v>0</v>
      </c>
      <c r="U335" s="85">
        <f t="shared" si="71"/>
        <v>13440</v>
      </c>
    </row>
    <row r="336" spans="1:22">
      <c r="A336" s="61" t="str">
        <f ca="1">IF(ISERROR(MATCH(E336,Код_КЦСР,0)),"",INDIRECT(ADDRESS(MATCH(E336,Код_КЦСР,0)+1,2,,,"КЦСР")))</f>
        <v>Развитие муниципальной службы в мэрии города Череповца</v>
      </c>
      <c r="B336" s="145">
        <v>801</v>
      </c>
      <c r="C336" s="8" t="s">
        <v>188</v>
      </c>
      <c r="D336" s="8" t="s">
        <v>213</v>
      </c>
      <c r="E336" s="145" t="s">
        <v>130</v>
      </c>
      <c r="F336" s="145"/>
      <c r="G336" s="69">
        <f t="shared" si="83"/>
        <v>13440</v>
      </c>
      <c r="H336" s="69">
        <f t="shared" si="83"/>
        <v>0</v>
      </c>
      <c r="I336" s="69">
        <f t="shared" si="80"/>
        <v>13440</v>
      </c>
      <c r="J336" s="69">
        <f t="shared" si="83"/>
        <v>0</v>
      </c>
      <c r="K336" s="85">
        <f t="shared" si="81"/>
        <v>13440</v>
      </c>
      <c r="L336" s="13">
        <f t="shared" si="83"/>
        <v>0</v>
      </c>
      <c r="M336" s="85">
        <f t="shared" si="75"/>
        <v>13440</v>
      </c>
      <c r="N336" s="13">
        <f t="shared" si="83"/>
        <v>0</v>
      </c>
      <c r="O336" s="85">
        <f t="shared" si="76"/>
        <v>13440</v>
      </c>
      <c r="P336" s="13">
        <f t="shared" si="83"/>
        <v>0</v>
      </c>
      <c r="Q336" s="85">
        <f t="shared" si="73"/>
        <v>13440</v>
      </c>
      <c r="R336" s="13">
        <f t="shared" si="83"/>
        <v>0</v>
      </c>
      <c r="S336" s="85">
        <f t="shared" si="72"/>
        <v>13440</v>
      </c>
      <c r="T336" s="13">
        <f t="shared" si="83"/>
        <v>0</v>
      </c>
      <c r="U336" s="85">
        <f t="shared" si="71"/>
        <v>13440</v>
      </c>
    </row>
    <row r="337" spans="1:21">
      <c r="A337" s="61" t="str">
        <f ca="1">IF(ISERROR(MATCH(E337,Код_КЦСР,0)),"",INDIRECT(ADDRESS(MATCH(E337,Код_КЦСР,0)+1,2,,,"КЦСР")))</f>
        <v>Повышение престижа муниципальной службы в городе</v>
      </c>
      <c r="B337" s="145">
        <v>801</v>
      </c>
      <c r="C337" s="8" t="s">
        <v>188</v>
      </c>
      <c r="D337" s="8" t="s">
        <v>213</v>
      </c>
      <c r="E337" s="145" t="s">
        <v>133</v>
      </c>
      <c r="F337" s="145"/>
      <c r="G337" s="69">
        <f t="shared" si="83"/>
        <v>13440</v>
      </c>
      <c r="H337" s="69">
        <f t="shared" si="83"/>
        <v>0</v>
      </c>
      <c r="I337" s="69">
        <f t="shared" si="80"/>
        <v>13440</v>
      </c>
      <c r="J337" s="69">
        <f t="shared" si="83"/>
        <v>0</v>
      </c>
      <c r="K337" s="85">
        <f t="shared" si="81"/>
        <v>13440</v>
      </c>
      <c r="L337" s="13">
        <f t="shared" si="83"/>
        <v>0</v>
      </c>
      <c r="M337" s="85">
        <f t="shared" si="75"/>
        <v>13440</v>
      </c>
      <c r="N337" s="13">
        <f t="shared" si="83"/>
        <v>0</v>
      </c>
      <c r="O337" s="85">
        <f t="shared" si="76"/>
        <v>13440</v>
      </c>
      <c r="P337" s="13">
        <f t="shared" si="83"/>
        <v>0</v>
      </c>
      <c r="Q337" s="85">
        <f t="shared" si="73"/>
        <v>13440</v>
      </c>
      <c r="R337" s="13">
        <f t="shared" si="83"/>
        <v>0</v>
      </c>
      <c r="S337" s="85">
        <f t="shared" si="72"/>
        <v>13440</v>
      </c>
      <c r="T337" s="13">
        <f t="shared" si="83"/>
        <v>0</v>
      </c>
      <c r="U337" s="85">
        <f t="shared" si="71"/>
        <v>13440</v>
      </c>
    </row>
    <row r="338" spans="1:21">
      <c r="A338" s="61" t="str">
        <f ca="1">IF(ISERROR(MATCH(F338,Код_КВР,0)),"",INDIRECT(ADDRESS(MATCH(F338,Код_КВР,0)+1,2,,,"КВР")))</f>
        <v>Социальное обеспечение и иные выплаты населению</v>
      </c>
      <c r="B338" s="145">
        <v>801</v>
      </c>
      <c r="C338" s="8" t="s">
        <v>188</v>
      </c>
      <c r="D338" s="8" t="s">
        <v>213</v>
      </c>
      <c r="E338" s="145" t="s">
        <v>133</v>
      </c>
      <c r="F338" s="145">
        <v>300</v>
      </c>
      <c r="G338" s="69">
        <f t="shared" si="83"/>
        <v>13440</v>
      </c>
      <c r="H338" s="69">
        <f t="shared" si="83"/>
        <v>0</v>
      </c>
      <c r="I338" s="69">
        <f t="shared" si="80"/>
        <v>13440</v>
      </c>
      <c r="J338" s="69">
        <f t="shared" si="83"/>
        <v>0</v>
      </c>
      <c r="K338" s="85">
        <f t="shared" si="81"/>
        <v>13440</v>
      </c>
      <c r="L338" s="13">
        <f t="shared" si="83"/>
        <v>0</v>
      </c>
      <c r="M338" s="85">
        <f t="shared" si="75"/>
        <v>13440</v>
      </c>
      <c r="N338" s="13">
        <f t="shared" si="83"/>
        <v>0</v>
      </c>
      <c r="O338" s="85">
        <f t="shared" si="76"/>
        <v>13440</v>
      </c>
      <c r="P338" s="13">
        <f t="shared" si="83"/>
        <v>0</v>
      </c>
      <c r="Q338" s="85">
        <f t="shared" si="73"/>
        <v>13440</v>
      </c>
      <c r="R338" s="13">
        <f t="shared" si="83"/>
        <v>0</v>
      </c>
      <c r="S338" s="85">
        <f t="shared" si="72"/>
        <v>13440</v>
      </c>
      <c r="T338" s="13">
        <f t="shared" si="83"/>
        <v>0</v>
      </c>
      <c r="U338" s="85">
        <f t="shared" si="71"/>
        <v>13440</v>
      </c>
    </row>
    <row r="339" spans="1:21">
      <c r="A339" s="61" t="str">
        <f ca="1">IF(ISERROR(MATCH(F339,Код_КВР,0)),"",INDIRECT(ADDRESS(MATCH(F339,Код_КВР,0)+1,2,,,"КВР")))</f>
        <v>Иные выплаты населению</v>
      </c>
      <c r="B339" s="145">
        <v>801</v>
      </c>
      <c r="C339" s="8" t="s">
        <v>188</v>
      </c>
      <c r="D339" s="8" t="s">
        <v>213</v>
      </c>
      <c r="E339" s="145" t="s">
        <v>133</v>
      </c>
      <c r="F339" s="145">
        <v>360</v>
      </c>
      <c r="G339" s="69">
        <v>13440</v>
      </c>
      <c r="H339" s="64"/>
      <c r="I339" s="69">
        <f t="shared" si="80"/>
        <v>13440</v>
      </c>
      <c r="J339" s="64"/>
      <c r="K339" s="85">
        <f t="shared" si="81"/>
        <v>13440</v>
      </c>
      <c r="L339" s="85"/>
      <c r="M339" s="85">
        <f t="shared" si="75"/>
        <v>13440</v>
      </c>
      <c r="N339" s="85"/>
      <c r="O339" s="85">
        <f t="shared" si="76"/>
        <v>13440</v>
      </c>
      <c r="P339" s="85"/>
      <c r="Q339" s="85">
        <f t="shared" si="73"/>
        <v>13440</v>
      </c>
      <c r="R339" s="85"/>
      <c r="S339" s="85">
        <f t="shared" si="72"/>
        <v>13440</v>
      </c>
      <c r="T339" s="85"/>
      <c r="U339" s="85">
        <f t="shared" si="71"/>
        <v>13440</v>
      </c>
    </row>
    <row r="340" spans="1:21">
      <c r="A340" s="12" t="s">
        <v>179</v>
      </c>
      <c r="B340" s="145">
        <v>801</v>
      </c>
      <c r="C340" s="8" t="s">
        <v>188</v>
      </c>
      <c r="D340" s="8" t="s">
        <v>215</v>
      </c>
      <c r="E340" s="145"/>
      <c r="F340" s="145"/>
      <c r="G340" s="69">
        <f>G341+G364</f>
        <v>21406.799999999999</v>
      </c>
      <c r="H340" s="69">
        <f>H341+H364</f>
        <v>0</v>
      </c>
      <c r="I340" s="69">
        <f t="shared" si="80"/>
        <v>21406.799999999999</v>
      </c>
      <c r="J340" s="69">
        <f>J341+J364</f>
        <v>0</v>
      </c>
      <c r="K340" s="85">
        <f t="shared" si="81"/>
        <v>21406.799999999999</v>
      </c>
      <c r="L340" s="13">
        <f>L341+L364</f>
        <v>0</v>
      </c>
      <c r="M340" s="85">
        <f t="shared" si="75"/>
        <v>21406.799999999999</v>
      </c>
      <c r="N340" s="13">
        <f>N341+N364</f>
        <v>0</v>
      </c>
      <c r="O340" s="85">
        <f t="shared" si="76"/>
        <v>21406.799999999999</v>
      </c>
      <c r="P340" s="13">
        <f>P341+P364</f>
        <v>0</v>
      </c>
      <c r="Q340" s="85">
        <f t="shared" si="73"/>
        <v>21406.799999999999</v>
      </c>
      <c r="R340" s="13">
        <f>R341+R364</f>
        <v>-3318.1000000000004</v>
      </c>
      <c r="S340" s="85">
        <f t="shared" si="72"/>
        <v>18088.699999999997</v>
      </c>
      <c r="T340" s="13">
        <f>T341+T364</f>
        <v>1</v>
      </c>
      <c r="U340" s="85">
        <f t="shared" si="71"/>
        <v>18089.699999999997</v>
      </c>
    </row>
    <row r="341" spans="1:21" ht="33">
      <c r="A341" s="61" t="str">
        <f ca="1">IF(ISERROR(MATCH(E341,Код_КЦСР,0)),"",INDIRECT(ADDRESS(MATCH(E341,Код_КЦСР,0)+1,2,,,"КЦСР")))</f>
        <v>Муниципальная программа «Обеспечение жильем отдельных категорий граждан» на 2014-2020 годы</v>
      </c>
      <c r="B341" s="145">
        <v>801</v>
      </c>
      <c r="C341" s="8" t="s">
        <v>188</v>
      </c>
      <c r="D341" s="8" t="s">
        <v>215</v>
      </c>
      <c r="E341" s="145" t="s">
        <v>23</v>
      </c>
      <c r="F341" s="145"/>
      <c r="G341" s="69">
        <f>G342+G346+G359</f>
        <v>21306.799999999999</v>
      </c>
      <c r="H341" s="69">
        <f>H342+H346+H359</f>
        <v>0</v>
      </c>
      <c r="I341" s="69">
        <f t="shared" si="80"/>
        <v>21306.799999999999</v>
      </c>
      <c r="J341" s="69">
        <f>J342+J346+J359</f>
        <v>0</v>
      </c>
      <c r="K341" s="85">
        <f t="shared" si="81"/>
        <v>21306.799999999999</v>
      </c>
      <c r="L341" s="13">
        <f>L342+L346+L359</f>
        <v>0</v>
      </c>
      <c r="M341" s="85">
        <f t="shared" si="75"/>
        <v>21306.799999999999</v>
      </c>
      <c r="N341" s="13">
        <f>N342+N346+N359</f>
        <v>0</v>
      </c>
      <c r="O341" s="85">
        <f t="shared" si="76"/>
        <v>21306.799999999999</v>
      </c>
      <c r="P341" s="13">
        <f>P342+P346+P359</f>
        <v>0</v>
      </c>
      <c r="Q341" s="85">
        <f t="shared" si="73"/>
        <v>21306.799999999999</v>
      </c>
      <c r="R341" s="13">
        <f>R342+R346+R359</f>
        <v>-3318.1000000000004</v>
      </c>
      <c r="S341" s="85">
        <f t="shared" si="72"/>
        <v>17988.699999999997</v>
      </c>
      <c r="T341" s="13">
        <f>T342+T346+T359</f>
        <v>1</v>
      </c>
      <c r="U341" s="85">
        <f t="shared" si="71"/>
        <v>17989.699999999997</v>
      </c>
    </row>
    <row r="342" spans="1:21" ht="66">
      <c r="A342" s="61" t="str">
        <f ca="1">IF(ISERROR(MATCH(E342,Код_КЦСР,0)),"",INDIRECT(ADDRESS(MATCH(E342,Код_КЦСР,0)+1,2,,,"КЦСР")))</f>
        <v>Обеспечение жильем отдельных категорий граждан, установленных федеральными законами от 12 января 1995 года № 5-ФЗ «О ветеранах» и от 24 ноября 1995 года № 181-ФЗ «О социальной защите инвалидов в Российской Федерации» за счет субвенций из федерального бюджета</v>
      </c>
      <c r="B342" s="145">
        <v>801</v>
      </c>
      <c r="C342" s="8" t="s">
        <v>188</v>
      </c>
      <c r="D342" s="8" t="s">
        <v>215</v>
      </c>
      <c r="E342" s="145" t="s">
        <v>441</v>
      </c>
      <c r="F342" s="145"/>
      <c r="G342" s="69">
        <f t="shared" ref="G342:T344" si="84">G343</f>
        <v>9250.7000000000007</v>
      </c>
      <c r="H342" s="69">
        <f t="shared" si="84"/>
        <v>0</v>
      </c>
      <c r="I342" s="69">
        <f t="shared" si="80"/>
        <v>9250.7000000000007</v>
      </c>
      <c r="J342" s="69">
        <f t="shared" si="84"/>
        <v>0</v>
      </c>
      <c r="K342" s="85">
        <f t="shared" si="81"/>
        <v>9250.7000000000007</v>
      </c>
      <c r="L342" s="13">
        <f t="shared" si="84"/>
        <v>0</v>
      </c>
      <c r="M342" s="85">
        <f t="shared" si="75"/>
        <v>9250.7000000000007</v>
      </c>
      <c r="N342" s="13">
        <f t="shared" si="84"/>
        <v>0</v>
      </c>
      <c r="O342" s="85">
        <f t="shared" si="76"/>
        <v>9250.7000000000007</v>
      </c>
      <c r="P342" s="13">
        <f t="shared" si="84"/>
        <v>0</v>
      </c>
      <c r="Q342" s="85">
        <f t="shared" si="73"/>
        <v>9250.7000000000007</v>
      </c>
      <c r="R342" s="13">
        <f t="shared" si="84"/>
        <v>2812.5</v>
      </c>
      <c r="S342" s="85">
        <f t="shared" si="72"/>
        <v>12063.2</v>
      </c>
      <c r="T342" s="13">
        <f t="shared" si="84"/>
        <v>1</v>
      </c>
      <c r="U342" s="85">
        <f t="shared" si="71"/>
        <v>12064.2</v>
      </c>
    </row>
    <row r="343" spans="1:21">
      <c r="A343" s="61" t="str">
        <f ca="1">IF(ISERROR(MATCH(F343,Код_КВР,0)),"",INDIRECT(ADDRESS(MATCH(F343,Код_КВР,0)+1,2,,,"КВР")))</f>
        <v>Социальное обеспечение и иные выплаты населению</v>
      </c>
      <c r="B343" s="145">
        <v>801</v>
      </c>
      <c r="C343" s="8" t="s">
        <v>188</v>
      </c>
      <c r="D343" s="8" t="s">
        <v>215</v>
      </c>
      <c r="E343" s="145" t="s">
        <v>441</v>
      </c>
      <c r="F343" s="145">
        <v>300</v>
      </c>
      <c r="G343" s="69">
        <f t="shared" si="84"/>
        <v>9250.7000000000007</v>
      </c>
      <c r="H343" s="69">
        <f t="shared" si="84"/>
        <v>0</v>
      </c>
      <c r="I343" s="69">
        <f t="shared" si="80"/>
        <v>9250.7000000000007</v>
      </c>
      <c r="J343" s="69">
        <f t="shared" si="84"/>
        <v>0</v>
      </c>
      <c r="K343" s="85">
        <f t="shared" si="81"/>
        <v>9250.7000000000007</v>
      </c>
      <c r="L343" s="13">
        <f t="shared" si="84"/>
        <v>0</v>
      </c>
      <c r="M343" s="85">
        <f t="shared" si="75"/>
        <v>9250.7000000000007</v>
      </c>
      <c r="N343" s="13">
        <f t="shared" si="84"/>
        <v>0</v>
      </c>
      <c r="O343" s="85">
        <f t="shared" si="76"/>
        <v>9250.7000000000007</v>
      </c>
      <c r="P343" s="13">
        <f t="shared" si="84"/>
        <v>0</v>
      </c>
      <c r="Q343" s="85">
        <f t="shared" si="73"/>
        <v>9250.7000000000007</v>
      </c>
      <c r="R343" s="13">
        <f t="shared" si="84"/>
        <v>2812.5</v>
      </c>
      <c r="S343" s="85">
        <f t="shared" si="72"/>
        <v>12063.2</v>
      </c>
      <c r="T343" s="13">
        <f t="shared" si="84"/>
        <v>1</v>
      </c>
      <c r="U343" s="85">
        <f t="shared" si="71"/>
        <v>12064.2</v>
      </c>
    </row>
    <row r="344" spans="1:21" ht="33">
      <c r="A344" s="61" t="str">
        <f ca="1">IF(ISERROR(MATCH(F344,Код_КВР,0)),"",INDIRECT(ADDRESS(MATCH(F344,Код_КВР,0)+1,2,,,"КВР")))</f>
        <v>Социальные выплаты гражданам, кроме публичных нормативных социальных выплат</v>
      </c>
      <c r="B344" s="145">
        <v>801</v>
      </c>
      <c r="C344" s="8" t="s">
        <v>188</v>
      </c>
      <c r="D344" s="8" t="s">
        <v>215</v>
      </c>
      <c r="E344" s="145" t="s">
        <v>441</v>
      </c>
      <c r="F344" s="145">
        <v>320</v>
      </c>
      <c r="G344" s="69">
        <f t="shared" si="84"/>
        <v>9250.7000000000007</v>
      </c>
      <c r="H344" s="69">
        <f t="shared" si="84"/>
        <v>0</v>
      </c>
      <c r="I344" s="69">
        <f t="shared" si="80"/>
        <v>9250.7000000000007</v>
      </c>
      <c r="J344" s="69">
        <f t="shared" si="84"/>
        <v>0</v>
      </c>
      <c r="K344" s="85">
        <f t="shared" si="81"/>
        <v>9250.7000000000007</v>
      </c>
      <c r="L344" s="13">
        <f t="shared" si="84"/>
        <v>0</v>
      </c>
      <c r="M344" s="85">
        <f t="shared" si="75"/>
        <v>9250.7000000000007</v>
      </c>
      <c r="N344" s="13">
        <f t="shared" si="84"/>
        <v>0</v>
      </c>
      <c r="O344" s="85">
        <f t="shared" si="76"/>
        <v>9250.7000000000007</v>
      </c>
      <c r="P344" s="13">
        <f t="shared" si="84"/>
        <v>0</v>
      </c>
      <c r="Q344" s="85">
        <f t="shared" si="73"/>
        <v>9250.7000000000007</v>
      </c>
      <c r="R344" s="13">
        <f t="shared" si="84"/>
        <v>2812.5</v>
      </c>
      <c r="S344" s="85">
        <f t="shared" si="72"/>
        <v>12063.2</v>
      </c>
      <c r="T344" s="13">
        <f t="shared" si="84"/>
        <v>1</v>
      </c>
      <c r="U344" s="85">
        <f t="shared" si="71"/>
        <v>12064.2</v>
      </c>
    </row>
    <row r="345" spans="1:21">
      <c r="A345" s="61" t="str">
        <f ca="1">IF(ISERROR(MATCH(F345,Код_КВР,0)),"",INDIRECT(ADDRESS(MATCH(F345,Код_КВР,0)+1,2,,,"КВР")))</f>
        <v>Субсидии гражданам на приобретение жилья</v>
      </c>
      <c r="B345" s="145">
        <v>801</v>
      </c>
      <c r="C345" s="8" t="s">
        <v>188</v>
      </c>
      <c r="D345" s="8" t="s">
        <v>215</v>
      </c>
      <c r="E345" s="145" t="s">
        <v>441</v>
      </c>
      <c r="F345" s="145">
        <v>322</v>
      </c>
      <c r="G345" s="69">
        <v>9250.7000000000007</v>
      </c>
      <c r="H345" s="64"/>
      <c r="I345" s="69">
        <f t="shared" si="80"/>
        <v>9250.7000000000007</v>
      </c>
      <c r="J345" s="64"/>
      <c r="K345" s="85">
        <f t="shared" si="81"/>
        <v>9250.7000000000007</v>
      </c>
      <c r="L345" s="85"/>
      <c r="M345" s="85">
        <f t="shared" si="75"/>
        <v>9250.7000000000007</v>
      </c>
      <c r="N345" s="85"/>
      <c r="O345" s="85">
        <f t="shared" si="76"/>
        <v>9250.7000000000007</v>
      </c>
      <c r="P345" s="85"/>
      <c r="Q345" s="85">
        <f t="shared" si="73"/>
        <v>9250.7000000000007</v>
      </c>
      <c r="R345" s="85">
        <f>3136.9-324.4</f>
        <v>2812.5</v>
      </c>
      <c r="S345" s="85">
        <f t="shared" si="72"/>
        <v>12063.2</v>
      </c>
      <c r="T345" s="85">
        <v>1</v>
      </c>
      <c r="U345" s="85">
        <f t="shared" si="71"/>
        <v>12064.2</v>
      </c>
    </row>
    <row r="346" spans="1:21">
      <c r="A346" s="61" t="str">
        <f ca="1">IF(ISERROR(MATCH(E346,Код_КЦСР,0)),"",INDIRECT(ADDRESS(MATCH(E346,Код_КЦСР,0)+1,2,,,"КЦСР")))</f>
        <v>Обеспечение жильем молодых семей</v>
      </c>
      <c r="B346" s="145">
        <v>801</v>
      </c>
      <c r="C346" s="8" t="s">
        <v>188</v>
      </c>
      <c r="D346" s="8" t="s">
        <v>215</v>
      </c>
      <c r="E346" s="145" t="s">
        <v>25</v>
      </c>
      <c r="F346" s="145"/>
      <c r="G346" s="69">
        <f>G347+G355</f>
        <v>2886.3</v>
      </c>
      <c r="H346" s="69">
        <f>H347+H355</f>
        <v>0</v>
      </c>
      <c r="I346" s="69">
        <f t="shared" si="80"/>
        <v>2886.3</v>
      </c>
      <c r="J346" s="69">
        <f>J347+J355</f>
        <v>0</v>
      </c>
      <c r="K346" s="85">
        <f t="shared" si="81"/>
        <v>2886.3</v>
      </c>
      <c r="L346" s="13">
        <f>L347+L355</f>
        <v>0</v>
      </c>
      <c r="M346" s="85">
        <f t="shared" si="75"/>
        <v>2886.3</v>
      </c>
      <c r="N346" s="13">
        <f>N347+N355</f>
        <v>0</v>
      </c>
      <c r="O346" s="85">
        <f t="shared" si="76"/>
        <v>2886.3</v>
      </c>
      <c r="P346" s="13">
        <f>P347+P355</f>
        <v>0</v>
      </c>
      <c r="Q346" s="85">
        <f t="shared" si="73"/>
        <v>2886.3</v>
      </c>
      <c r="R346" s="13">
        <f>R347+R355+R351</f>
        <v>504</v>
      </c>
      <c r="S346" s="85">
        <f t="shared" si="72"/>
        <v>3390.3</v>
      </c>
      <c r="T346" s="13">
        <f>T347+T355+T351</f>
        <v>0</v>
      </c>
      <c r="U346" s="85">
        <f t="shared" ref="U346:U409" si="85">S346+T346</f>
        <v>3390.3</v>
      </c>
    </row>
    <row r="347" spans="1:21" ht="33">
      <c r="A347" s="61" t="str">
        <f ca="1">IF(ISERROR(MATCH(E347,Код_КЦСР,0)),"",INDIRECT(ADDRESS(MATCH(E347,Код_КЦСР,0)+1,2,,,"КЦСР")))</f>
        <v>Предоставление социальных выплат на приобретение (строительство) жилья молодыми семьями</v>
      </c>
      <c r="B347" s="145">
        <v>801</v>
      </c>
      <c r="C347" s="8" t="s">
        <v>188</v>
      </c>
      <c r="D347" s="8" t="s">
        <v>215</v>
      </c>
      <c r="E347" s="145" t="s">
        <v>27</v>
      </c>
      <c r="F347" s="145"/>
      <c r="G347" s="69">
        <f t="shared" ref="G347:T349" si="86">G348</f>
        <v>2886.3</v>
      </c>
      <c r="H347" s="69">
        <f t="shared" si="86"/>
        <v>0</v>
      </c>
      <c r="I347" s="69">
        <f t="shared" si="80"/>
        <v>2886.3</v>
      </c>
      <c r="J347" s="69">
        <f t="shared" si="86"/>
        <v>0</v>
      </c>
      <c r="K347" s="85">
        <f t="shared" si="81"/>
        <v>2886.3</v>
      </c>
      <c r="L347" s="13">
        <f t="shared" si="86"/>
        <v>0</v>
      </c>
      <c r="M347" s="85">
        <f t="shared" si="75"/>
        <v>2886.3</v>
      </c>
      <c r="N347" s="13">
        <f t="shared" si="86"/>
        <v>0</v>
      </c>
      <c r="O347" s="85">
        <f t="shared" si="76"/>
        <v>2886.3</v>
      </c>
      <c r="P347" s="13">
        <f t="shared" si="86"/>
        <v>0</v>
      </c>
      <c r="Q347" s="85">
        <f t="shared" si="73"/>
        <v>2886.3</v>
      </c>
      <c r="R347" s="13">
        <f t="shared" si="86"/>
        <v>-1220.2</v>
      </c>
      <c r="S347" s="85">
        <f t="shared" si="72"/>
        <v>1666.1000000000001</v>
      </c>
      <c r="T347" s="13">
        <f t="shared" si="86"/>
        <v>0</v>
      </c>
      <c r="U347" s="85">
        <f t="shared" si="85"/>
        <v>1666.1000000000001</v>
      </c>
    </row>
    <row r="348" spans="1:21">
      <c r="A348" s="61" t="str">
        <f ca="1">IF(ISERROR(MATCH(F348,Код_КВР,0)),"",INDIRECT(ADDRESS(MATCH(F348,Код_КВР,0)+1,2,,,"КВР")))</f>
        <v>Социальное обеспечение и иные выплаты населению</v>
      </c>
      <c r="B348" s="145">
        <v>801</v>
      </c>
      <c r="C348" s="8" t="s">
        <v>188</v>
      </c>
      <c r="D348" s="8" t="s">
        <v>215</v>
      </c>
      <c r="E348" s="145" t="s">
        <v>27</v>
      </c>
      <c r="F348" s="145">
        <v>300</v>
      </c>
      <c r="G348" s="69">
        <f t="shared" si="86"/>
        <v>2886.3</v>
      </c>
      <c r="H348" s="69">
        <f t="shared" si="86"/>
        <v>0</v>
      </c>
      <c r="I348" s="69">
        <f t="shared" si="80"/>
        <v>2886.3</v>
      </c>
      <c r="J348" s="69">
        <f t="shared" si="86"/>
        <v>0</v>
      </c>
      <c r="K348" s="85">
        <f t="shared" si="81"/>
        <v>2886.3</v>
      </c>
      <c r="L348" s="13">
        <f t="shared" si="86"/>
        <v>0</v>
      </c>
      <c r="M348" s="85">
        <f t="shared" si="75"/>
        <v>2886.3</v>
      </c>
      <c r="N348" s="13">
        <f t="shared" si="86"/>
        <v>0</v>
      </c>
      <c r="O348" s="85">
        <f t="shared" si="76"/>
        <v>2886.3</v>
      </c>
      <c r="P348" s="13">
        <f t="shared" si="86"/>
        <v>0</v>
      </c>
      <c r="Q348" s="85">
        <f t="shared" si="73"/>
        <v>2886.3</v>
      </c>
      <c r="R348" s="13">
        <f t="shared" si="86"/>
        <v>-1220.2</v>
      </c>
      <c r="S348" s="85">
        <f t="shared" si="72"/>
        <v>1666.1000000000001</v>
      </c>
      <c r="T348" s="13">
        <f t="shared" si="86"/>
        <v>0</v>
      </c>
      <c r="U348" s="85">
        <f t="shared" si="85"/>
        <v>1666.1000000000001</v>
      </c>
    </row>
    <row r="349" spans="1:21" ht="33">
      <c r="A349" s="61" t="str">
        <f ca="1">IF(ISERROR(MATCH(F349,Код_КВР,0)),"",INDIRECT(ADDRESS(MATCH(F349,Код_КВР,0)+1,2,,,"КВР")))</f>
        <v>Социальные выплаты гражданам, кроме публичных нормативных социальных выплат</v>
      </c>
      <c r="B349" s="145">
        <v>801</v>
      </c>
      <c r="C349" s="8" t="s">
        <v>188</v>
      </c>
      <c r="D349" s="8" t="s">
        <v>215</v>
      </c>
      <c r="E349" s="145" t="s">
        <v>27</v>
      </c>
      <c r="F349" s="145">
        <v>320</v>
      </c>
      <c r="G349" s="69">
        <f t="shared" si="86"/>
        <v>2886.3</v>
      </c>
      <c r="H349" s="69">
        <f t="shared" si="86"/>
        <v>0</v>
      </c>
      <c r="I349" s="69">
        <f t="shared" si="80"/>
        <v>2886.3</v>
      </c>
      <c r="J349" s="69">
        <f t="shared" si="86"/>
        <v>0</v>
      </c>
      <c r="K349" s="85">
        <f t="shared" si="81"/>
        <v>2886.3</v>
      </c>
      <c r="L349" s="13">
        <f t="shared" si="86"/>
        <v>0</v>
      </c>
      <c r="M349" s="85">
        <f t="shared" si="75"/>
        <v>2886.3</v>
      </c>
      <c r="N349" s="13">
        <f t="shared" si="86"/>
        <v>0</v>
      </c>
      <c r="O349" s="85">
        <f t="shared" si="76"/>
        <v>2886.3</v>
      </c>
      <c r="P349" s="13">
        <f t="shared" si="86"/>
        <v>0</v>
      </c>
      <c r="Q349" s="85">
        <f t="shared" si="73"/>
        <v>2886.3</v>
      </c>
      <c r="R349" s="13">
        <f t="shared" si="86"/>
        <v>-1220.2</v>
      </c>
      <c r="S349" s="85">
        <f t="shared" si="72"/>
        <v>1666.1000000000001</v>
      </c>
      <c r="T349" s="13">
        <f t="shared" si="86"/>
        <v>0</v>
      </c>
      <c r="U349" s="85">
        <f t="shared" si="85"/>
        <v>1666.1000000000001</v>
      </c>
    </row>
    <row r="350" spans="1:21">
      <c r="A350" s="61" t="str">
        <f ca="1">IF(ISERROR(MATCH(F350,Код_КВР,0)),"",INDIRECT(ADDRESS(MATCH(F350,Код_КВР,0)+1,2,,,"КВР")))</f>
        <v>Субсидии гражданам на приобретение жилья</v>
      </c>
      <c r="B350" s="145">
        <v>801</v>
      </c>
      <c r="C350" s="8" t="s">
        <v>188</v>
      </c>
      <c r="D350" s="8" t="s">
        <v>215</v>
      </c>
      <c r="E350" s="145" t="s">
        <v>27</v>
      </c>
      <c r="F350" s="145">
        <v>322</v>
      </c>
      <c r="G350" s="69">
        <v>2886.3</v>
      </c>
      <c r="H350" s="64"/>
      <c r="I350" s="69">
        <f t="shared" si="80"/>
        <v>2886.3</v>
      </c>
      <c r="J350" s="64"/>
      <c r="K350" s="85">
        <f t="shared" si="81"/>
        <v>2886.3</v>
      </c>
      <c r="L350" s="85"/>
      <c r="M350" s="85">
        <f t="shared" si="75"/>
        <v>2886.3</v>
      </c>
      <c r="N350" s="85"/>
      <c r="O350" s="85">
        <f t="shared" si="76"/>
        <v>2886.3</v>
      </c>
      <c r="P350" s="85"/>
      <c r="Q350" s="85">
        <f t="shared" si="73"/>
        <v>2886.3</v>
      </c>
      <c r="R350" s="85">
        <v>-1220.2</v>
      </c>
      <c r="S350" s="85">
        <f t="shared" si="72"/>
        <v>1666.1000000000001</v>
      </c>
      <c r="T350" s="85"/>
      <c r="U350" s="85">
        <f t="shared" si="85"/>
        <v>1666.1000000000001</v>
      </c>
    </row>
    <row r="351" spans="1:21" ht="49.5">
      <c r="A351" s="61" t="str">
        <f ca="1">IF(ISERROR(MATCH(E351,Код_КЦСР,0)),"",INDIRECT(ADDRESS(MATCH(E351,Код_КЦСР,0)+1,2,,,"КЦСР")))</f>
        <v>Мероприятия подпрограммы «Обеспечение жильем молодых семей» федеральной целевой программы «Жилище» на 2011-2015 годы за счет субсидий из федерального бюджета</v>
      </c>
      <c r="B351" s="145">
        <v>801</v>
      </c>
      <c r="C351" s="8" t="s">
        <v>188</v>
      </c>
      <c r="D351" s="8" t="s">
        <v>215</v>
      </c>
      <c r="E351" s="145" t="s">
        <v>639</v>
      </c>
      <c r="F351" s="145"/>
      <c r="G351" s="69"/>
      <c r="H351" s="64"/>
      <c r="I351" s="69"/>
      <c r="J351" s="64"/>
      <c r="K351" s="85"/>
      <c r="L351" s="85"/>
      <c r="M351" s="85"/>
      <c r="N351" s="85"/>
      <c r="O351" s="85"/>
      <c r="P351" s="85"/>
      <c r="Q351" s="85"/>
      <c r="R351" s="85">
        <f>R352</f>
        <v>804</v>
      </c>
      <c r="S351" s="85">
        <f t="shared" si="72"/>
        <v>804</v>
      </c>
      <c r="T351" s="85">
        <f>T352</f>
        <v>0</v>
      </c>
      <c r="U351" s="85">
        <f t="shared" si="85"/>
        <v>804</v>
      </c>
    </row>
    <row r="352" spans="1:21">
      <c r="A352" s="61" t="str">
        <f ca="1">IF(ISERROR(MATCH(F352,Код_КВР,0)),"",INDIRECT(ADDRESS(MATCH(F352,Код_КВР,0)+1,2,,,"КВР")))</f>
        <v>Социальное обеспечение и иные выплаты населению</v>
      </c>
      <c r="B352" s="145">
        <v>801</v>
      </c>
      <c r="C352" s="8" t="s">
        <v>188</v>
      </c>
      <c r="D352" s="8" t="s">
        <v>215</v>
      </c>
      <c r="E352" s="145" t="s">
        <v>639</v>
      </c>
      <c r="F352" s="145">
        <v>300</v>
      </c>
      <c r="G352" s="69"/>
      <c r="H352" s="64"/>
      <c r="I352" s="69"/>
      <c r="J352" s="64"/>
      <c r="K352" s="85"/>
      <c r="L352" s="85"/>
      <c r="M352" s="85"/>
      <c r="N352" s="85"/>
      <c r="O352" s="85"/>
      <c r="P352" s="85"/>
      <c r="Q352" s="85"/>
      <c r="R352" s="85">
        <f>R353</f>
        <v>804</v>
      </c>
      <c r="S352" s="85">
        <f t="shared" si="72"/>
        <v>804</v>
      </c>
      <c r="T352" s="85">
        <f>T353</f>
        <v>0</v>
      </c>
      <c r="U352" s="85">
        <f t="shared" si="85"/>
        <v>804</v>
      </c>
    </row>
    <row r="353" spans="1:21" ht="33">
      <c r="A353" s="61" t="str">
        <f ca="1">IF(ISERROR(MATCH(F353,Код_КВР,0)),"",INDIRECT(ADDRESS(MATCH(F353,Код_КВР,0)+1,2,,,"КВР")))</f>
        <v>Социальные выплаты гражданам, кроме публичных нормативных социальных выплат</v>
      </c>
      <c r="B353" s="145">
        <v>801</v>
      </c>
      <c r="C353" s="8" t="s">
        <v>188</v>
      </c>
      <c r="D353" s="8" t="s">
        <v>215</v>
      </c>
      <c r="E353" s="145" t="s">
        <v>639</v>
      </c>
      <c r="F353" s="145">
        <v>320</v>
      </c>
      <c r="G353" s="69"/>
      <c r="H353" s="64"/>
      <c r="I353" s="69"/>
      <c r="J353" s="64"/>
      <c r="K353" s="85"/>
      <c r="L353" s="85"/>
      <c r="M353" s="85"/>
      <c r="N353" s="85"/>
      <c r="O353" s="85"/>
      <c r="P353" s="85"/>
      <c r="Q353" s="85"/>
      <c r="R353" s="85">
        <f>R354</f>
        <v>804</v>
      </c>
      <c r="S353" s="85">
        <f t="shared" si="72"/>
        <v>804</v>
      </c>
      <c r="T353" s="85">
        <f>T354</f>
        <v>0</v>
      </c>
      <c r="U353" s="85">
        <f t="shared" si="85"/>
        <v>804</v>
      </c>
    </row>
    <row r="354" spans="1:21">
      <c r="A354" s="61" t="str">
        <f ca="1">IF(ISERROR(MATCH(F354,Код_КВР,0)),"",INDIRECT(ADDRESS(MATCH(F354,Код_КВР,0)+1,2,,,"КВР")))</f>
        <v>Субсидии гражданам на приобретение жилья</v>
      </c>
      <c r="B354" s="145">
        <v>801</v>
      </c>
      <c r="C354" s="8" t="s">
        <v>188</v>
      </c>
      <c r="D354" s="8" t="s">
        <v>215</v>
      </c>
      <c r="E354" s="145" t="s">
        <v>639</v>
      </c>
      <c r="F354" s="145">
        <v>322</v>
      </c>
      <c r="G354" s="69"/>
      <c r="H354" s="64"/>
      <c r="I354" s="69"/>
      <c r="J354" s="64"/>
      <c r="K354" s="85"/>
      <c r="L354" s="85"/>
      <c r="M354" s="85"/>
      <c r="N354" s="85"/>
      <c r="O354" s="85"/>
      <c r="P354" s="85"/>
      <c r="Q354" s="85"/>
      <c r="R354" s="85">
        <v>804</v>
      </c>
      <c r="S354" s="85">
        <f t="shared" si="72"/>
        <v>804</v>
      </c>
      <c r="T354" s="85"/>
      <c r="U354" s="85">
        <f t="shared" si="85"/>
        <v>804</v>
      </c>
    </row>
    <row r="355" spans="1:21" ht="115.5">
      <c r="A355" s="61" t="str">
        <f ca="1">IF(ISERROR(MATCH(E355,Код_КЦСР,0)),"",INDIRECT(ADDRESS(MATCH(E355,Код_КЦСР,0)+1,2,,,"КЦСР")))</f>
        <v>Предоставление социальных выплат молодым семьям – участникам подпрограммы «Обеспечение жильем молодых семей» федеральной целевой программы «Жилище» на 2011-2015 годы и государственной программы «Обеспечение населения Вологодской области доступным жильем и формирование комфортной среды проживания на 2014-2020 годы» подпрограммы «Обеспечение жильем отдельных категорий граждан» за счет субсидий из областного бюджета</v>
      </c>
      <c r="B355" s="145">
        <v>801</v>
      </c>
      <c r="C355" s="8" t="s">
        <v>188</v>
      </c>
      <c r="D355" s="8" t="s">
        <v>215</v>
      </c>
      <c r="E355" s="145" t="s">
        <v>419</v>
      </c>
      <c r="F355" s="145"/>
      <c r="G355" s="69">
        <f>G356</f>
        <v>0</v>
      </c>
      <c r="H355" s="64"/>
      <c r="I355" s="69">
        <f t="shared" si="80"/>
        <v>0</v>
      </c>
      <c r="J355" s="64"/>
      <c r="K355" s="85">
        <f t="shared" si="81"/>
        <v>0</v>
      </c>
      <c r="L355" s="85"/>
      <c r="M355" s="85">
        <f t="shared" si="75"/>
        <v>0</v>
      </c>
      <c r="N355" s="85"/>
      <c r="O355" s="85">
        <f t="shared" si="76"/>
        <v>0</v>
      </c>
      <c r="P355" s="85"/>
      <c r="Q355" s="85">
        <f t="shared" si="73"/>
        <v>0</v>
      </c>
      <c r="R355" s="13">
        <f t="shared" ref="R355:T355" si="87">R356</f>
        <v>920.2</v>
      </c>
      <c r="S355" s="85">
        <f t="shared" si="72"/>
        <v>920.2</v>
      </c>
      <c r="T355" s="13">
        <f t="shared" si="87"/>
        <v>0</v>
      </c>
      <c r="U355" s="85">
        <f t="shared" si="85"/>
        <v>920.2</v>
      </c>
    </row>
    <row r="356" spans="1:21">
      <c r="A356" s="61" t="str">
        <f ca="1">IF(ISERROR(MATCH(F356,Код_КВР,0)),"",INDIRECT(ADDRESS(MATCH(F356,Код_КВР,0)+1,2,,,"КВР")))</f>
        <v>Социальное обеспечение и иные выплаты населению</v>
      </c>
      <c r="B356" s="145">
        <v>801</v>
      </c>
      <c r="C356" s="8" t="s">
        <v>188</v>
      </c>
      <c r="D356" s="8" t="s">
        <v>215</v>
      </c>
      <c r="E356" s="145" t="s">
        <v>419</v>
      </c>
      <c r="F356" s="145">
        <v>300</v>
      </c>
      <c r="G356" s="69">
        <f>G357</f>
        <v>0</v>
      </c>
      <c r="H356" s="64"/>
      <c r="I356" s="69">
        <f t="shared" si="80"/>
        <v>0</v>
      </c>
      <c r="J356" s="64"/>
      <c r="K356" s="85">
        <f t="shared" si="81"/>
        <v>0</v>
      </c>
      <c r="L356" s="85"/>
      <c r="M356" s="85">
        <f t="shared" si="75"/>
        <v>0</v>
      </c>
      <c r="N356" s="85"/>
      <c r="O356" s="85">
        <f t="shared" si="76"/>
        <v>0</v>
      </c>
      <c r="P356" s="85"/>
      <c r="Q356" s="85">
        <f t="shared" si="73"/>
        <v>0</v>
      </c>
      <c r="R356" s="85">
        <f>R357</f>
        <v>920.2</v>
      </c>
      <c r="S356" s="85">
        <f t="shared" si="72"/>
        <v>920.2</v>
      </c>
      <c r="T356" s="85">
        <f>T357</f>
        <v>0</v>
      </c>
      <c r="U356" s="85">
        <f t="shared" si="85"/>
        <v>920.2</v>
      </c>
    </row>
    <row r="357" spans="1:21" ht="33">
      <c r="A357" s="61" t="str">
        <f ca="1">IF(ISERROR(MATCH(F357,Код_КВР,0)),"",INDIRECT(ADDRESS(MATCH(F357,Код_КВР,0)+1,2,,,"КВР")))</f>
        <v>Социальные выплаты гражданам, кроме публичных нормативных социальных выплат</v>
      </c>
      <c r="B357" s="145">
        <v>801</v>
      </c>
      <c r="C357" s="8" t="s">
        <v>188</v>
      </c>
      <c r="D357" s="8" t="s">
        <v>215</v>
      </c>
      <c r="E357" s="145" t="s">
        <v>419</v>
      </c>
      <c r="F357" s="145">
        <v>320</v>
      </c>
      <c r="G357" s="69">
        <f>G358</f>
        <v>0</v>
      </c>
      <c r="H357" s="64"/>
      <c r="I357" s="69">
        <f t="shared" si="80"/>
        <v>0</v>
      </c>
      <c r="J357" s="64"/>
      <c r="K357" s="85">
        <f t="shared" si="81"/>
        <v>0</v>
      </c>
      <c r="L357" s="85"/>
      <c r="M357" s="85">
        <f t="shared" si="75"/>
        <v>0</v>
      </c>
      <c r="N357" s="85"/>
      <c r="O357" s="85">
        <f t="shared" si="76"/>
        <v>0</v>
      </c>
      <c r="P357" s="85"/>
      <c r="Q357" s="85">
        <f t="shared" si="73"/>
        <v>0</v>
      </c>
      <c r="R357" s="85">
        <f>R358</f>
        <v>920.2</v>
      </c>
      <c r="S357" s="85">
        <f t="shared" si="72"/>
        <v>920.2</v>
      </c>
      <c r="T357" s="85">
        <f>T358</f>
        <v>0</v>
      </c>
      <c r="U357" s="85">
        <f t="shared" si="85"/>
        <v>920.2</v>
      </c>
    </row>
    <row r="358" spans="1:21">
      <c r="A358" s="61" t="str">
        <f ca="1">IF(ISERROR(MATCH(F358,Код_КВР,0)),"",INDIRECT(ADDRESS(MATCH(F358,Код_КВР,0)+1,2,,,"КВР")))</f>
        <v>Субсидии гражданам на приобретение жилья</v>
      </c>
      <c r="B358" s="145">
        <v>801</v>
      </c>
      <c r="C358" s="8" t="s">
        <v>188</v>
      </c>
      <c r="D358" s="8" t="s">
        <v>215</v>
      </c>
      <c r="E358" s="145" t="s">
        <v>419</v>
      </c>
      <c r="F358" s="145">
        <v>322</v>
      </c>
      <c r="G358" s="69"/>
      <c r="H358" s="64"/>
      <c r="I358" s="69">
        <f t="shared" si="80"/>
        <v>0</v>
      </c>
      <c r="J358" s="64"/>
      <c r="K358" s="85">
        <f t="shared" si="81"/>
        <v>0</v>
      </c>
      <c r="L358" s="85"/>
      <c r="M358" s="85">
        <f t="shared" si="75"/>
        <v>0</v>
      </c>
      <c r="N358" s="85"/>
      <c r="O358" s="85">
        <f t="shared" si="76"/>
        <v>0</v>
      </c>
      <c r="P358" s="85"/>
      <c r="Q358" s="85">
        <f t="shared" si="73"/>
        <v>0</v>
      </c>
      <c r="R358" s="85">
        <v>920.2</v>
      </c>
      <c r="S358" s="85">
        <f t="shared" si="72"/>
        <v>920.2</v>
      </c>
      <c r="T358" s="85"/>
      <c r="U358" s="85">
        <f t="shared" si="85"/>
        <v>920.2</v>
      </c>
    </row>
    <row r="359" spans="1:21" ht="33">
      <c r="A359" s="61" t="str">
        <f ca="1">IF(ISERROR(MATCH(E359,Код_КЦСР,0)),"",INDIRECT(ADDRESS(MATCH(E359,Код_КЦСР,0)+1,2,,,"КЦСР")))</f>
        <v>Оказание социальной помощи работникам бюджетных учреждений здравоохранения при приобретении жилья по ипотечному кредиту</v>
      </c>
      <c r="B359" s="145">
        <v>801</v>
      </c>
      <c r="C359" s="8" t="s">
        <v>188</v>
      </c>
      <c r="D359" s="8" t="s">
        <v>215</v>
      </c>
      <c r="E359" s="145" t="s">
        <v>29</v>
      </c>
      <c r="F359" s="145"/>
      <c r="G359" s="69">
        <f t="shared" ref="G359:T362" si="88">G360</f>
        <v>9169.7999999999993</v>
      </c>
      <c r="H359" s="69">
        <f t="shared" si="88"/>
        <v>0</v>
      </c>
      <c r="I359" s="69">
        <f t="shared" si="80"/>
        <v>9169.7999999999993</v>
      </c>
      <c r="J359" s="69">
        <f t="shared" si="88"/>
        <v>0</v>
      </c>
      <c r="K359" s="85">
        <f t="shared" si="81"/>
        <v>9169.7999999999993</v>
      </c>
      <c r="L359" s="13">
        <f t="shared" si="88"/>
        <v>0</v>
      </c>
      <c r="M359" s="85">
        <f t="shared" si="75"/>
        <v>9169.7999999999993</v>
      </c>
      <c r="N359" s="13">
        <f t="shared" si="88"/>
        <v>0</v>
      </c>
      <c r="O359" s="85">
        <f t="shared" si="76"/>
        <v>9169.7999999999993</v>
      </c>
      <c r="P359" s="13">
        <f t="shared" si="88"/>
        <v>0</v>
      </c>
      <c r="Q359" s="85">
        <f t="shared" si="73"/>
        <v>9169.7999999999993</v>
      </c>
      <c r="R359" s="13">
        <f>R360</f>
        <v>-6634.6</v>
      </c>
      <c r="S359" s="85">
        <f t="shared" ref="S359:S422" si="89">Q359+R359</f>
        <v>2535.1999999999989</v>
      </c>
      <c r="T359" s="13">
        <f>T360</f>
        <v>0</v>
      </c>
      <c r="U359" s="85">
        <f t="shared" si="85"/>
        <v>2535.1999999999989</v>
      </c>
    </row>
    <row r="360" spans="1:21" ht="33">
      <c r="A360" s="61" t="str">
        <f ca="1">IF(ISERROR(MATCH(E360,Код_КЦСР,0)),"",INDIRECT(ADDRESS(MATCH(E360,Код_КЦСР,0)+1,2,,,"КЦСР")))</f>
        <v>Предоставление единовременных и ежемесячных социальных выплат работникам бюджетных учреждений здравоохранения</v>
      </c>
      <c r="B360" s="145">
        <v>801</v>
      </c>
      <c r="C360" s="8" t="s">
        <v>188</v>
      </c>
      <c r="D360" s="8" t="s">
        <v>215</v>
      </c>
      <c r="E360" s="145" t="s">
        <v>31</v>
      </c>
      <c r="F360" s="145"/>
      <c r="G360" s="69">
        <f t="shared" si="88"/>
        <v>9169.7999999999993</v>
      </c>
      <c r="H360" s="69">
        <f t="shared" si="88"/>
        <v>0</v>
      </c>
      <c r="I360" s="69">
        <f t="shared" si="80"/>
        <v>9169.7999999999993</v>
      </c>
      <c r="J360" s="69">
        <f t="shared" si="88"/>
        <v>0</v>
      </c>
      <c r="K360" s="85">
        <f t="shared" si="81"/>
        <v>9169.7999999999993</v>
      </c>
      <c r="L360" s="13">
        <f t="shared" si="88"/>
        <v>0</v>
      </c>
      <c r="M360" s="85">
        <f t="shared" si="75"/>
        <v>9169.7999999999993</v>
      </c>
      <c r="N360" s="13">
        <f t="shared" si="88"/>
        <v>0</v>
      </c>
      <c r="O360" s="85">
        <f t="shared" si="76"/>
        <v>9169.7999999999993</v>
      </c>
      <c r="P360" s="13">
        <f t="shared" si="88"/>
        <v>0</v>
      </c>
      <c r="Q360" s="85">
        <f t="shared" si="73"/>
        <v>9169.7999999999993</v>
      </c>
      <c r="R360" s="13">
        <f t="shared" si="88"/>
        <v>-6634.6</v>
      </c>
      <c r="S360" s="85">
        <f t="shared" si="89"/>
        <v>2535.1999999999989</v>
      </c>
      <c r="T360" s="13">
        <f t="shared" si="88"/>
        <v>0</v>
      </c>
      <c r="U360" s="85">
        <f t="shared" si="85"/>
        <v>2535.1999999999989</v>
      </c>
    </row>
    <row r="361" spans="1:21">
      <c r="A361" s="61" t="str">
        <f ca="1">IF(ISERROR(MATCH(F361,Код_КВР,0)),"",INDIRECT(ADDRESS(MATCH(F361,Код_КВР,0)+1,2,,,"КВР")))</f>
        <v>Социальное обеспечение и иные выплаты населению</v>
      </c>
      <c r="B361" s="145">
        <v>801</v>
      </c>
      <c r="C361" s="8" t="s">
        <v>188</v>
      </c>
      <c r="D361" s="8" t="s">
        <v>215</v>
      </c>
      <c r="E361" s="145" t="s">
        <v>31</v>
      </c>
      <c r="F361" s="145">
        <v>300</v>
      </c>
      <c r="G361" s="69">
        <f t="shared" si="88"/>
        <v>9169.7999999999993</v>
      </c>
      <c r="H361" s="69">
        <f t="shared" si="88"/>
        <v>0</v>
      </c>
      <c r="I361" s="69">
        <f t="shared" si="80"/>
        <v>9169.7999999999993</v>
      </c>
      <c r="J361" s="69">
        <f t="shared" si="88"/>
        <v>0</v>
      </c>
      <c r="K361" s="85">
        <f t="shared" si="81"/>
        <v>9169.7999999999993</v>
      </c>
      <c r="L361" s="13">
        <f t="shared" si="88"/>
        <v>0</v>
      </c>
      <c r="M361" s="85">
        <f t="shared" si="75"/>
        <v>9169.7999999999993</v>
      </c>
      <c r="N361" s="13">
        <f t="shared" si="88"/>
        <v>0</v>
      </c>
      <c r="O361" s="85">
        <f t="shared" si="76"/>
        <v>9169.7999999999993</v>
      </c>
      <c r="P361" s="13">
        <f t="shared" si="88"/>
        <v>0</v>
      </c>
      <c r="Q361" s="85">
        <f t="shared" si="73"/>
        <v>9169.7999999999993</v>
      </c>
      <c r="R361" s="13">
        <f t="shared" si="88"/>
        <v>-6634.6</v>
      </c>
      <c r="S361" s="85">
        <f t="shared" si="89"/>
        <v>2535.1999999999989</v>
      </c>
      <c r="T361" s="13">
        <f t="shared" si="88"/>
        <v>0</v>
      </c>
      <c r="U361" s="85">
        <f t="shared" si="85"/>
        <v>2535.1999999999989</v>
      </c>
    </row>
    <row r="362" spans="1:21" ht="33">
      <c r="A362" s="61" t="str">
        <f ca="1">IF(ISERROR(MATCH(F362,Код_КВР,0)),"",INDIRECT(ADDRESS(MATCH(F362,Код_КВР,0)+1,2,,,"КВР")))</f>
        <v>Социальные выплаты гражданам, кроме публичных нормативных социальных выплат</v>
      </c>
      <c r="B362" s="145">
        <v>801</v>
      </c>
      <c r="C362" s="8" t="s">
        <v>188</v>
      </c>
      <c r="D362" s="8" t="s">
        <v>215</v>
      </c>
      <c r="E362" s="145" t="s">
        <v>31</v>
      </c>
      <c r="F362" s="145">
        <v>320</v>
      </c>
      <c r="G362" s="69">
        <f t="shared" si="88"/>
        <v>9169.7999999999993</v>
      </c>
      <c r="H362" s="69">
        <f t="shared" si="88"/>
        <v>0</v>
      </c>
      <c r="I362" s="69">
        <f t="shared" si="80"/>
        <v>9169.7999999999993</v>
      </c>
      <c r="J362" s="69">
        <f t="shared" si="88"/>
        <v>0</v>
      </c>
      <c r="K362" s="85">
        <f t="shared" si="81"/>
        <v>9169.7999999999993</v>
      </c>
      <c r="L362" s="13">
        <f t="shared" si="88"/>
        <v>0</v>
      </c>
      <c r="M362" s="85">
        <f t="shared" si="75"/>
        <v>9169.7999999999993</v>
      </c>
      <c r="N362" s="13">
        <f t="shared" si="88"/>
        <v>0</v>
      </c>
      <c r="O362" s="85">
        <f t="shared" si="76"/>
        <v>9169.7999999999993</v>
      </c>
      <c r="P362" s="13">
        <f t="shared" si="88"/>
        <v>0</v>
      </c>
      <c r="Q362" s="85">
        <f t="shared" si="73"/>
        <v>9169.7999999999993</v>
      </c>
      <c r="R362" s="13">
        <f t="shared" si="88"/>
        <v>-6634.6</v>
      </c>
      <c r="S362" s="85">
        <f t="shared" si="89"/>
        <v>2535.1999999999989</v>
      </c>
      <c r="T362" s="13">
        <f t="shared" si="88"/>
        <v>0</v>
      </c>
      <c r="U362" s="85">
        <f t="shared" si="85"/>
        <v>2535.1999999999989</v>
      </c>
    </row>
    <row r="363" spans="1:21" ht="33">
      <c r="A363" s="61" t="str">
        <f ca="1">IF(ISERROR(MATCH(F363,Код_КВР,0)),"",INDIRECT(ADDRESS(MATCH(F363,Код_КВР,0)+1,2,,,"КВР")))</f>
        <v>Пособия, компенсации и иные социальные выплаты гражданам, кроме публичных нормативных обязательств</v>
      </c>
      <c r="B363" s="145">
        <v>801</v>
      </c>
      <c r="C363" s="8" t="s">
        <v>188</v>
      </c>
      <c r="D363" s="8" t="s">
        <v>215</v>
      </c>
      <c r="E363" s="145" t="s">
        <v>31</v>
      </c>
      <c r="F363" s="145">
        <v>321</v>
      </c>
      <c r="G363" s="69">
        <v>9169.7999999999993</v>
      </c>
      <c r="H363" s="64"/>
      <c r="I363" s="69">
        <f t="shared" si="80"/>
        <v>9169.7999999999993</v>
      </c>
      <c r="J363" s="64"/>
      <c r="K363" s="85">
        <f t="shared" si="81"/>
        <v>9169.7999999999993</v>
      </c>
      <c r="L363" s="85"/>
      <c r="M363" s="85">
        <f t="shared" si="75"/>
        <v>9169.7999999999993</v>
      </c>
      <c r="N363" s="85"/>
      <c r="O363" s="85">
        <f t="shared" si="76"/>
        <v>9169.7999999999993</v>
      </c>
      <c r="P363" s="85"/>
      <c r="Q363" s="85">
        <f t="shared" si="73"/>
        <v>9169.7999999999993</v>
      </c>
      <c r="R363" s="85">
        <f>-2500-4134.6</f>
        <v>-6634.6</v>
      </c>
      <c r="S363" s="85">
        <f t="shared" si="89"/>
        <v>2535.1999999999989</v>
      </c>
      <c r="T363" s="85"/>
      <c r="U363" s="85">
        <f t="shared" si="85"/>
        <v>2535.1999999999989</v>
      </c>
    </row>
    <row r="364" spans="1:21" ht="33">
      <c r="A364" s="186" t="str">
        <f ca="1">IF(ISERROR(MATCH(E364,Код_КЦСР,0)),"",INDIRECT(ADDRESS(MATCH(E364,Код_КЦСР,0)+1,2,,,"КЦСР")))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364" s="145">
        <v>801</v>
      </c>
      <c r="C364" s="8" t="s">
        <v>188</v>
      </c>
      <c r="D364" s="8" t="s">
        <v>215</v>
      </c>
      <c r="E364" s="145" t="s">
        <v>150</v>
      </c>
      <c r="F364" s="145"/>
      <c r="G364" s="69">
        <f t="shared" ref="G364:T367" si="90">G365</f>
        <v>100</v>
      </c>
      <c r="H364" s="69">
        <f t="shared" si="90"/>
        <v>0</v>
      </c>
      <c r="I364" s="69">
        <f t="shared" si="80"/>
        <v>100</v>
      </c>
      <c r="J364" s="69">
        <f t="shared" si="90"/>
        <v>0</v>
      </c>
      <c r="K364" s="85">
        <f t="shared" si="81"/>
        <v>100</v>
      </c>
      <c r="L364" s="13">
        <f t="shared" si="90"/>
        <v>0</v>
      </c>
      <c r="M364" s="85">
        <f t="shared" si="75"/>
        <v>100</v>
      </c>
      <c r="N364" s="13">
        <f t="shared" si="90"/>
        <v>0</v>
      </c>
      <c r="O364" s="85">
        <f t="shared" si="76"/>
        <v>100</v>
      </c>
      <c r="P364" s="13">
        <f t="shared" si="90"/>
        <v>0</v>
      </c>
      <c r="Q364" s="85">
        <f t="shared" ref="Q364:Q427" si="91">O364+P364</f>
        <v>100</v>
      </c>
      <c r="R364" s="13">
        <f t="shared" si="90"/>
        <v>0</v>
      </c>
      <c r="S364" s="85">
        <f t="shared" si="89"/>
        <v>100</v>
      </c>
      <c r="T364" s="13">
        <f t="shared" si="90"/>
        <v>0</v>
      </c>
      <c r="U364" s="85">
        <f t="shared" si="85"/>
        <v>100</v>
      </c>
    </row>
    <row r="365" spans="1:21">
      <c r="A365" s="61" t="str">
        <f ca="1">IF(ISERROR(MATCH(E365,Код_КЦСР,0)),"",INDIRECT(ADDRESS(MATCH(E365,Код_КЦСР,0)+1,2,,,"КЦСР")))</f>
        <v>Профилактика преступлений и иных правонарушений в городе Череповце</v>
      </c>
      <c r="B365" s="145">
        <v>801</v>
      </c>
      <c r="C365" s="8" t="s">
        <v>188</v>
      </c>
      <c r="D365" s="8" t="s">
        <v>215</v>
      </c>
      <c r="E365" s="145" t="s">
        <v>152</v>
      </c>
      <c r="F365" s="145"/>
      <c r="G365" s="69">
        <f t="shared" si="90"/>
        <v>100</v>
      </c>
      <c r="H365" s="69">
        <f t="shared" si="90"/>
        <v>0</v>
      </c>
      <c r="I365" s="69">
        <f t="shared" si="80"/>
        <v>100</v>
      </c>
      <c r="J365" s="69">
        <f t="shared" si="90"/>
        <v>0</v>
      </c>
      <c r="K365" s="85">
        <f t="shared" si="81"/>
        <v>100</v>
      </c>
      <c r="L365" s="13">
        <f t="shared" si="90"/>
        <v>0</v>
      </c>
      <c r="M365" s="85">
        <f t="shared" si="75"/>
        <v>100</v>
      </c>
      <c r="N365" s="13">
        <f t="shared" si="90"/>
        <v>0</v>
      </c>
      <c r="O365" s="85">
        <f t="shared" si="76"/>
        <v>100</v>
      </c>
      <c r="P365" s="13">
        <f t="shared" si="90"/>
        <v>0</v>
      </c>
      <c r="Q365" s="85">
        <f t="shared" si="91"/>
        <v>100</v>
      </c>
      <c r="R365" s="13">
        <f t="shared" si="90"/>
        <v>0</v>
      </c>
      <c r="S365" s="85">
        <f t="shared" si="89"/>
        <v>100</v>
      </c>
      <c r="T365" s="13">
        <f t="shared" si="90"/>
        <v>0</v>
      </c>
      <c r="U365" s="85">
        <f t="shared" si="85"/>
        <v>100</v>
      </c>
    </row>
    <row r="366" spans="1:21">
      <c r="A366" s="61" t="str">
        <f ca="1">IF(ISERROR(MATCH(E366,Код_КЦСР,0)),"",INDIRECT(ADDRESS(MATCH(E366,Код_КЦСР,0)+1,2,,,"КЦСР")))</f>
        <v>Привлечение общественности к охране общественного порядка</v>
      </c>
      <c r="B366" s="145">
        <v>801</v>
      </c>
      <c r="C366" s="8" t="s">
        <v>188</v>
      </c>
      <c r="D366" s="8" t="s">
        <v>215</v>
      </c>
      <c r="E366" s="145" t="s">
        <v>154</v>
      </c>
      <c r="F366" s="145"/>
      <c r="G366" s="69">
        <f t="shared" si="90"/>
        <v>100</v>
      </c>
      <c r="H366" s="69">
        <f t="shared" si="90"/>
        <v>0</v>
      </c>
      <c r="I366" s="69">
        <f t="shared" si="80"/>
        <v>100</v>
      </c>
      <c r="J366" s="69">
        <f t="shared" si="90"/>
        <v>0</v>
      </c>
      <c r="K366" s="85">
        <f t="shared" si="81"/>
        <v>100</v>
      </c>
      <c r="L366" s="13">
        <f t="shared" si="90"/>
        <v>0</v>
      </c>
      <c r="M366" s="85">
        <f t="shared" si="75"/>
        <v>100</v>
      </c>
      <c r="N366" s="13">
        <f t="shared" si="90"/>
        <v>0</v>
      </c>
      <c r="O366" s="85">
        <f t="shared" si="76"/>
        <v>100</v>
      </c>
      <c r="P366" s="13">
        <f t="shared" si="90"/>
        <v>0</v>
      </c>
      <c r="Q366" s="85">
        <f t="shared" si="91"/>
        <v>100</v>
      </c>
      <c r="R366" s="13">
        <f t="shared" si="90"/>
        <v>0</v>
      </c>
      <c r="S366" s="85">
        <f t="shared" si="89"/>
        <v>100</v>
      </c>
      <c r="T366" s="13">
        <f t="shared" si="90"/>
        <v>0</v>
      </c>
      <c r="U366" s="85">
        <f t="shared" si="85"/>
        <v>100</v>
      </c>
    </row>
    <row r="367" spans="1:21">
      <c r="A367" s="61" t="str">
        <f ca="1">IF(ISERROR(MATCH(F367,Код_КВР,0)),"",INDIRECT(ADDRESS(MATCH(F367,Код_КВР,0)+1,2,,,"КВР")))</f>
        <v>Социальное обеспечение и иные выплаты населению</v>
      </c>
      <c r="B367" s="145">
        <v>801</v>
      </c>
      <c r="C367" s="8" t="s">
        <v>188</v>
      </c>
      <c r="D367" s="8" t="s">
        <v>215</v>
      </c>
      <c r="E367" s="145" t="s">
        <v>154</v>
      </c>
      <c r="F367" s="145">
        <v>300</v>
      </c>
      <c r="G367" s="69">
        <f t="shared" si="90"/>
        <v>100</v>
      </c>
      <c r="H367" s="69">
        <f t="shared" si="90"/>
        <v>0</v>
      </c>
      <c r="I367" s="69">
        <f t="shared" si="80"/>
        <v>100</v>
      </c>
      <c r="J367" s="69">
        <f t="shared" si="90"/>
        <v>0</v>
      </c>
      <c r="K367" s="85">
        <f t="shared" si="81"/>
        <v>100</v>
      </c>
      <c r="L367" s="13">
        <f t="shared" si="90"/>
        <v>0</v>
      </c>
      <c r="M367" s="85">
        <f t="shared" si="75"/>
        <v>100</v>
      </c>
      <c r="N367" s="13">
        <f t="shared" si="90"/>
        <v>0</v>
      </c>
      <c r="O367" s="85">
        <f t="shared" si="76"/>
        <v>100</v>
      </c>
      <c r="P367" s="13">
        <f t="shared" si="90"/>
        <v>0</v>
      </c>
      <c r="Q367" s="85">
        <f t="shared" si="91"/>
        <v>100</v>
      </c>
      <c r="R367" s="13">
        <f t="shared" si="90"/>
        <v>0</v>
      </c>
      <c r="S367" s="85">
        <f t="shared" si="89"/>
        <v>100</v>
      </c>
      <c r="T367" s="13">
        <f t="shared" si="90"/>
        <v>0</v>
      </c>
      <c r="U367" s="85">
        <f t="shared" si="85"/>
        <v>100</v>
      </c>
    </row>
    <row r="368" spans="1:21">
      <c r="A368" s="61" t="str">
        <f ca="1">IF(ISERROR(MATCH(F368,Код_КВР,0)),"",INDIRECT(ADDRESS(MATCH(F368,Код_КВР,0)+1,2,,,"КВР")))</f>
        <v>Иные выплаты населению</v>
      </c>
      <c r="B368" s="145">
        <v>801</v>
      </c>
      <c r="C368" s="8" t="s">
        <v>188</v>
      </c>
      <c r="D368" s="8" t="s">
        <v>215</v>
      </c>
      <c r="E368" s="145" t="s">
        <v>154</v>
      </c>
      <c r="F368" s="145">
        <v>360</v>
      </c>
      <c r="G368" s="69">
        <v>100</v>
      </c>
      <c r="H368" s="64"/>
      <c r="I368" s="69">
        <f t="shared" si="80"/>
        <v>100</v>
      </c>
      <c r="J368" s="64"/>
      <c r="K368" s="85">
        <f t="shared" si="81"/>
        <v>100</v>
      </c>
      <c r="L368" s="85"/>
      <c r="M368" s="85">
        <f t="shared" si="75"/>
        <v>100</v>
      </c>
      <c r="N368" s="85"/>
      <c r="O368" s="85">
        <f t="shared" si="76"/>
        <v>100</v>
      </c>
      <c r="P368" s="85"/>
      <c r="Q368" s="85">
        <f t="shared" si="91"/>
        <v>100</v>
      </c>
      <c r="R368" s="85"/>
      <c r="S368" s="85">
        <f t="shared" si="89"/>
        <v>100</v>
      </c>
      <c r="T368" s="85"/>
      <c r="U368" s="85">
        <f t="shared" si="85"/>
        <v>100</v>
      </c>
    </row>
    <row r="369" spans="1:21">
      <c r="A369" s="61" t="str">
        <f ca="1">IF(ISERROR(MATCH(C369,Код_Раздел,0)),"",INDIRECT(ADDRESS(MATCH(C369,Код_Раздел,0)+1,2,,,"Раздел")))</f>
        <v>Средства массовой информации</v>
      </c>
      <c r="B369" s="145">
        <v>801</v>
      </c>
      <c r="C369" s="8" t="s">
        <v>196</v>
      </c>
      <c r="D369" s="8"/>
      <c r="E369" s="145"/>
      <c r="F369" s="145"/>
      <c r="G369" s="69">
        <f>G370</f>
        <v>44285.899999999994</v>
      </c>
      <c r="H369" s="69">
        <f>H370</f>
        <v>0</v>
      </c>
      <c r="I369" s="69">
        <f t="shared" si="80"/>
        <v>44285.899999999994</v>
      </c>
      <c r="J369" s="69">
        <f>J370</f>
        <v>134</v>
      </c>
      <c r="K369" s="85">
        <f t="shared" si="81"/>
        <v>44419.899999999994</v>
      </c>
      <c r="L369" s="13">
        <f>L370</f>
        <v>-61.9</v>
      </c>
      <c r="M369" s="85">
        <f t="shared" si="75"/>
        <v>44357.999999999993</v>
      </c>
      <c r="N369" s="13">
        <f>N370</f>
        <v>34.9</v>
      </c>
      <c r="O369" s="85">
        <f t="shared" si="76"/>
        <v>44392.899999999994</v>
      </c>
      <c r="P369" s="13">
        <f>P370</f>
        <v>0</v>
      </c>
      <c r="Q369" s="85">
        <f t="shared" si="91"/>
        <v>44392.899999999994</v>
      </c>
      <c r="R369" s="13">
        <f>R370</f>
        <v>4108.8</v>
      </c>
      <c r="S369" s="85">
        <f t="shared" si="89"/>
        <v>48501.7</v>
      </c>
      <c r="T369" s="13">
        <f>T370</f>
        <v>400</v>
      </c>
      <c r="U369" s="85">
        <f t="shared" si="85"/>
        <v>48901.7</v>
      </c>
    </row>
    <row r="370" spans="1:21">
      <c r="A370" s="12" t="s">
        <v>198</v>
      </c>
      <c r="B370" s="145">
        <v>801</v>
      </c>
      <c r="C370" s="8" t="s">
        <v>196</v>
      </c>
      <c r="D370" s="8" t="s">
        <v>214</v>
      </c>
      <c r="E370" s="145"/>
      <c r="F370" s="145"/>
      <c r="G370" s="69">
        <f>G377</f>
        <v>44285.899999999994</v>
      </c>
      <c r="H370" s="69">
        <f>H377</f>
        <v>0</v>
      </c>
      <c r="I370" s="69">
        <f t="shared" si="80"/>
        <v>44285.899999999994</v>
      </c>
      <c r="J370" s="69">
        <f>J371+J377</f>
        <v>134</v>
      </c>
      <c r="K370" s="85">
        <f t="shared" si="81"/>
        <v>44419.899999999994</v>
      </c>
      <c r="L370" s="13">
        <f>L371+L377</f>
        <v>-61.9</v>
      </c>
      <c r="M370" s="85">
        <f t="shared" ref="M370:M442" si="92">K370+L370</f>
        <v>44357.999999999993</v>
      </c>
      <c r="N370" s="13">
        <f>N371+N377</f>
        <v>34.9</v>
      </c>
      <c r="O370" s="85">
        <f t="shared" ref="O370:O442" si="93">M370+N370</f>
        <v>44392.899999999994</v>
      </c>
      <c r="P370" s="13">
        <f>P371+P377</f>
        <v>0</v>
      </c>
      <c r="Q370" s="85">
        <f t="shared" si="91"/>
        <v>44392.899999999994</v>
      </c>
      <c r="R370" s="13">
        <f>R371+R377</f>
        <v>4108.8</v>
      </c>
      <c r="S370" s="85">
        <f t="shared" si="89"/>
        <v>48501.7</v>
      </c>
      <c r="T370" s="13">
        <f>T371+T377</f>
        <v>400</v>
      </c>
      <c r="U370" s="85">
        <f t="shared" si="85"/>
        <v>48901.7</v>
      </c>
    </row>
    <row r="371" spans="1:21" ht="33">
      <c r="A371" s="61" t="str">
        <f ca="1">IF(ISERROR(MATCH(E371,Код_КЦСР,0)),"",INDIRECT(ADDRESS(MATCH(E371,Код_КЦСР,0)+1,2,,,"КЦСР")))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371" s="145">
        <v>801</v>
      </c>
      <c r="C371" s="8" t="s">
        <v>196</v>
      </c>
      <c r="D371" s="8" t="s">
        <v>214</v>
      </c>
      <c r="E371" s="145" t="s">
        <v>79</v>
      </c>
      <c r="F371" s="145"/>
      <c r="G371" s="69"/>
      <c r="H371" s="69"/>
      <c r="I371" s="69"/>
      <c r="J371" s="69">
        <f>J372</f>
        <v>7.5</v>
      </c>
      <c r="K371" s="85">
        <f t="shared" si="81"/>
        <v>7.5</v>
      </c>
      <c r="L371" s="13">
        <f>L372</f>
        <v>0</v>
      </c>
      <c r="M371" s="85">
        <f t="shared" si="92"/>
        <v>7.5</v>
      </c>
      <c r="N371" s="13">
        <f>N372</f>
        <v>0</v>
      </c>
      <c r="O371" s="85">
        <f t="shared" si="93"/>
        <v>7.5</v>
      </c>
      <c r="P371" s="13">
        <f>P372</f>
        <v>0</v>
      </c>
      <c r="Q371" s="85">
        <f t="shared" si="91"/>
        <v>7.5</v>
      </c>
      <c r="R371" s="13">
        <f>R372</f>
        <v>0</v>
      </c>
      <c r="S371" s="85">
        <f t="shared" si="89"/>
        <v>7.5</v>
      </c>
      <c r="T371" s="13">
        <f>T372</f>
        <v>0</v>
      </c>
      <c r="U371" s="85">
        <f t="shared" si="85"/>
        <v>7.5</v>
      </c>
    </row>
    <row r="372" spans="1:21">
      <c r="A372" s="61" t="str">
        <f ca="1">IF(ISERROR(MATCH(E372,Код_КЦСР,0)),"",INDIRECT(ADDRESS(MATCH(E372,Код_КЦСР,0)+1,2,,,"КЦСР")))</f>
        <v>Обеспечение пожарной безопасности муниципальных учреждений города</v>
      </c>
      <c r="B372" s="145">
        <v>801</v>
      </c>
      <c r="C372" s="8" t="s">
        <v>196</v>
      </c>
      <c r="D372" s="8" t="s">
        <v>214</v>
      </c>
      <c r="E372" s="145" t="s">
        <v>81</v>
      </c>
      <c r="F372" s="145"/>
      <c r="G372" s="69"/>
      <c r="H372" s="69"/>
      <c r="I372" s="69"/>
      <c r="J372" s="69">
        <f>J373</f>
        <v>7.5</v>
      </c>
      <c r="K372" s="85">
        <f t="shared" si="81"/>
        <v>7.5</v>
      </c>
      <c r="L372" s="13">
        <f>L373</f>
        <v>0</v>
      </c>
      <c r="M372" s="85">
        <f t="shared" si="92"/>
        <v>7.5</v>
      </c>
      <c r="N372" s="13">
        <f>N373</f>
        <v>0</v>
      </c>
      <c r="O372" s="85">
        <f t="shared" si="93"/>
        <v>7.5</v>
      </c>
      <c r="P372" s="13">
        <f>P373</f>
        <v>0</v>
      </c>
      <c r="Q372" s="85">
        <f t="shared" si="91"/>
        <v>7.5</v>
      </c>
      <c r="R372" s="13">
        <f>R373</f>
        <v>0</v>
      </c>
      <c r="S372" s="85">
        <f t="shared" si="89"/>
        <v>7.5</v>
      </c>
      <c r="T372" s="13">
        <f>T373</f>
        <v>0</v>
      </c>
      <c r="U372" s="85">
        <f t="shared" si="85"/>
        <v>7.5</v>
      </c>
    </row>
    <row r="373" spans="1:21" ht="49.5">
      <c r="A373" s="61" t="str">
        <f ca="1">IF(ISERROR(MATCH(E373,Код_КЦСР,0)),"",INDIRECT(ADDRESS(MATCH(E373,Код_КЦСР,0)+1,2,,,"КЦСР")))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373" s="145">
        <v>801</v>
      </c>
      <c r="C373" s="8" t="s">
        <v>196</v>
      </c>
      <c r="D373" s="8" t="s">
        <v>214</v>
      </c>
      <c r="E373" s="145" t="s">
        <v>83</v>
      </c>
      <c r="F373" s="145"/>
      <c r="G373" s="69"/>
      <c r="H373" s="69"/>
      <c r="I373" s="69"/>
      <c r="J373" s="69">
        <f>J374</f>
        <v>7.5</v>
      </c>
      <c r="K373" s="85">
        <f t="shared" si="81"/>
        <v>7.5</v>
      </c>
      <c r="L373" s="13">
        <f>L374</f>
        <v>0</v>
      </c>
      <c r="M373" s="85">
        <f t="shared" si="92"/>
        <v>7.5</v>
      </c>
      <c r="N373" s="13">
        <f>N374</f>
        <v>0</v>
      </c>
      <c r="O373" s="85">
        <f t="shared" si="93"/>
        <v>7.5</v>
      </c>
      <c r="P373" s="13">
        <f>P374</f>
        <v>0</v>
      </c>
      <c r="Q373" s="85">
        <f t="shared" si="91"/>
        <v>7.5</v>
      </c>
      <c r="R373" s="13">
        <f>R374</f>
        <v>0</v>
      </c>
      <c r="S373" s="85">
        <f t="shared" si="89"/>
        <v>7.5</v>
      </c>
      <c r="T373" s="13">
        <f>T374</f>
        <v>0</v>
      </c>
      <c r="U373" s="85">
        <f t="shared" si="85"/>
        <v>7.5</v>
      </c>
    </row>
    <row r="374" spans="1:21">
      <c r="A374" s="61" t="str">
        <f t="shared" ref="A374:A376" ca="1" si="94">IF(ISERROR(MATCH(F374,Код_КВР,0)),"",INDIRECT(ADDRESS(MATCH(F374,Код_КВР,0)+1,2,,,"КВР")))</f>
        <v>Закупка товаров, работ и услуг для муниципальных нужд</v>
      </c>
      <c r="B374" s="145">
        <v>801</v>
      </c>
      <c r="C374" s="8" t="s">
        <v>196</v>
      </c>
      <c r="D374" s="8" t="s">
        <v>214</v>
      </c>
      <c r="E374" s="145" t="s">
        <v>83</v>
      </c>
      <c r="F374" s="145">
        <v>200</v>
      </c>
      <c r="G374" s="69"/>
      <c r="H374" s="69"/>
      <c r="I374" s="69"/>
      <c r="J374" s="69">
        <f>J375</f>
        <v>7.5</v>
      </c>
      <c r="K374" s="85">
        <f t="shared" si="81"/>
        <v>7.5</v>
      </c>
      <c r="L374" s="13">
        <f>L375</f>
        <v>0</v>
      </c>
      <c r="M374" s="85">
        <f t="shared" si="92"/>
        <v>7.5</v>
      </c>
      <c r="N374" s="13">
        <f>N375</f>
        <v>0</v>
      </c>
      <c r="O374" s="85">
        <f t="shared" si="93"/>
        <v>7.5</v>
      </c>
      <c r="P374" s="13">
        <f>P375</f>
        <v>0</v>
      </c>
      <c r="Q374" s="85">
        <f t="shared" si="91"/>
        <v>7.5</v>
      </c>
      <c r="R374" s="13">
        <f>R375</f>
        <v>0</v>
      </c>
      <c r="S374" s="85">
        <f t="shared" si="89"/>
        <v>7.5</v>
      </c>
      <c r="T374" s="13">
        <f>T375</f>
        <v>0</v>
      </c>
      <c r="U374" s="85">
        <f t="shared" si="85"/>
        <v>7.5</v>
      </c>
    </row>
    <row r="375" spans="1:21" ht="33">
      <c r="A375" s="61" t="str">
        <f t="shared" ca="1" si="94"/>
        <v>Иные закупки товаров, работ и услуг для обеспечения муниципальных нужд</v>
      </c>
      <c r="B375" s="145">
        <v>801</v>
      </c>
      <c r="C375" s="8" t="s">
        <v>196</v>
      </c>
      <c r="D375" s="8" t="s">
        <v>214</v>
      </c>
      <c r="E375" s="145" t="s">
        <v>83</v>
      </c>
      <c r="F375" s="145">
        <v>240</v>
      </c>
      <c r="G375" s="69"/>
      <c r="H375" s="69"/>
      <c r="I375" s="69"/>
      <c r="J375" s="69">
        <f>J376</f>
        <v>7.5</v>
      </c>
      <c r="K375" s="85">
        <f t="shared" si="81"/>
        <v>7.5</v>
      </c>
      <c r="L375" s="13">
        <f>L376</f>
        <v>0</v>
      </c>
      <c r="M375" s="85">
        <f t="shared" si="92"/>
        <v>7.5</v>
      </c>
      <c r="N375" s="13">
        <f>N376</f>
        <v>0</v>
      </c>
      <c r="O375" s="85">
        <f t="shared" si="93"/>
        <v>7.5</v>
      </c>
      <c r="P375" s="13">
        <f>P376</f>
        <v>0</v>
      </c>
      <c r="Q375" s="85">
        <f t="shared" si="91"/>
        <v>7.5</v>
      </c>
      <c r="R375" s="13">
        <f>R376</f>
        <v>0</v>
      </c>
      <c r="S375" s="85">
        <f t="shared" si="89"/>
        <v>7.5</v>
      </c>
      <c r="T375" s="13">
        <f>T376</f>
        <v>0</v>
      </c>
      <c r="U375" s="85">
        <f t="shared" si="85"/>
        <v>7.5</v>
      </c>
    </row>
    <row r="376" spans="1:21" ht="33">
      <c r="A376" s="61" t="str">
        <f t="shared" ca="1" si="94"/>
        <v xml:space="preserve">Прочая закупка товаров, работ и услуг для обеспечения муниципальных нужд         </v>
      </c>
      <c r="B376" s="145">
        <v>801</v>
      </c>
      <c r="C376" s="8" t="s">
        <v>196</v>
      </c>
      <c r="D376" s="8" t="s">
        <v>214</v>
      </c>
      <c r="E376" s="145" t="s">
        <v>83</v>
      </c>
      <c r="F376" s="145">
        <v>244</v>
      </c>
      <c r="G376" s="69"/>
      <c r="H376" s="69"/>
      <c r="I376" s="69"/>
      <c r="J376" s="69">
        <v>7.5</v>
      </c>
      <c r="K376" s="85">
        <f t="shared" si="81"/>
        <v>7.5</v>
      </c>
      <c r="L376" s="13"/>
      <c r="M376" s="85">
        <f t="shared" si="92"/>
        <v>7.5</v>
      </c>
      <c r="N376" s="13"/>
      <c r="O376" s="85">
        <f t="shared" si="93"/>
        <v>7.5</v>
      </c>
      <c r="P376" s="13"/>
      <c r="Q376" s="85">
        <f t="shared" si="91"/>
        <v>7.5</v>
      </c>
      <c r="R376" s="13"/>
      <c r="S376" s="85">
        <f t="shared" si="89"/>
        <v>7.5</v>
      </c>
      <c r="T376" s="13"/>
      <c r="U376" s="85">
        <f t="shared" si="85"/>
        <v>7.5</v>
      </c>
    </row>
    <row r="377" spans="1:21" ht="49.5">
      <c r="A377" s="61" t="str">
        <f ca="1">IF(ISERROR(MATCH(E377,Код_КЦСР,0)),"",INDIRECT(ADDRESS(MATCH(E377,Код_КЦСР,0)+1,2,,,"КЦСР")))</f>
        <v>Муниципальная программа «Содействие развитию институтов гражданского общества и информационной открытости органов местного самоуправления в городе Череповце» на 2014-2018 годы</v>
      </c>
      <c r="B377" s="145">
        <v>801</v>
      </c>
      <c r="C377" s="8" t="s">
        <v>196</v>
      </c>
      <c r="D377" s="8" t="s">
        <v>214</v>
      </c>
      <c r="E377" s="145" t="s">
        <v>141</v>
      </c>
      <c r="F377" s="145"/>
      <c r="G377" s="69">
        <f>G378+G388</f>
        <v>44285.899999999994</v>
      </c>
      <c r="H377" s="69">
        <f>H378+H388</f>
        <v>0</v>
      </c>
      <c r="I377" s="69">
        <f t="shared" si="80"/>
        <v>44285.899999999994</v>
      </c>
      <c r="J377" s="69">
        <f>J378+J388</f>
        <v>126.5</v>
      </c>
      <c r="K377" s="85">
        <f t="shared" si="81"/>
        <v>44412.399999999994</v>
      </c>
      <c r="L377" s="13">
        <f>L378+L388</f>
        <v>-61.9</v>
      </c>
      <c r="M377" s="85">
        <f t="shared" si="92"/>
        <v>44350.499999999993</v>
      </c>
      <c r="N377" s="13">
        <f>N378+N388</f>
        <v>34.9</v>
      </c>
      <c r="O377" s="85">
        <f t="shared" si="93"/>
        <v>44385.399999999994</v>
      </c>
      <c r="P377" s="13">
        <f>P378+P388</f>
        <v>0</v>
      </c>
      <c r="Q377" s="85">
        <f t="shared" si="91"/>
        <v>44385.399999999994</v>
      </c>
      <c r="R377" s="13">
        <f>R378+R388</f>
        <v>4108.8</v>
      </c>
      <c r="S377" s="85">
        <f t="shared" si="89"/>
        <v>48494.2</v>
      </c>
      <c r="T377" s="13">
        <f>T378+T388</f>
        <v>400</v>
      </c>
      <c r="U377" s="85">
        <f t="shared" si="85"/>
        <v>48894.2</v>
      </c>
    </row>
    <row r="378" spans="1:21" ht="49.5">
      <c r="A378" s="61" t="str">
        <f ca="1">IF(ISERROR(MATCH(E378,Код_КЦСР,0)),"",INDIRECT(ADDRESS(MATCH(E378,Код_КЦСР,0)+1,2,,,"КЦСР")))</f>
        <v>Обеспечение информирования населения о деятельности органов местного самоуправления, органов мэрии Череповца и актуальных вопросах городской жизнедеятельности</v>
      </c>
      <c r="B378" s="145">
        <v>801</v>
      </c>
      <c r="C378" s="8" t="s">
        <v>196</v>
      </c>
      <c r="D378" s="8" t="s">
        <v>214</v>
      </c>
      <c r="E378" s="145" t="s">
        <v>146</v>
      </c>
      <c r="F378" s="145"/>
      <c r="G378" s="69">
        <f>G379+G381+G384</f>
        <v>23381.1</v>
      </c>
      <c r="H378" s="69">
        <f>H379+H381+H384</f>
        <v>0</v>
      </c>
      <c r="I378" s="69">
        <f t="shared" si="80"/>
        <v>23381.1</v>
      </c>
      <c r="J378" s="69">
        <f>J379+J381+J384</f>
        <v>126.5</v>
      </c>
      <c r="K378" s="85">
        <f t="shared" si="81"/>
        <v>23507.599999999999</v>
      </c>
      <c r="L378" s="13">
        <f>L379+L381+L384</f>
        <v>-61.9</v>
      </c>
      <c r="M378" s="85">
        <f t="shared" si="92"/>
        <v>23445.699999999997</v>
      </c>
      <c r="N378" s="13">
        <f>N379+N381+N384</f>
        <v>34.9</v>
      </c>
      <c r="O378" s="85">
        <f t="shared" si="93"/>
        <v>23480.6</v>
      </c>
      <c r="P378" s="13">
        <f>P379+P381+P384</f>
        <v>0</v>
      </c>
      <c r="Q378" s="85">
        <f t="shared" si="91"/>
        <v>23480.6</v>
      </c>
      <c r="R378" s="13">
        <f>R379+R381+R384</f>
        <v>1063.4000000000001</v>
      </c>
      <c r="S378" s="85">
        <f t="shared" si="89"/>
        <v>24544</v>
      </c>
      <c r="T378" s="13">
        <f>T379+T381+T384</f>
        <v>400</v>
      </c>
      <c r="U378" s="85">
        <f t="shared" si="85"/>
        <v>24944</v>
      </c>
    </row>
    <row r="379" spans="1:21" ht="33">
      <c r="A379" s="61" t="str">
        <f t="shared" ref="A379:A385" ca="1" si="95">IF(ISERROR(MATCH(F379,Код_КВР,0)),"",INDIRECT(ADDRESS(MATCH(F379,Код_КВР,0)+1,2,,,"КВР")))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379" s="145">
        <v>801</v>
      </c>
      <c r="C379" s="8" t="s">
        <v>196</v>
      </c>
      <c r="D379" s="8" t="s">
        <v>214</v>
      </c>
      <c r="E379" s="145" t="s">
        <v>146</v>
      </c>
      <c r="F379" s="145">
        <v>100</v>
      </c>
      <c r="G379" s="69">
        <f>G380</f>
        <v>19202.599999999999</v>
      </c>
      <c r="H379" s="69">
        <f>H380</f>
        <v>0</v>
      </c>
      <c r="I379" s="69">
        <f t="shared" si="80"/>
        <v>19202.599999999999</v>
      </c>
      <c r="J379" s="69">
        <f>J380</f>
        <v>0</v>
      </c>
      <c r="K379" s="85">
        <f t="shared" si="81"/>
        <v>19202.599999999999</v>
      </c>
      <c r="L379" s="13">
        <f>L380</f>
        <v>0</v>
      </c>
      <c r="M379" s="85">
        <f t="shared" si="92"/>
        <v>19202.599999999999</v>
      </c>
      <c r="N379" s="13">
        <f>N380</f>
        <v>0</v>
      </c>
      <c r="O379" s="85">
        <f t="shared" si="93"/>
        <v>19202.599999999999</v>
      </c>
      <c r="P379" s="13">
        <f>P380</f>
        <v>0</v>
      </c>
      <c r="Q379" s="85">
        <f t="shared" si="91"/>
        <v>19202.599999999999</v>
      </c>
      <c r="R379" s="13">
        <f>R380</f>
        <v>0</v>
      </c>
      <c r="S379" s="85">
        <f t="shared" si="89"/>
        <v>19202.599999999999</v>
      </c>
      <c r="T379" s="13">
        <f>T380</f>
        <v>15</v>
      </c>
      <c r="U379" s="85">
        <f t="shared" si="85"/>
        <v>19217.599999999999</v>
      </c>
    </row>
    <row r="380" spans="1:21">
      <c r="A380" s="61" t="str">
        <f t="shared" ca="1" si="95"/>
        <v>Расходы на выплаты персоналу казенных учреждений</v>
      </c>
      <c r="B380" s="145">
        <v>801</v>
      </c>
      <c r="C380" s="8" t="s">
        <v>196</v>
      </c>
      <c r="D380" s="8" t="s">
        <v>214</v>
      </c>
      <c r="E380" s="145" t="s">
        <v>146</v>
      </c>
      <c r="F380" s="145">
        <v>110</v>
      </c>
      <c r="G380" s="69">
        <v>19202.599999999999</v>
      </c>
      <c r="H380" s="69"/>
      <c r="I380" s="69">
        <f t="shared" si="80"/>
        <v>19202.599999999999</v>
      </c>
      <c r="J380" s="69"/>
      <c r="K380" s="85">
        <f t="shared" si="81"/>
        <v>19202.599999999999</v>
      </c>
      <c r="L380" s="13"/>
      <c r="M380" s="85">
        <f t="shared" si="92"/>
        <v>19202.599999999999</v>
      </c>
      <c r="N380" s="13"/>
      <c r="O380" s="85">
        <f t="shared" si="93"/>
        <v>19202.599999999999</v>
      </c>
      <c r="P380" s="13"/>
      <c r="Q380" s="85">
        <f t="shared" si="91"/>
        <v>19202.599999999999</v>
      </c>
      <c r="R380" s="13"/>
      <c r="S380" s="85">
        <f t="shared" si="89"/>
        <v>19202.599999999999</v>
      </c>
      <c r="T380" s="13">
        <v>15</v>
      </c>
      <c r="U380" s="85">
        <f t="shared" si="85"/>
        <v>19217.599999999999</v>
      </c>
    </row>
    <row r="381" spans="1:21">
      <c r="A381" s="61" t="str">
        <f t="shared" ca="1" si="95"/>
        <v>Закупка товаров, работ и услуг для муниципальных нужд</v>
      </c>
      <c r="B381" s="145">
        <v>801</v>
      </c>
      <c r="C381" s="8" t="s">
        <v>196</v>
      </c>
      <c r="D381" s="8" t="s">
        <v>214</v>
      </c>
      <c r="E381" s="145" t="s">
        <v>146</v>
      </c>
      <c r="F381" s="145">
        <v>200</v>
      </c>
      <c r="G381" s="69">
        <f>G382</f>
        <v>4028.5</v>
      </c>
      <c r="H381" s="69">
        <f>H382</f>
        <v>0</v>
      </c>
      <c r="I381" s="69">
        <f t="shared" si="80"/>
        <v>4028.5</v>
      </c>
      <c r="J381" s="69">
        <f>J382</f>
        <v>124.5</v>
      </c>
      <c r="K381" s="85">
        <f t="shared" si="81"/>
        <v>4153</v>
      </c>
      <c r="L381" s="13">
        <f>L382</f>
        <v>-61.9</v>
      </c>
      <c r="M381" s="85">
        <f t="shared" si="92"/>
        <v>4091.1</v>
      </c>
      <c r="N381" s="13">
        <f>N382</f>
        <v>30.099999999999998</v>
      </c>
      <c r="O381" s="85">
        <f t="shared" si="93"/>
        <v>4121.2</v>
      </c>
      <c r="P381" s="13">
        <f>P382</f>
        <v>-18</v>
      </c>
      <c r="Q381" s="85">
        <f t="shared" si="91"/>
        <v>4103.2</v>
      </c>
      <c r="R381" s="13">
        <f>R382</f>
        <v>1063.4000000000001</v>
      </c>
      <c r="S381" s="85">
        <f t="shared" si="89"/>
        <v>5166.6000000000004</v>
      </c>
      <c r="T381" s="13">
        <f>T382</f>
        <v>385</v>
      </c>
      <c r="U381" s="85">
        <f t="shared" si="85"/>
        <v>5551.6</v>
      </c>
    </row>
    <row r="382" spans="1:21" ht="33">
      <c r="A382" s="61" t="str">
        <f t="shared" ca="1" si="95"/>
        <v>Иные закупки товаров, работ и услуг для обеспечения муниципальных нужд</v>
      </c>
      <c r="B382" s="145">
        <v>801</v>
      </c>
      <c r="C382" s="8" t="s">
        <v>196</v>
      </c>
      <c r="D382" s="8" t="s">
        <v>214</v>
      </c>
      <c r="E382" s="145" t="s">
        <v>146</v>
      </c>
      <c r="F382" s="145">
        <v>240</v>
      </c>
      <c r="G382" s="69">
        <f>G383</f>
        <v>4028.5</v>
      </c>
      <c r="H382" s="64"/>
      <c r="I382" s="69">
        <f t="shared" si="80"/>
        <v>4028.5</v>
      </c>
      <c r="J382" s="64">
        <f>J383</f>
        <v>124.5</v>
      </c>
      <c r="K382" s="85">
        <f t="shared" si="81"/>
        <v>4153</v>
      </c>
      <c r="L382" s="85">
        <f>L383</f>
        <v>-61.9</v>
      </c>
      <c r="M382" s="85">
        <f t="shared" si="92"/>
        <v>4091.1</v>
      </c>
      <c r="N382" s="85">
        <f>N383</f>
        <v>30.099999999999998</v>
      </c>
      <c r="O382" s="85">
        <f t="shared" si="93"/>
        <v>4121.2</v>
      </c>
      <c r="P382" s="85">
        <f>P383</f>
        <v>-18</v>
      </c>
      <c r="Q382" s="85">
        <f t="shared" si="91"/>
        <v>4103.2</v>
      </c>
      <c r="R382" s="85">
        <f>R383</f>
        <v>1063.4000000000001</v>
      </c>
      <c r="S382" s="85">
        <f t="shared" si="89"/>
        <v>5166.6000000000004</v>
      </c>
      <c r="T382" s="85">
        <f>T383</f>
        <v>385</v>
      </c>
      <c r="U382" s="85">
        <f t="shared" si="85"/>
        <v>5551.6</v>
      </c>
    </row>
    <row r="383" spans="1:21" ht="33">
      <c r="A383" s="61" t="str">
        <f t="shared" ca="1" si="95"/>
        <v xml:space="preserve">Прочая закупка товаров, работ и услуг для обеспечения муниципальных нужд         </v>
      </c>
      <c r="B383" s="145">
        <v>801</v>
      </c>
      <c r="C383" s="8" t="s">
        <v>196</v>
      </c>
      <c r="D383" s="8" t="s">
        <v>214</v>
      </c>
      <c r="E383" s="145" t="s">
        <v>146</v>
      </c>
      <c r="F383" s="145">
        <v>244</v>
      </c>
      <c r="G383" s="69">
        <v>4028.5</v>
      </c>
      <c r="H383" s="64"/>
      <c r="I383" s="69">
        <f t="shared" si="80"/>
        <v>4028.5</v>
      </c>
      <c r="J383" s="64">
        <f>134-7.5-2</f>
        <v>124.5</v>
      </c>
      <c r="K383" s="85">
        <f t="shared" si="81"/>
        <v>4153</v>
      </c>
      <c r="L383" s="85">
        <f>-3.9-58</f>
        <v>-61.9</v>
      </c>
      <c r="M383" s="85">
        <f t="shared" si="92"/>
        <v>4091.1</v>
      </c>
      <c r="N383" s="85">
        <f>34.9-4.8</f>
        <v>30.099999999999998</v>
      </c>
      <c r="O383" s="85">
        <f t="shared" si="93"/>
        <v>4121.2</v>
      </c>
      <c r="P383" s="85">
        <f>-6-12</f>
        <v>-18</v>
      </c>
      <c r="Q383" s="85">
        <f t="shared" si="91"/>
        <v>4103.2</v>
      </c>
      <c r="R383" s="85">
        <f>363.4+700</f>
        <v>1063.4000000000001</v>
      </c>
      <c r="S383" s="85">
        <f t="shared" si="89"/>
        <v>5166.6000000000004</v>
      </c>
      <c r="T383" s="85">
        <v>385</v>
      </c>
      <c r="U383" s="85">
        <f t="shared" si="85"/>
        <v>5551.6</v>
      </c>
    </row>
    <row r="384" spans="1:21">
      <c r="A384" s="61" t="str">
        <f t="shared" ca="1" si="95"/>
        <v>Иные бюджетные ассигнования</v>
      </c>
      <c r="B384" s="145">
        <v>801</v>
      </c>
      <c r="C384" s="8" t="s">
        <v>196</v>
      </c>
      <c r="D384" s="8" t="s">
        <v>214</v>
      </c>
      <c r="E384" s="145" t="s">
        <v>146</v>
      </c>
      <c r="F384" s="145">
        <v>800</v>
      </c>
      <c r="G384" s="69">
        <f>G385</f>
        <v>150</v>
      </c>
      <c r="H384" s="69">
        <f>H385</f>
        <v>0</v>
      </c>
      <c r="I384" s="69">
        <f t="shared" si="80"/>
        <v>150</v>
      </c>
      <c r="J384" s="69">
        <f>J385</f>
        <v>2</v>
      </c>
      <c r="K384" s="85">
        <f t="shared" si="81"/>
        <v>152</v>
      </c>
      <c r="L384" s="13">
        <f>L385</f>
        <v>0</v>
      </c>
      <c r="M384" s="85">
        <f t="shared" si="92"/>
        <v>152</v>
      </c>
      <c r="N384" s="13">
        <f>N385</f>
        <v>4.8</v>
      </c>
      <c r="O384" s="85">
        <f t="shared" si="93"/>
        <v>156.80000000000001</v>
      </c>
      <c r="P384" s="13">
        <f>P385</f>
        <v>18</v>
      </c>
      <c r="Q384" s="85">
        <f t="shared" si="91"/>
        <v>174.8</v>
      </c>
      <c r="R384" s="13">
        <f>R385</f>
        <v>0</v>
      </c>
      <c r="S384" s="85">
        <f t="shared" si="89"/>
        <v>174.8</v>
      </c>
      <c r="T384" s="13">
        <f>T385</f>
        <v>0</v>
      </c>
      <c r="U384" s="85">
        <f t="shared" si="85"/>
        <v>174.8</v>
      </c>
    </row>
    <row r="385" spans="1:21">
      <c r="A385" s="61" t="str">
        <f t="shared" ca="1" si="95"/>
        <v>Уплата налогов, сборов и иных платежей</v>
      </c>
      <c r="B385" s="145">
        <v>801</v>
      </c>
      <c r="C385" s="8" t="s">
        <v>196</v>
      </c>
      <c r="D385" s="8" t="s">
        <v>214</v>
      </c>
      <c r="E385" s="145" t="s">
        <v>146</v>
      </c>
      <c r="F385" s="145">
        <v>850</v>
      </c>
      <c r="G385" s="69">
        <f>SUM(G386:G387)</f>
        <v>150</v>
      </c>
      <c r="H385" s="69">
        <f>SUM(H386:H387)</f>
        <v>0</v>
      </c>
      <c r="I385" s="69">
        <f t="shared" si="80"/>
        <v>150</v>
      </c>
      <c r="J385" s="69">
        <f>SUM(J386:J387)</f>
        <v>2</v>
      </c>
      <c r="K385" s="85">
        <f t="shared" si="81"/>
        <v>152</v>
      </c>
      <c r="L385" s="13">
        <f>SUM(L386:L387)</f>
        <v>0</v>
      </c>
      <c r="M385" s="85">
        <f t="shared" si="92"/>
        <v>152</v>
      </c>
      <c r="N385" s="13">
        <f>SUM(N386:N387)</f>
        <v>4.8</v>
      </c>
      <c r="O385" s="85">
        <f t="shared" si="93"/>
        <v>156.80000000000001</v>
      </c>
      <c r="P385" s="13">
        <f>SUM(P386:P387)</f>
        <v>18</v>
      </c>
      <c r="Q385" s="85">
        <f t="shared" si="91"/>
        <v>174.8</v>
      </c>
      <c r="R385" s="13">
        <f>SUM(R386:R387)</f>
        <v>0</v>
      </c>
      <c r="S385" s="85">
        <f t="shared" si="89"/>
        <v>174.8</v>
      </c>
      <c r="T385" s="13">
        <f>SUM(T386:T387)</f>
        <v>0</v>
      </c>
      <c r="U385" s="85">
        <f t="shared" si="85"/>
        <v>174.8</v>
      </c>
    </row>
    <row r="386" spans="1:21">
      <c r="A386" s="61" t="str">
        <f ca="1">IF(ISERROR(MATCH(F386,Код_КВР,0)),"",INDIRECT(ADDRESS(MATCH(F386,Код_КВР,0)+1,2,,,"КВР")))</f>
        <v>Уплата налога на имущество организаций и земельного налога</v>
      </c>
      <c r="B386" s="145">
        <v>801</v>
      </c>
      <c r="C386" s="8" t="s">
        <v>196</v>
      </c>
      <c r="D386" s="8" t="s">
        <v>214</v>
      </c>
      <c r="E386" s="145" t="s">
        <v>146</v>
      </c>
      <c r="F386" s="145">
        <v>851</v>
      </c>
      <c r="G386" s="69">
        <v>142</v>
      </c>
      <c r="H386" s="64"/>
      <c r="I386" s="69">
        <f t="shared" si="80"/>
        <v>142</v>
      </c>
      <c r="J386" s="64"/>
      <c r="K386" s="85">
        <f t="shared" si="81"/>
        <v>142</v>
      </c>
      <c r="L386" s="85"/>
      <c r="M386" s="85">
        <f t="shared" si="92"/>
        <v>142</v>
      </c>
      <c r="N386" s="85"/>
      <c r="O386" s="85">
        <f t="shared" si="93"/>
        <v>142</v>
      </c>
      <c r="P386" s="85"/>
      <c r="Q386" s="85">
        <f t="shared" si="91"/>
        <v>142</v>
      </c>
      <c r="R386" s="85"/>
      <c r="S386" s="85">
        <f t="shared" si="89"/>
        <v>142</v>
      </c>
      <c r="T386" s="85"/>
      <c r="U386" s="85">
        <f t="shared" si="85"/>
        <v>142</v>
      </c>
    </row>
    <row r="387" spans="1:21">
      <c r="A387" s="61" t="str">
        <f ca="1">IF(ISERROR(MATCH(F387,Код_КВР,0)),"",INDIRECT(ADDRESS(MATCH(F387,Код_КВР,0)+1,2,,,"КВР")))</f>
        <v>Уплата прочих налогов, сборов и иных платежей</v>
      </c>
      <c r="B387" s="145">
        <v>801</v>
      </c>
      <c r="C387" s="8" t="s">
        <v>196</v>
      </c>
      <c r="D387" s="8" t="s">
        <v>214</v>
      </c>
      <c r="E387" s="145" t="s">
        <v>146</v>
      </c>
      <c r="F387" s="145">
        <v>852</v>
      </c>
      <c r="G387" s="69">
        <v>8</v>
      </c>
      <c r="H387" s="64"/>
      <c r="I387" s="69">
        <f t="shared" si="80"/>
        <v>8</v>
      </c>
      <c r="J387" s="64">
        <v>2</v>
      </c>
      <c r="K387" s="85">
        <f t="shared" si="81"/>
        <v>10</v>
      </c>
      <c r="L387" s="85"/>
      <c r="M387" s="85">
        <f t="shared" si="92"/>
        <v>10</v>
      </c>
      <c r="N387" s="85">
        <v>4.8</v>
      </c>
      <c r="O387" s="85">
        <f t="shared" si="93"/>
        <v>14.8</v>
      </c>
      <c r="P387" s="85">
        <f>6+12</f>
        <v>18</v>
      </c>
      <c r="Q387" s="85">
        <f t="shared" si="91"/>
        <v>32.799999999999997</v>
      </c>
      <c r="R387" s="85"/>
      <c r="S387" s="85">
        <f t="shared" si="89"/>
        <v>32.799999999999997</v>
      </c>
      <c r="T387" s="85"/>
      <c r="U387" s="85">
        <f t="shared" si="85"/>
        <v>32.799999999999997</v>
      </c>
    </row>
    <row r="388" spans="1:21" ht="49.5">
      <c r="A388" s="61" t="str">
        <f ca="1">IF(ISERROR(MATCH(E388,Код_КЦСР,0)),"",INDIRECT(ADDRESS(MATCH(E388,Код_КЦСР,0)+1,2,,,"КЦСР")))</f>
        <v>Опубликование муниципальных правовых актов, конкурсной документации муниципальных заказчиков, изготовление и размещение других материалов по вопросам местного значения в СМИ</v>
      </c>
      <c r="B388" s="145">
        <v>801</v>
      </c>
      <c r="C388" s="8" t="s">
        <v>196</v>
      </c>
      <c r="D388" s="8" t="s">
        <v>214</v>
      </c>
      <c r="E388" s="145" t="s">
        <v>148</v>
      </c>
      <c r="F388" s="145"/>
      <c r="G388" s="69">
        <f t="shared" ref="G388:T390" si="96">G389</f>
        <v>20904.8</v>
      </c>
      <c r="H388" s="69">
        <f t="shared" si="96"/>
        <v>0</v>
      </c>
      <c r="I388" s="69">
        <f t="shared" si="80"/>
        <v>20904.8</v>
      </c>
      <c r="J388" s="69">
        <f t="shared" si="96"/>
        <v>0</v>
      </c>
      <c r="K388" s="85">
        <f t="shared" si="81"/>
        <v>20904.8</v>
      </c>
      <c r="L388" s="13">
        <f t="shared" si="96"/>
        <v>0</v>
      </c>
      <c r="M388" s="85">
        <f t="shared" si="92"/>
        <v>20904.8</v>
      </c>
      <c r="N388" s="13">
        <f t="shared" si="96"/>
        <v>0</v>
      </c>
      <c r="O388" s="85">
        <f t="shared" si="93"/>
        <v>20904.8</v>
      </c>
      <c r="P388" s="13">
        <f t="shared" si="96"/>
        <v>0</v>
      </c>
      <c r="Q388" s="85">
        <f t="shared" si="91"/>
        <v>20904.8</v>
      </c>
      <c r="R388" s="13">
        <f t="shared" si="96"/>
        <v>3045.4</v>
      </c>
      <c r="S388" s="85">
        <f t="shared" si="89"/>
        <v>23950.2</v>
      </c>
      <c r="T388" s="13">
        <f t="shared" si="96"/>
        <v>0</v>
      </c>
      <c r="U388" s="85">
        <f t="shared" si="85"/>
        <v>23950.2</v>
      </c>
    </row>
    <row r="389" spans="1:21">
      <c r="A389" s="61" t="str">
        <f ca="1">IF(ISERROR(MATCH(F389,Код_КВР,0)),"",INDIRECT(ADDRESS(MATCH(F389,Код_КВР,0)+1,2,,,"КВР")))</f>
        <v>Закупка товаров, работ и услуг для муниципальных нужд</v>
      </c>
      <c r="B389" s="145">
        <v>801</v>
      </c>
      <c r="C389" s="8" t="s">
        <v>196</v>
      </c>
      <c r="D389" s="8" t="s">
        <v>214</v>
      </c>
      <c r="E389" s="145" t="s">
        <v>148</v>
      </c>
      <c r="F389" s="145">
        <v>200</v>
      </c>
      <c r="G389" s="69">
        <f t="shared" si="96"/>
        <v>20904.8</v>
      </c>
      <c r="H389" s="69">
        <f t="shared" si="96"/>
        <v>0</v>
      </c>
      <c r="I389" s="69">
        <f t="shared" si="80"/>
        <v>20904.8</v>
      </c>
      <c r="J389" s="69">
        <f t="shared" si="96"/>
        <v>0</v>
      </c>
      <c r="K389" s="85">
        <f t="shared" si="81"/>
        <v>20904.8</v>
      </c>
      <c r="L389" s="13">
        <f t="shared" si="96"/>
        <v>0</v>
      </c>
      <c r="M389" s="85">
        <f t="shared" si="92"/>
        <v>20904.8</v>
      </c>
      <c r="N389" s="13">
        <f t="shared" si="96"/>
        <v>0</v>
      </c>
      <c r="O389" s="85">
        <f t="shared" si="93"/>
        <v>20904.8</v>
      </c>
      <c r="P389" s="13">
        <f t="shared" si="96"/>
        <v>0</v>
      </c>
      <c r="Q389" s="85">
        <f t="shared" si="91"/>
        <v>20904.8</v>
      </c>
      <c r="R389" s="13">
        <f t="shared" si="96"/>
        <v>3045.4</v>
      </c>
      <c r="S389" s="85">
        <f t="shared" si="89"/>
        <v>23950.2</v>
      </c>
      <c r="T389" s="13">
        <f t="shared" si="96"/>
        <v>0</v>
      </c>
      <c r="U389" s="85">
        <f t="shared" si="85"/>
        <v>23950.2</v>
      </c>
    </row>
    <row r="390" spans="1:21" ht="33">
      <c r="A390" s="61" t="str">
        <f ca="1">IF(ISERROR(MATCH(F390,Код_КВР,0)),"",INDIRECT(ADDRESS(MATCH(F390,Код_КВР,0)+1,2,,,"КВР")))</f>
        <v>Иные закупки товаров, работ и услуг для обеспечения муниципальных нужд</v>
      </c>
      <c r="B390" s="145">
        <v>801</v>
      </c>
      <c r="C390" s="8" t="s">
        <v>196</v>
      </c>
      <c r="D390" s="8" t="s">
        <v>214</v>
      </c>
      <c r="E390" s="145" t="s">
        <v>148</v>
      </c>
      <c r="F390" s="145">
        <v>240</v>
      </c>
      <c r="G390" s="69">
        <f t="shared" si="96"/>
        <v>20904.8</v>
      </c>
      <c r="H390" s="69">
        <f t="shared" si="96"/>
        <v>0</v>
      </c>
      <c r="I390" s="69">
        <f t="shared" si="80"/>
        <v>20904.8</v>
      </c>
      <c r="J390" s="69">
        <f t="shared" si="96"/>
        <v>0</v>
      </c>
      <c r="K390" s="85">
        <f t="shared" si="81"/>
        <v>20904.8</v>
      </c>
      <c r="L390" s="13">
        <f t="shared" si="96"/>
        <v>0</v>
      </c>
      <c r="M390" s="85">
        <f t="shared" si="92"/>
        <v>20904.8</v>
      </c>
      <c r="N390" s="13">
        <f t="shared" si="96"/>
        <v>0</v>
      </c>
      <c r="O390" s="85">
        <f t="shared" si="93"/>
        <v>20904.8</v>
      </c>
      <c r="P390" s="13">
        <f t="shared" si="96"/>
        <v>0</v>
      </c>
      <c r="Q390" s="85">
        <f t="shared" si="91"/>
        <v>20904.8</v>
      </c>
      <c r="R390" s="13">
        <f t="shared" si="96"/>
        <v>3045.4</v>
      </c>
      <c r="S390" s="85">
        <f t="shared" si="89"/>
        <v>23950.2</v>
      </c>
      <c r="T390" s="13">
        <f t="shared" si="96"/>
        <v>0</v>
      </c>
      <c r="U390" s="85">
        <f t="shared" si="85"/>
        <v>23950.2</v>
      </c>
    </row>
    <row r="391" spans="1:21" ht="33">
      <c r="A391" s="61" t="str">
        <f ca="1">IF(ISERROR(MATCH(F391,Код_КВР,0)),"",INDIRECT(ADDRESS(MATCH(F391,Код_КВР,0)+1,2,,,"КВР")))</f>
        <v xml:space="preserve">Прочая закупка товаров, работ и услуг для обеспечения муниципальных нужд         </v>
      </c>
      <c r="B391" s="145">
        <v>801</v>
      </c>
      <c r="C391" s="8" t="s">
        <v>196</v>
      </c>
      <c r="D391" s="8" t="s">
        <v>214</v>
      </c>
      <c r="E391" s="145" t="s">
        <v>148</v>
      </c>
      <c r="F391" s="145">
        <v>244</v>
      </c>
      <c r="G391" s="69">
        <v>20904.8</v>
      </c>
      <c r="H391" s="64"/>
      <c r="I391" s="69">
        <f t="shared" si="80"/>
        <v>20904.8</v>
      </c>
      <c r="J391" s="64"/>
      <c r="K391" s="85">
        <f t="shared" si="81"/>
        <v>20904.8</v>
      </c>
      <c r="L391" s="85"/>
      <c r="M391" s="85">
        <f t="shared" si="92"/>
        <v>20904.8</v>
      </c>
      <c r="N391" s="85"/>
      <c r="O391" s="85">
        <f t="shared" si="93"/>
        <v>20904.8</v>
      </c>
      <c r="P391" s="85"/>
      <c r="Q391" s="85">
        <f t="shared" si="91"/>
        <v>20904.8</v>
      </c>
      <c r="R391" s="85">
        <v>3045.4</v>
      </c>
      <c r="S391" s="85">
        <f t="shared" si="89"/>
        <v>23950.2</v>
      </c>
      <c r="T391" s="85"/>
      <c r="U391" s="85">
        <f t="shared" si="85"/>
        <v>23950.2</v>
      </c>
    </row>
    <row r="392" spans="1:21">
      <c r="A392" s="61" t="str">
        <f ca="1">IF(ISERROR(MATCH(B392,Код_ППП,0)),"",INDIRECT(ADDRESS(MATCH(B392,Код_ППП,0)+1,2,,,"ППП")))</f>
        <v>ЧЕРЕПОВЕЦКАЯ ГОРОДСКАЯ ДУМА</v>
      </c>
      <c r="B392" s="145">
        <v>802</v>
      </c>
      <c r="C392" s="8"/>
      <c r="D392" s="8"/>
      <c r="E392" s="145"/>
      <c r="F392" s="145"/>
      <c r="G392" s="69">
        <f t="shared" ref="G392:H396" si="97">G393</f>
        <v>28887.4</v>
      </c>
      <c r="H392" s="69">
        <f t="shared" si="97"/>
        <v>0</v>
      </c>
      <c r="I392" s="69">
        <f t="shared" si="80"/>
        <v>28887.4</v>
      </c>
      <c r="J392" s="69">
        <f>J393</f>
        <v>-8530.4</v>
      </c>
      <c r="K392" s="85">
        <f t="shared" si="81"/>
        <v>20357</v>
      </c>
      <c r="L392" s="13">
        <f>L393</f>
        <v>0</v>
      </c>
      <c r="M392" s="85">
        <f t="shared" si="92"/>
        <v>20357</v>
      </c>
      <c r="N392" s="13">
        <f>N393</f>
        <v>0</v>
      </c>
      <c r="O392" s="85">
        <f t="shared" si="93"/>
        <v>20357</v>
      </c>
      <c r="P392" s="13">
        <f>P393</f>
        <v>0</v>
      </c>
      <c r="Q392" s="85">
        <f t="shared" si="91"/>
        <v>20357</v>
      </c>
      <c r="R392" s="13">
        <f>R393</f>
        <v>-209.8</v>
      </c>
      <c r="S392" s="85">
        <f t="shared" si="89"/>
        <v>20147.2</v>
      </c>
      <c r="T392" s="13">
        <f>T393</f>
        <v>0</v>
      </c>
      <c r="U392" s="85">
        <f t="shared" si="85"/>
        <v>20147.2</v>
      </c>
    </row>
    <row r="393" spans="1:21">
      <c r="A393" s="61" t="str">
        <f ca="1">IF(ISERROR(MATCH(C393,Код_Раздел,0)),"",INDIRECT(ADDRESS(MATCH(C393,Код_Раздел,0)+1,2,,,"Раздел")))</f>
        <v>Общегосударственные  вопросы</v>
      </c>
      <c r="B393" s="145">
        <v>802</v>
      </c>
      <c r="C393" s="8" t="s">
        <v>213</v>
      </c>
      <c r="D393" s="8"/>
      <c r="E393" s="145"/>
      <c r="F393" s="145"/>
      <c r="G393" s="69">
        <f t="shared" si="97"/>
        <v>28887.4</v>
      </c>
      <c r="H393" s="69">
        <f t="shared" si="97"/>
        <v>0</v>
      </c>
      <c r="I393" s="69">
        <f t="shared" si="80"/>
        <v>28887.4</v>
      </c>
      <c r="J393" s="69">
        <f>J394</f>
        <v>-8530.4</v>
      </c>
      <c r="K393" s="85">
        <f t="shared" si="81"/>
        <v>20357</v>
      </c>
      <c r="L393" s="13">
        <f>L394</f>
        <v>0</v>
      </c>
      <c r="M393" s="85">
        <f t="shared" si="92"/>
        <v>20357</v>
      </c>
      <c r="N393" s="13">
        <f>N394</f>
        <v>0</v>
      </c>
      <c r="O393" s="85">
        <f t="shared" si="93"/>
        <v>20357</v>
      </c>
      <c r="P393" s="13">
        <f>P394</f>
        <v>0</v>
      </c>
      <c r="Q393" s="85">
        <f t="shared" si="91"/>
        <v>20357</v>
      </c>
      <c r="R393" s="13">
        <f>R394</f>
        <v>-209.8</v>
      </c>
      <c r="S393" s="85">
        <f t="shared" si="89"/>
        <v>20147.2</v>
      </c>
      <c r="T393" s="13">
        <f>T394</f>
        <v>0</v>
      </c>
      <c r="U393" s="85">
        <f t="shared" si="85"/>
        <v>20147.2</v>
      </c>
    </row>
    <row r="394" spans="1:21" ht="49.5">
      <c r="A394" s="12" t="s">
        <v>168</v>
      </c>
      <c r="B394" s="145">
        <v>802</v>
      </c>
      <c r="C394" s="8" t="s">
        <v>213</v>
      </c>
      <c r="D394" s="8" t="s">
        <v>215</v>
      </c>
      <c r="E394" s="145"/>
      <c r="F394" s="145"/>
      <c r="G394" s="69">
        <f t="shared" si="97"/>
        <v>28887.4</v>
      </c>
      <c r="H394" s="69">
        <f t="shared" si="97"/>
        <v>0</v>
      </c>
      <c r="I394" s="69">
        <f t="shared" si="80"/>
        <v>28887.4</v>
      </c>
      <c r="J394" s="69">
        <f>J395</f>
        <v>-8530.4</v>
      </c>
      <c r="K394" s="85">
        <f t="shared" si="81"/>
        <v>20357</v>
      </c>
      <c r="L394" s="13">
        <f>L395</f>
        <v>0</v>
      </c>
      <c r="M394" s="85">
        <f t="shared" si="92"/>
        <v>20357</v>
      </c>
      <c r="N394" s="13">
        <f>N395</f>
        <v>0</v>
      </c>
      <c r="O394" s="85">
        <f t="shared" si="93"/>
        <v>20357</v>
      </c>
      <c r="P394" s="13">
        <f>P395</f>
        <v>0</v>
      </c>
      <c r="Q394" s="85">
        <f t="shared" si="91"/>
        <v>20357</v>
      </c>
      <c r="R394" s="13">
        <f>R395</f>
        <v>-209.8</v>
      </c>
      <c r="S394" s="85">
        <f t="shared" si="89"/>
        <v>20147.2</v>
      </c>
      <c r="T394" s="13">
        <f>T395</f>
        <v>0</v>
      </c>
      <c r="U394" s="85">
        <f t="shared" si="85"/>
        <v>20147.2</v>
      </c>
    </row>
    <row r="395" spans="1:21" ht="33">
      <c r="A395" s="61" t="str">
        <f ca="1">IF(ISERROR(MATCH(E395,Код_КЦСР,0)),"",INDIRECT(ADDRESS(MATCH(E395,Код_КЦСР,0)+1,2,,,"КЦСР")))</f>
        <v>Непрограммные направления деятельности органов местного самоуправления</v>
      </c>
      <c r="B395" s="145">
        <v>802</v>
      </c>
      <c r="C395" s="8" t="s">
        <v>213</v>
      </c>
      <c r="D395" s="8" t="s">
        <v>215</v>
      </c>
      <c r="E395" s="145" t="s">
        <v>299</v>
      </c>
      <c r="F395" s="145"/>
      <c r="G395" s="69">
        <f t="shared" si="97"/>
        <v>28887.4</v>
      </c>
      <c r="H395" s="69">
        <f t="shared" si="97"/>
        <v>0</v>
      </c>
      <c r="I395" s="69">
        <f t="shared" si="80"/>
        <v>28887.4</v>
      </c>
      <c r="J395" s="69">
        <f>J396</f>
        <v>-8530.4</v>
      </c>
      <c r="K395" s="85">
        <f t="shared" si="81"/>
        <v>20357</v>
      </c>
      <c r="L395" s="13">
        <f>L396</f>
        <v>0</v>
      </c>
      <c r="M395" s="85">
        <f t="shared" si="92"/>
        <v>20357</v>
      </c>
      <c r="N395" s="13">
        <f>N396</f>
        <v>0</v>
      </c>
      <c r="O395" s="85">
        <f t="shared" si="93"/>
        <v>20357</v>
      </c>
      <c r="P395" s="13">
        <f>P396</f>
        <v>0</v>
      </c>
      <c r="Q395" s="85">
        <f t="shared" si="91"/>
        <v>20357</v>
      </c>
      <c r="R395" s="13">
        <f>R396</f>
        <v>-209.8</v>
      </c>
      <c r="S395" s="85">
        <f t="shared" si="89"/>
        <v>20147.2</v>
      </c>
      <c r="T395" s="13">
        <f>T396</f>
        <v>0</v>
      </c>
      <c r="U395" s="85">
        <f t="shared" si="85"/>
        <v>20147.2</v>
      </c>
    </row>
    <row r="396" spans="1:21">
      <c r="A396" s="61" t="str">
        <f ca="1">IF(ISERROR(MATCH(E396,Код_КЦСР,0)),"",INDIRECT(ADDRESS(MATCH(E396,Код_КЦСР,0)+1,2,,,"КЦСР")))</f>
        <v>Расходы, не включенные в муниципальные программы города Череповца</v>
      </c>
      <c r="B396" s="145">
        <v>802</v>
      </c>
      <c r="C396" s="8" t="s">
        <v>213</v>
      </c>
      <c r="D396" s="8" t="s">
        <v>215</v>
      </c>
      <c r="E396" s="145" t="s">
        <v>301</v>
      </c>
      <c r="F396" s="145"/>
      <c r="G396" s="69">
        <f t="shared" si="97"/>
        <v>28887.4</v>
      </c>
      <c r="H396" s="69">
        <f t="shared" si="97"/>
        <v>0</v>
      </c>
      <c r="I396" s="69">
        <f t="shared" si="80"/>
        <v>28887.4</v>
      </c>
      <c r="J396" s="69">
        <f>J397</f>
        <v>-8530.4</v>
      </c>
      <c r="K396" s="85">
        <f t="shared" si="81"/>
        <v>20357</v>
      </c>
      <c r="L396" s="13">
        <f>L397</f>
        <v>0</v>
      </c>
      <c r="M396" s="85">
        <f t="shared" si="92"/>
        <v>20357</v>
      </c>
      <c r="N396" s="13">
        <f>N397</f>
        <v>0</v>
      </c>
      <c r="O396" s="85">
        <f t="shared" si="93"/>
        <v>20357</v>
      </c>
      <c r="P396" s="13">
        <f>P397</f>
        <v>0</v>
      </c>
      <c r="Q396" s="85">
        <f t="shared" si="91"/>
        <v>20357</v>
      </c>
      <c r="R396" s="13">
        <f>R397</f>
        <v>-209.8</v>
      </c>
      <c r="S396" s="85">
        <f t="shared" si="89"/>
        <v>20147.2</v>
      </c>
      <c r="T396" s="13">
        <f>T397</f>
        <v>0</v>
      </c>
      <c r="U396" s="85">
        <f t="shared" si="85"/>
        <v>20147.2</v>
      </c>
    </row>
    <row r="397" spans="1:21" ht="33">
      <c r="A397" s="61" t="str">
        <f ca="1">IF(ISERROR(MATCH(E397,Код_КЦСР,0)),"",INDIRECT(ADDRESS(MATCH(E397,Код_КЦСР,0)+1,2,,,"КЦСР")))</f>
        <v>Руководство и управление в сфере установленных функций органов местного самоуправления</v>
      </c>
      <c r="B397" s="145">
        <v>802</v>
      </c>
      <c r="C397" s="8" t="s">
        <v>213</v>
      </c>
      <c r="D397" s="8" t="s">
        <v>215</v>
      </c>
      <c r="E397" s="145" t="s">
        <v>303</v>
      </c>
      <c r="F397" s="145"/>
      <c r="G397" s="69">
        <f>G398+G408+G411</f>
        <v>28887.4</v>
      </c>
      <c r="H397" s="69">
        <f>H398+H408+H411</f>
        <v>0</v>
      </c>
      <c r="I397" s="69">
        <f t="shared" ref="I397:I476" si="98">G397+H397</f>
        <v>28887.4</v>
      </c>
      <c r="J397" s="69">
        <f>J398+J408+J411</f>
        <v>-8530.4</v>
      </c>
      <c r="K397" s="85">
        <f t="shared" ref="K397:K470" si="99">I397+J397</f>
        <v>20357</v>
      </c>
      <c r="L397" s="13">
        <f>L398+L408+L411</f>
        <v>0</v>
      </c>
      <c r="M397" s="85">
        <f t="shared" si="92"/>
        <v>20357</v>
      </c>
      <c r="N397" s="13">
        <f>N398+N408+N411</f>
        <v>0</v>
      </c>
      <c r="O397" s="85">
        <f t="shared" si="93"/>
        <v>20357</v>
      </c>
      <c r="P397" s="13">
        <f>P398+P408+P411</f>
        <v>0</v>
      </c>
      <c r="Q397" s="85">
        <f t="shared" si="91"/>
        <v>20357</v>
      </c>
      <c r="R397" s="13">
        <f>R398+R408+R411</f>
        <v>-209.8</v>
      </c>
      <c r="S397" s="85">
        <f t="shared" si="89"/>
        <v>20147.2</v>
      </c>
      <c r="T397" s="13">
        <f>T398+T408+T411</f>
        <v>0</v>
      </c>
      <c r="U397" s="85">
        <f t="shared" si="85"/>
        <v>20147.2</v>
      </c>
    </row>
    <row r="398" spans="1:21">
      <c r="A398" s="61" t="str">
        <f ca="1">IF(ISERROR(MATCH(E398,Код_КЦСР,0)),"",INDIRECT(ADDRESS(MATCH(E398,Код_КЦСР,0)+1,2,,,"КЦСР")))</f>
        <v>Центральный аппарат</v>
      </c>
      <c r="B398" s="145">
        <v>802</v>
      </c>
      <c r="C398" s="8" t="s">
        <v>213</v>
      </c>
      <c r="D398" s="8" t="s">
        <v>215</v>
      </c>
      <c r="E398" s="145" t="s">
        <v>306</v>
      </c>
      <c r="F398" s="145"/>
      <c r="G398" s="69">
        <f>G399+G401+G404</f>
        <v>22979.500000000004</v>
      </c>
      <c r="H398" s="69">
        <f>H399+H401+H404</f>
        <v>0</v>
      </c>
      <c r="I398" s="69">
        <f t="shared" si="98"/>
        <v>22979.500000000004</v>
      </c>
      <c r="J398" s="69">
        <f>J399+J401+J404</f>
        <v>-8530.4</v>
      </c>
      <c r="K398" s="85">
        <f t="shared" si="99"/>
        <v>14449.100000000004</v>
      </c>
      <c r="L398" s="13">
        <f>L399+L401+L404</f>
        <v>0</v>
      </c>
      <c r="M398" s="85">
        <f t="shared" si="92"/>
        <v>14449.100000000004</v>
      </c>
      <c r="N398" s="13">
        <f>N399+N401+N404</f>
        <v>0</v>
      </c>
      <c r="O398" s="85">
        <f t="shared" si="93"/>
        <v>14449.100000000004</v>
      </c>
      <c r="P398" s="13">
        <f>P399+P401+P404</f>
        <v>0</v>
      </c>
      <c r="Q398" s="85">
        <f t="shared" si="91"/>
        <v>14449.100000000004</v>
      </c>
      <c r="R398" s="13">
        <f>R399+R401+R404</f>
        <v>-209.8</v>
      </c>
      <c r="S398" s="85">
        <f t="shared" si="89"/>
        <v>14239.300000000005</v>
      </c>
      <c r="T398" s="13">
        <f>T399+T401+T404</f>
        <v>0</v>
      </c>
      <c r="U398" s="85">
        <f t="shared" si="85"/>
        <v>14239.300000000005</v>
      </c>
    </row>
    <row r="399" spans="1:21" ht="33">
      <c r="A399" s="61" t="str">
        <f t="shared" ref="A399:A405" ca="1" si="100">IF(ISERROR(MATCH(F399,Код_КВР,0)),"",INDIRECT(ADDRESS(MATCH(F399,Код_КВР,0)+1,2,,,"КВР")))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399" s="145">
        <v>802</v>
      </c>
      <c r="C399" s="8" t="s">
        <v>213</v>
      </c>
      <c r="D399" s="8" t="s">
        <v>215</v>
      </c>
      <c r="E399" s="145" t="s">
        <v>306</v>
      </c>
      <c r="F399" s="145">
        <v>100</v>
      </c>
      <c r="G399" s="69">
        <f>G400</f>
        <v>21566.300000000003</v>
      </c>
      <c r="H399" s="69">
        <f>H400</f>
        <v>0</v>
      </c>
      <c r="I399" s="69">
        <f t="shared" si="98"/>
        <v>21566.300000000003</v>
      </c>
      <c r="J399" s="69">
        <f>J400</f>
        <v>-8140.3</v>
      </c>
      <c r="K399" s="85">
        <f t="shared" si="99"/>
        <v>13426.000000000004</v>
      </c>
      <c r="L399" s="13">
        <f>L400</f>
        <v>0</v>
      </c>
      <c r="M399" s="85">
        <f t="shared" si="92"/>
        <v>13426.000000000004</v>
      </c>
      <c r="N399" s="13">
        <f>N400</f>
        <v>0</v>
      </c>
      <c r="O399" s="85">
        <f t="shared" si="93"/>
        <v>13426.000000000004</v>
      </c>
      <c r="P399" s="13">
        <f>P400</f>
        <v>0</v>
      </c>
      <c r="Q399" s="85">
        <f t="shared" si="91"/>
        <v>13426.000000000004</v>
      </c>
      <c r="R399" s="13">
        <f>R400</f>
        <v>-209.8</v>
      </c>
      <c r="S399" s="85">
        <f t="shared" si="89"/>
        <v>13216.200000000004</v>
      </c>
      <c r="T399" s="13">
        <f>T400</f>
        <v>0</v>
      </c>
      <c r="U399" s="85">
        <f t="shared" si="85"/>
        <v>13216.200000000004</v>
      </c>
    </row>
    <row r="400" spans="1:21">
      <c r="A400" s="61" t="str">
        <f t="shared" ca="1" si="100"/>
        <v>Расходы на выплаты персоналу муниципальных органов</v>
      </c>
      <c r="B400" s="145">
        <v>802</v>
      </c>
      <c r="C400" s="8" t="s">
        <v>213</v>
      </c>
      <c r="D400" s="8" t="s">
        <v>215</v>
      </c>
      <c r="E400" s="145" t="s">
        <v>306</v>
      </c>
      <c r="F400" s="145">
        <v>120</v>
      </c>
      <c r="G400" s="69">
        <f>21202.4+363.9</f>
        <v>21566.300000000003</v>
      </c>
      <c r="H400" s="64"/>
      <c r="I400" s="69">
        <f t="shared" si="98"/>
        <v>21566.300000000003</v>
      </c>
      <c r="J400" s="64">
        <v>-8140.3</v>
      </c>
      <c r="K400" s="85">
        <f t="shared" si="99"/>
        <v>13426.000000000004</v>
      </c>
      <c r="L400" s="85"/>
      <c r="M400" s="85">
        <f t="shared" si="92"/>
        <v>13426.000000000004</v>
      </c>
      <c r="N400" s="85"/>
      <c r="O400" s="85">
        <f t="shared" si="93"/>
        <v>13426.000000000004</v>
      </c>
      <c r="P400" s="85"/>
      <c r="Q400" s="85">
        <f t="shared" si="91"/>
        <v>13426.000000000004</v>
      </c>
      <c r="R400" s="85">
        <v>-209.8</v>
      </c>
      <c r="S400" s="85">
        <f t="shared" si="89"/>
        <v>13216.200000000004</v>
      </c>
      <c r="T400" s="85"/>
      <c r="U400" s="85">
        <f t="shared" si="85"/>
        <v>13216.200000000004</v>
      </c>
    </row>
    <row r="401" spans="1:22">
      <c r="A401" s="61" t="str">
        <f t="shared" ca="1" si="100"/>
        <v>Закупка товаров, работ и услуг для муниципальных нужд</v>
      </c>
      <c r="B401" s="145">
        <v>802</v>
      </c>
      <c r="C401" s="8" t="s">
        <v>213</v>
      </c>
      <c r="D401" s="8" t="s">
        <v>215</v>
      </c>
      <c r="E401" s="145" t="s">
        <v>306</v>
      </c>
      <c r="F401" s="145">
        <v>200</v>
      </c>
      <c r="G401" s="69">
        <f>G402</f>
        <v>1410.8</v>
      </c>
      <c r="H401" s="69">
        <f>H402</f>
        <v>0</v>
      </c>
      <c r="I401" s="69">
        <f t="shared" si="98"/>
        <v>1410.8</v>
      </c>
      <c r="J401" s="69">
        <f>J402</f>
        <v>-390.1</v>
      </c>
      <c r="K401" s="85">
        <f t="shared" si="99"/>
        <v>1020.6999999999999</v>
      </c>
      <c r="L401" s="13">
        <f>L402</f>
        <v>0</v>
      </c>
      <c r="M401" s="85">
        <f t="shared" si="92"/>
        <v>1020.6999999999999</v>
      </c>
      <c r="N401" s="13">
        <f>N402</f>
        <v>0</v>
      </c>
      <c r="O401" s="85">
        <f t="shared" si="93"/>
        <v>1020.6999999999999</v>
      </c>
      <c r="P401" s="13">
        <f>P402</f>
        <v>0</v>
      </c>
      <c r="Q401" s="85">
        <f t="shared" si="91"/>
        <v>1020.6999999999999</v>
      </c>
      <c r="R401" s="13">
        <f>R402</f>
        <v>0</v>
      </c>
      <c r="S401" s="85">
        <f t="shared" si="89"/>
        <v>1020.6999999999999</v>
      </c>
      <c r="T401" s="13">
        <f>T402</f>
        <v>0</v>
      </c>
      <c r="U401" s="85">
        <f t="shared" si="85"/>
        <v>1020.6999999999999</v>
      </c>
    </row>
    <row r="402" spans="1:22" ht="33">
      <c r="A402" s="61" t="str">
        <f t="shared" ca="1" si="100"/>
        <v>Иные закупки товаров, работ и услуг для обеспечения муниципальных нужд</v>
      </c>
      <c r="B402" s="145">
        <v>802</v>
      </c>
      <c r="C402" s="8" t="s">
        <v>213</v>
      </c>
      <c r="D402" s="8" t="s">
        <v>215</v>
      </c>
      <c r="E402" s="145" t="s">
        <v>306</v>
      </c>
      <c r="F402" s="145">
        <v>240</v>
      </c>
      <c r="G402" s="69">
        <f>G403</f>
        <v>1410.8</v>
      </c>
      <c r="H402" s="64"/>
      <c r="I402" s="69">
        <f t="shared" si="98"/>
        <v>1410.8</v>
      </c>
      <c r="J402" s="64">
        <f>J403</f>
        <v>-390.1</v>
      </c>
      <c r="K402" s="85">
        <f t="shared" si="99"/>
        <v>1020.6999999999999</v>
      </c>
      <c r="L402" s="85">
        <f>L403</f>
        <v>0</v>
      </c>
      <c r="M402" s="85">
        <f t="shared" si="92"/>
        <v>1020.6999999999999</v>
      </c>
      <c r="N402" s="85">
        <f>N403</f>
        <v>0</v>
      </c>
      <c r="O402" s="85">
        <f t="shared" si="93"/>
        <v>1020.6999999999999</v>
      </c>
      <c r="P402" s="85">
        <f>P403</f>
        <v>0</v>
      </c>
      <c r="Q402" s="85">
        <f t="shared" si="91"/>
        <v>1020.6999999999999</v>
      </c>
      <c r="R402" s="85">
        <f>R403</f>
        <v>0</v>
      </c>
      <c r="S402" s="85">
        <f t="shared" si="89"/>
        <v>1020.6999999999999</v>
      </c>
      <c r="T402" s="85">
        <f>T403</f>
        <v>0</v>
      </c>
      <c r="U402" s="85">
        <f t="shared" si="85"/>
        <v>1020.6999999999999</v>
      </c>
    </row>
    <row r="403" spans="1:22" ht="33">
      <c r="A403" s="61" t="str">
        <f t="shared" ca="1" si="100"/>
        <v xml:space="preserve">Прочая закупка товаров, работ и услуг для обеспечения муниципальных нужд         </v>
      </c>
      <c r="B403" s="145">
        <v>802</v>
      </c>
      <c r="C403" s="8" t="s">
        <v>213</v>
      </c>
      <c r="D403" s="8" t="s">
        <v>215</v>
      </c>
      <c r="E403" s="145" t="s">
        <v>306</v>
      </c>
      <c r="F403" s="145">
        <v>244</v>
      </c>
      <c r="G403" s="69">
        <v>1410.8</v>
      </c>
      <c r="H403" s="64"/>
      <c r="I403" s="69">
        <f t="shared" si="98"/>
        <v>1410.8</v>
      </c>
      <c r="J403" s="64">
        <v>-390.1</v>
      </c>
      <c r="K403" s="85">
        <f t="shared" si="99"/>
        <v>1020.6999999999999</v>
      </c>
      <c r="L403" s="85"/>
      <c r="M403" s="85">
        <f t="shared" si="92"/>
        <v>1020.6999999999999</v>
      </c>
      <c r="N403" s="85"/>
      <c r="O403" s="85">
        <f t="shared" si="93"/>
        <v>1020.6999999999999</v>
      </c>
      <c r="P403" s="85"/>
      <c r="Q403" s="85">
        <f t="shared" si="91"/>
        <v>1020.6999999999999</v>
      </c>
      <c r="R403" s="85"/>
      <c r="S403" s="85">
        <f t="shared" si="89"/>
        <v>1020.6999999999999</v>
      </c>
      <c r="T403" s="85"/>
      <c r="U403" s="85">
        <f t="shared" si="85"/>
        <v>1020.6999999999999</v>
      </c>
    </row>
    <row r="404" spans="1:22">
      <c r="A404" s="61" t="str">
        <f t="shared" ca="1" si="100"/>
        <v>Иные бюджетные ассигнования</v>
      </c>
      <c r="B404" s="145">
        <v>802</v>
      </c>
      <c r="C404" s="8" t="s">
        <v>213</v>
      </c>
      <c r="D404" s="8" t="s">
        <v>215</v>
      </c>
      <c r="E404" s="145" t="s">
        <v>306</v>
      </c>
      <c r="F404" s="145">
        <v>800</v>
      </c>
      <c r="G404" s="69">
        <f>G405</f>
        <v>2.4</v>
      </c>
      <c r="H404" s="69">
        <f>H405</f>
        <v>0</v>
      </c>
      <c r="I404" s="69">
        <f t="shared" si="98"/>
        <v>2.4</v>
      </c>
      <c r="J404" s="69">
        <f>J405</f>
        <v>0</v>
      </c>
      <c r="K404" s="85">
        <f t="shared" si="99"/>
        <v>2.4</v>
      </c>
      <c r="L404" s="13">
        <f>L405</f>
        <v>0</v>
      </c>
      <c r="M404" s="85">
        <f t="shared" si="92"/>
        <v>2.4</v>
      </c>
      <c r="N404" s="13">
        <f>N405</f>
        <v>0</v>
      </c>
      <c r="O404" s="85">
        <f t="shared" si="93"/>
        <v>2.4</v>
      </c>
      <c r="P404" s="13">
        <f>P405</f>
        <v>0</v>
      </c>
      <c r="Q404" s="85">
        <f t="shared" si="91"/>
        <v>2.4</v>
      </c>
      <c r="R404" s="13">
        <f>R405</f>
        <v>0</v>
      </c>
      <c r="S404" s="85">
        <f t="shared" si="89"/>
        <v>2.4</v>
      </c>
      <c r="T404" s="13">
        <f>T405</f>
        <v>0</v>
      </c>
      <c r="U404" s="85">
        <f t="shared" si="85"/>
        <v>2.4</v>
      </c>
    </row>
    <row r="405" spans="1:22">
      <c r="A405" s="61" t="str">
        <f t="shared" ca="1" si="100"/>
        <v>Уплата налогов, сборов и иных платежей</v>
      </c>
      <c r="B405" s="145">
        <v>802</v>
      </c>
      <c r="C405" s="8" t="s">
        <v>213</v>
      </c>
      <c r="D405" s="8" t="s">
        <v>215</v>
      </c>
      <c r="E405" s="145" t="s">
        <v>306</v>
      </c>
      <c r="F405" s="145">
        <v>850</v>
      </c>
      <c r="G405" s="69">
        <f>G407</f>
        <v>2.4</v>
      </c>
      <c r="H405" s="69">
        <f>H407</f>
        <v>0</v>
      </c>
      <c r="I405" s="69">
        <f t="shared" si="98"/>
        <v>2.4</v>
      </c>
      <c r="J405" s="69">
        <f>J406+J407</f>
        <v>0</v>
      </c>
      <c r="K405" s="85">
        <f t="shared" si="99"/>
        <v>2.4</v>
      </c>
      <c r="L405" s="13">
        <f>L406+L407</f>
        <v>0</v>
      </c>
      <c r="M405" s="85">
        <f t="shared" si="92"/>
        <v>2.4</v>
      </c>
      <c r="N405" s="13">
        <f>N406+N407</f>
        <v>0</v>
      </c>
      <c r="O405" s="85">
        <f t="shared" si="93"/>
        <v>2.4</v>
      </c>
      <c r="P405" s="13">
        <f>P406+P407</f>
        <v>0</v>
      </c>
      <c r="Q405" s="85">
        <f t="shared" si="91"/>
        <v>2.4</v>
      </c>
      <c r="R405" s="13">
        <f>R406+R407</f>
        <v>0</v>
      </c>
      <c r="S405" s="85">
        <f t="shared" si="89"/>
        <v>2.4</v>
      </c>
      <c r="T405" s="13">
        <f>T406+T407</f>
        <v>0</v>
      </c>
      <c r="U405" s="85">
        <f t="shared" si="85"/>
        <v>2.4</v>
      </c>
    </row>
    <row r="406" spans="1:22">
      <c r="A406" s="61" t="str">
        <f ca="1">IF(ISERROR(MATCH(F406,Код_КВР,0)),"",INDIRECT(ADDRESS(MATCH(F406,Код_КВР,0)+1,2,,,"КВР")))</f>
        <v>Уплата налога на имущество организаций и земельного налога</v>
      </c>
      <c r="B406" s="145">
        <v>802</v>
      </c>
      <c r="C406" s="8" t="s">
        <v>213</v>
      </c>
      <c r="D406" s="8" t="s">
        <v>215</v>
      </c>
      <c r="E406" s="145" t="s">
        <v>306</v>
      </c>
      <c r="F406" s="145">
        <v>851</v>
      </c>
      <c r="G406" s="69"/>
      <c r="H406" s="69"/>
      <c r="I406" s="69"/>
      <c r="J406" s="69">
        <v>2.4</v>
      </c>
      <c r="K406" s="85">
        <f t="shared" si="99"/>
        <v>2.4</v>
      </c>
      <c r="L406" s="13"/>
      <c r="M406" s="85">
        <f t="shared" si="92"/>
        <v>2.4</v>
      </c>
      <c r="N406" s="13"/>
      <c r="O406" s="85">
        <f t="shared" si="93"/>
        <v>2.4</v>
      </c>
      <c r="P406" s="13"/>
      <c r="Q406" s="85">
        <f t="shared" si="91"/>
        <v>2.4</v>
      </c>
      <c r="R406" s="13"/>
      <c r="S406" s="85">
        <f t="shared" si="89"/>
        <v>2.4</v>
      </c>
      <c r="T406" s="13"/>
      <c r="U406" s="85">
        <f t="shared" si="85"/>
        <v>2.4</v>
      </c>
    </row>
    <row r="407" spans="1:22">
      <c r="A407" s="61" t="str">
        <f ca="1">IF(ISERROR(MATCH(F407,Код_КВР,0)),"",INDIRECT(ADDRESS(MATCH(F407,Код_КВР,0)+1,2,,,"КВР")))</f>
        <v>Уплата прочих налогов, сборов и иных платежей</v>
      </c>
      <c r="B407" s="145">
        <v>802</v>
      </c>
      <c r="C407" s="8" t="s">
        <v>213</v>
      </c>
      <c r="D407" s="8" t="s">
        <v>215</v>
      </c>
      <c r="E407" s="145" t="s">
        <v>306</v>
      </c>
      <c r="F407" s="145">
        <v>852</v>
      </c>
      <c r="G407" s="69">
        <v>2.4</v>
      </c>
      <c r="H407" s="64"/>
      <c r="I407" s="69">
        <f t="shared" si="98"/>
        <v>2.4</v>
      </c>
      <c r="J407" s="64">
        <v>-2.4</v>
      </c>
      <c r="K407" s="85">
        <f t="shared" si="99"/>
        <v>0</v>
      </c>
      <c r="L407" s="85"/>
      <c r="M407" s="85">
        <f t="shared" si="92"/>
        <v>0</v>
      </c>
      <c r="N407" s="85"/>
      <c r="O407" s="85">
        <f t="shared" si="93"/>
        <v>0</v>
      </c>
      <c r="P407" s="85"/>
      <c r="Q407" s="85">
        <f t="shared" si="91"/>
        <v>0</v>
      </c>
      <c r="R407" s="85"/>
      <c r="S407" s="85">
        <f t="shared" si="89"/>
        <v>0</v>
      </c>
      <c r="T407" s="85"/>
      <c r="U407" s="85">
        <f t="shared" si="85"/>
        <v>0</v>
      </c>
      <c r="V407" s="155"/>
    </row>
    <row r="408" spans="1:22">
      <c r="A408" s="61" t="str">
        <f ca="1">IF(ISERROR(MATCH(E408,Код_КЦСР,0)),"",INDIRECT(ADDRESS(MATCH(E408,Код_КЦСР,0)+1,2,,,"КЦСР")))</f>
        <v>Председатель представительного органа муниципального образования</v>
      </c>
      <c r="B408" s="145">
        <v>802</v>
      </c>
      <c r="C408" s="8" t="s">
        <v>213</v>
      </c>
      <c r="D408" s="8" t="s">
        <v>215</v>
      </c>
      <c r="E408" s="145" t="s">
        <v>307</v>
      </c>
      <c r="F408" s="145"/>
      <c r="G408" s="69">
        <f>G409</f>
        <v>2201.1</v>
      </c>
      <c r="H408" s="69">
        <f>H409</f>
        <v>0</v>
      </c>
      <c r="I408" s="69">
        <f t="shared" si="98"/>
        <v>2201.1</v>
      </c>
      <c r="J408" s="69">
        <f>J409</f>
        <v>0</v>
      </c>
      <c r="K408" s="85">
        <f t="shared" si="99"/>
        <v>2201.1</v>
      </c>
      <c r="L408" s="13">
        <f>L409</f>
        <v>0</v>
      </c>
      <c r="M408" s="85">
        <f t="shared" si="92"/>
        <v>2201.1</v>
      </c>
      <c r="N408" s="13">
        <f>N409</f>
        <v>0</v>
      </c>
      <c r="O408" s="85">
        <f t="shared" si="93"/>
        <v>2201.1</v>
      </c>
      <c r="P408" s="13">
        <f>P409</f>
        <v>0</v>
      </c>
      <c r="Q408" s="85">
        <f t="shared" si="91"/>
        <v>2201.1</v>
      </c>
      <c r="R408" s="13">
        <f>R409</f>
        <v>0</v>
      </c>
      <c r="S408" s="85">
        <f t="shared" si="89"/>
        <v>2201.1</v>
      </c>
      <c r="T408" s="13">
        <f>T409</f>
        <v>0</v>
      </c>
      <c r="U408" s="85">
        <f t="shared" si="85"/>
        <v>2201.1</v>
      </c>
    </row>
    <row r="409" spans="1:22" ht="33">
      <c r="A409" s="61" t="str">
        <f ca="1">IF(ISERROR(MATCH(F409,Код_КВР,0)),"",INDIRECT(ADDRESS(MATCH(F409,Код_КВР,0)+1,2,,,"КВР")))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409" s="145">
        <v>802</v>
      </c>
      <c r="C409" s="8" t="s">
        <v>213</v>
      </c>
      <c r="D409" s="8" t="s">
        <v>215</v>
      </c>
      <c r="E409" s="145" t="s">
        <v>307</v>
      </c>
      <c r="F409" s="145">
        <v>100</v>
      </c>
      <c r="G409" s="69">
        <f>G410</f>
        <v>2201.1</v>
      </c>
      <c r="H409" s="69">
        <f>H410</f>
        <v>0</v>
      </c>
      <c r="I409" s="69">
        <f t="shared" si="98"/>
        <v>2201.1</v>
      </c>
      <c r="J409" s="69">
        <f>J410</f>
        <v>0</v>
      </c>
      <c r="K409" s="85">
        <f t="shared" si="99"/>
        <v>2201.1</v>
      </c>
      <c r="L409" s="13">
        <f>L410</f>
        <v>0</v>
      </c>
      <c r="M409" s="85">
        <f t="shared" si="92"/>
        <v>2201.1</v>
      </c>
      <c r="N409" s="13">
        <f>N410</f>
        <v>0</v>
      </c>
      <c r="O409" s="85">
        <f t="shared" si="93"/>
        <v>2201.1</v>
      </c>
      <c r="P409" s="13">
        <f>P410</f>
        <v>0</v>
      </c>
      <c r="Q409" s="85">
        <f t="shared" si="91"/>
        <v>2201.1</v>
      </c>
      <c r="R409" s="13">
        <f>R410</f>
        <v>0</v>
      </c>
      <c r="S409" s="85">
        <f t="shared" si="89"/>
        <v>2201.1</v>
      </c>
      <c r="T409" s="13">
        <f>T410</f>
        <v>0</v>
      </c>
      <c r="U409" s="85">
        <f t="shared" si="85"/>
        <v>2201.1</v>
      </c>
    </row>
    <row r="410" spans="1:22">
      <c r="A410" s="61" t="str">
        <f ca="1">IF(ISERROR(MATCH(F410,Код_КВР,0)),"",INDIRECT(ADDRESS(MATCH(F410,Код_КВР,0)+1,2,,,"КВР")))</f>
        <v>Расходы на выплаты персоналу муниципальных органов</v>
      </c>
      <c r="B410" s="145">
        <v>802</v>
      </c>
      <c r="C410" s="8" t="s">
        <v>213</v>
      </c>
      <c r="D410" s="8" t="s">
        <v>215</v>
      </c>
      <c r="E410" s="145" t="s">
        <v>307</v>
      </c>
      <c r="F410" s="145">
        <v>120</v>
      </c>
      <c r="G410" s="69">
        <v>2201.1</v>
      </c>
      <c r="H410" s="64"/>
      <c r="I410" s="69">
        <f t="shared" si="98"/>
        <v>2201.1</v>
      </c>
      <c r="J410" s="64"/>
      <c r="K410" s="85">
        <f t="shared" si="99"/>
        <v>2201.1</v>
      </c>
      <c r="L410" s="85"/>
      <c r="M410" s="85">
        <f t="shared" si="92"/>
        <v>2201.1</v>
      </c>
      <c r="N410" s="85"/>
      <c r="O410" s="85">
        <f t="shared" si="93"/>
        <v>2201.1</v>
      </c>
      <c r="P410" s="85"/>
      <c r="Q410" s="85">
        <f t="shared" si="91"/>
        <v>2201.1</v>
      </c>
      <c r="R410" s="85"/>
      <c r="S410" s="85">
        <f t="shared" si="89"/>
        <v>2201.1</v>
      </c>
      <c r="T410" s="85"/>
      <c r="U410" s="85">
        <f t="shared" ref="U410:U473" si="101">S410+T410</f>
        <v>2201.1</v>
      </c>
    </row>
    <row r="411" spans="1:22">
      <c r="A411" s="61" t="str">
        <f ca="1">IF(ISERROR(MATCH(E411,Код_КЦСР,0)),"",INDIRECT(ADDRESS(MATCH(E411,Код_КЦСР,0)+1,2,,,"КЦСР")))</f>
        <v>Депутаты представительного органа муниципального образования</v>
      </c>
      <c r="B411" s="145">
        <v>802</v>
      </c>
      <c r="C411" s="8" t="s">
        <v>213</v>
      </c>
      <c r="D411" s="8" t="s">
        <v>215</v>
      </c>
      <c r="E411" s="145" t="s">
        <v>308</v>
      </c>
      <c r="F411" s="145"/>
      <c r="G411" s="69">
        <f>G412</f>
        <v>3706.8</v>
      </c>
      <c r="H411" s="69">
        <f>H412</f>
        <v>0</v>
      </c>
      <c r="I411" s="69">
        <f t="shared" si="98"/>
        <v>3706.8</v>
      </c>
      <c r="J411" s="69">
        <f>J412</f>
        <v>0</v>
      </c>
      <c r="K411" s="85">
        <f t="shared" si="99"/>
        <v>3706.8</v>
      </c>
      <c r="L411" s="13">
        <f>L412</f>
        <v>0</v>
      </c>
      <c r="M411" s="85">
        <f t="shared" si="92"/>
        <v>3706.8</v>
      </c>
      <c r="N411" s="13">
        <f>N412</f>
        <v>0</v>
      </c>
      <c r="O411" s="85">
        <f t="shared" si="93"/>
        <v>3706.8</v>
      </c>
      <c r="P411" s="13">
        <f>P412</f>
        <v>0</v>
      </c>
      <c r="Q411" s="85">
        <f t="shared" si="91"/>
        <v>3706.8</v>
      </c>
      <c r="R411" s="13">
        <f>R412</f>
        <v>0</v>
      </c>
      <c r="S411" s="85">
        <f t="shared" si="89"/>
        <v>3706.8</v>
      </c>
      <c r="T411" s="13">
        <f>T412</f>
        <v>0</v>
      </c>
      <c r="U411" s="85">
        <f t="shared" si="101"/>
        <v>3706.8</v>
      </c>
    </row>
    <row r="412" spans="1:22" ht="33">
      <c r="A412" s="61" t="str">
        <f ca="1">IF(ISERROR(MATCH(F412,Код_КВР,0)),"",INDIRECT(ADDRESS(MATCH(F412,Код_КВР,0)+1,2,,,"КВР")))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412" s="145">
        <v>802</v>
      </c>
      <c r="C412" s="8" t="s">
        <v>213</v>
      </c>
      <c r="D412" s="8" t="s">
        <v>215</v>
      </c>
      <c r="E412" s="145" t="s">
        <v>308</v>
      </c>
      <c r="F412" s="145">
        <v>100</v>
      </c>
      <c r="G412" s="69">
        <f>G413</f>
        <v>3706.8</v>
      </c>
      <c r="H412" s="69">
        <f>H413</f>
        <v>0</v>
      </c>
      <c r="I412" s="69">
        <f t="shared" si="98"/>
        <v>3706.8</v>
      </c>
      <c r="J412" s="69">
        <f>J413</f>
        <v>0</v>
      </c>
      <c r="K412" s="85">
        <f t="shared" si="99"/>
        <v>3706.8</v>
      </c>
      <c r="L412" s="13">
        <f>L413</f>
        <v>0</v>
      </c>
      <c r="M412" s="85">
        <f t="shared" si="92"/>
        <v>3706.8</v>
      </c>
      <c r="N412" s="13">
        <f>N413</f>
        <v>0</v>
      </c>
      <c r="O412" s="85">
        <f t="shared" si="93"/>
        <v>3706.8</v>
      </c>
      <c r="P412" s="13">
        <f>P413</f>
        <v>0</v>
      </c>
      <c r="Q412" s="85">
        <f t="shared" si="91"/>
        <v>3706.8</v>
      </c>
      <c r="R412" s="13">
        <f>R413</f>
        <v>0</v>
      </c>
      <c r="S412" s="85">
        <f t="shared" si="89"/>
        <v>3706.8</v>
      </c>
      <c r="T412" s="13">
        <f>T413</f>
        <v>0</v>
      </c>
      <c r="U412" s="85">
        <f t="shared" si="101"/>
        <v>3706.8</v>
      </c>
    </row>
    <row r="413" spans="1:22">
      <c r="A413" s="61" t="str">
        <f ca="1">IF(ISERROR(MATCH(F413,Код_КВР,0)),"",INDIRECT(ADDRESS(MATCH(F413,Код_КВР,0)+1,2,,,"КВР")))</f>
        <v>Расходы на выплаты персоналу муниципальных органов</v>
      </c>
      <c r="B413" s="145">
        <v>802</v>
      </c>
      <c r="C413" s="8" t="s">
        <v>213</v>
      </c>
      <c r="D413" s="8" t="s">
        <v>215</v>
      </c>
      <c r="E413" s="145" t="s">
        <v>308</v>
      </c>
      <c r="F413" s="145">
        <v>120</v>
      </c>
      <c r="G413" s="69">
        <v>3706.8</v>
      </c>
      <c r="H413" s="64"/>
      <c r="I413" s="69">
        <f t="shared" si="98"/>
        <v>3706.8</v>
      </c>
      <c r="J413" s="64"/>
      <c r="K413" s="85">
        <f t="shared" si="99"/>
        <v>3706.8</v>
      </c>
      <c r="L413" s="85"/>
      <c r="M413" s="85">
        <f t="shared" si="92"/>
        <v>3706.8</v>
      </c>
      <c r="N413" s="85"/>
      <c r="O413" s="85">
        <f t="shared" si="93"/>
        <v>3706.8</v>
      </c>
      <c r="P413" s="85"/>
      <c r="Q413" s="85">
        <f t="shared" si="91"/>
        <v>3706.8</v>
      </c>
      <c r="R413" s="85"/>
      <c r="S413" s="85">
        <f t="shared" si="89"/>
        <v>3706.8</v>
      </c>
      <c r="T413" s="85"/>
      <c r="U413" s="85">
        <f t="shared" si="101"/>
        <v>3706.8</v>
      </c>
    </row>
    <row r="414" spans="1:22" ht="33">
      <c r="A414" s="61" t="str">
        <f ca="1">IF(ISERROR(MATCH(B414,Код_ППП,0)),"",INDIRECT(ADDRESS(MATCH(B414,Код_ППП,0)+1,2,,,"ППП")))</f>
        <v>ДЕПАРТАМЕНТ ЖИЛИЩНО-КОММУНАЛЬНОГО ХОЗЯЙСТВА МЭРИИ ГОРОДА</v>
      </c>
      <c r="B414" s="145">
        <v>803</v>
      </c>
      <c r="C414" s="8"/>
      <c r="D414" s="8"/>
      <c r="E414" s="145"/>
      <c r="F414" s="145"/>
      <c r="G414" s="69">
        <f>G415+G423+G477+G526+G532+G540</f>
        <v>785341.7</v>
      </c>
      <c r="H414" s="69">
        <f>H415+H423+H477+H526+H532+H540</f>
        <v>67187.899999999994</v>
      </c>
      <c r="I414" s="69">
        <f t="shared" si="98"/>
        <v>852529.6</v>
      </c>
      <c r="J414" s="69">
        <f>J415+J423+J477+J526+J532+J540</f>
        <v>-898.90000000000009</v>
      </c>
      <c r="K414" s="85">
        <f t="shared" si="99"/>
        <v>851630.7</v>
      </c>
      <c r="L414" s="13">
        <f>L415+L423+L477+L526+L532+L540</f>
        <v>-6594.8</v>
      </c>
      <c r="M414" s="85">
        <f t="shared" si="92"/>
        <v>845035.89999999991</v>
      </c>
      <c r="N414" s="13">
        <f>N415+N423+N477+N526+N532+N540</f>
        <v>-841</v>
      </c>
      <c r="O414" s="85">
        <f t="shared" si="93"/>
        <v>844194.89999999991</v>
      </c>
      <c r="P414" s="13">
        <f>P415+P423+P477+P526+P532+P540</f>
        <v>-140.19999999999999</v>
      </c>
      <c r="Q414" s="85">
        <f t="shared" si="91"/>
        <v>844054.7</v>
      </c>
      <c r="R414" s="13">
        <f>R415+R423+R477+R526+R532+R540</f>
        <v>362.40000000000146</v>
      </c>
      <c r="S414" s="85">
        <f t="shared" si="89"/>
        <v>844417.1</v>
      </c>
      <c r="T414" s="13">
        <f>T415+T423+T477+T526+T532+T540</f>
        <v>0</v>
      </c>
      <c r="U414" s="85">
        <f t="shared" si="101"/>
        <v>844417.1</v>
      </c>
    </row>
    <row r="415" spans="1:22">
      <c r="A415" s="61" t="str">
        <f ca="1">IF(ISERROR(MATCH(C415,Код_Раздел,0)),"",INDIRECT(ADDRESS(MATCH(C415,Код_Раздел,0)+1,2,,,"Раздел")))</f>
        <v>Общегосударственные  вопросы</v>
      </c>
      <c r="B415" s="145">
        <v>803</v>
      </c>
      <c r="C415" s="8" t="s">
        <v>213</v>
      </c>
      <c r="D415" s="8"/>
      <c r="E415" s="145"/>
      <c r="F415" s="145"/>
      <c r="G415" s="69">
        <f t="shared" ref="G415:T421" si="102">G416</f>
        <v>160</v>
      </c>
      <c r="H415" s="69">
        <f t="shared" si="102"/>
        <v>0</v>
      </c>
      <c r="I415" s="69">
        <f t="shared" si="98"/>
        <v>160</v>
      </c>
      <c r="J415" s="69">
        <f t="shared" si="102"/>
        <v>0</v>
      </c>
      <c r="K415" s="85">
        <f t="shared" si="99"/>
        <v>160</v>
      </c>
      <c r="L415" s="13">
        <f t="shared" si="102"/>
        <v>0</v>
      </c>
      <c r="M415" s="85">
        <f t="shared" si="92"/>
        <v>160</v>
      </c>
      <c r="N415" s="13">
        <f t="shared" si="102"/>
        <v>0</v>
      </c>
      <c r="O415" s="85">
        <f t="shared" si="93"/>
        <v>160</v>
      </c>
      <c r="P415" s="13">
        <f t="shared" si="102"/>
        <v>0</v>
      </c>
      <c r="Q415" s="85">
        <f t="shared" si="91"/>
        <v>160</v>
      </c>
      <c r="R415" s="13">
        <f t="shared" si="102"/>
        <v>0</v>
      </c>
      <c r="S415" s="85">
        <f t="shared" si="89"/>
        <v>160</v>
      </c>
      <c r="T415" s="13">
        <f t="shared" si="102"/>
        <v>0</v>
      </c>
      <c r="U415" s="85">
        <f t="shared" si="101"/>
        <v>160</v>
      </c>
    </row>
    <row r="416" spans="1:22">
      <c r="A416" s="12" t="s">
        <v>237</v>
      </c>
      <c r="B416" s="145">
        <v>803</v>
      </c>
      <c r="C416" s="8" t="s">
        <v>213</v>
      </c>
      <c r="D416" s="8" t="s">
        <v>190</v>
      </c>
      <c r="E416" s="145"/>
      <c r="F416" s="145"/>
      <c r="G416" s="69">
        <f t="shared" si="102"/>
        <v>160</v>
      </c>
      <c r="H416" s="69">
        <f t="shared" si="102"/>
        <v>0</v>
      </c>
      <c r="I416" s="69">
        <f t="shared" si="98"/>
        <v>160</v>
      </c>
      <c r="J416" s="69">
        <f t="shared" si="102"/>
        <v>0</v>
      </c>
      <c r="K416" s="85">
        <f t="shared" si="99"/>
        <v>160</v>
      </c>
      <c r="L416" s="13">
        <f t="shared" si="102"/>
        <v>0</v>
      </c>
      <c r="M416" s="85">
        <f t="shared" si="92"/>
        <v>160</v>
      </c>
      <c r="N416" s="13">
        <f t="shared" si="102"/>
        <v>0</v>
      </c>
      <c r="O416" s="85">
        <f t="shared" si="93"/>
        <v>160</v>
      </c>
      <c r="P416" s="13">
        <f t="shared" si="102"/>
        <v>0</v>
      </c>
      <c r="Q416" s="85">
        <f t="shared" si="91"/>
        <v>160</v>
      </c>
      <c r="R416" s="13">
        <f t="shared" si="102"/>
        <v>0</v>
      </c>
      <c r="S416" s="85">
        <f t="shared" si="89"/>
        <v>160</v>
      </c>
      <c r="T416" s="13">
        <f t="shared" si="102"/>
        <v>0</v>
      </c>
      <c r="U416" s="85">
        <f t="shared" si="101"/>
        <v>160</v>
      </c>
    </row>
    <row r="417" spans="1:21" ht="33">
      <c r="A417" s="61" t="str">
        <f ca="1">IF(ISERROR(MATCH(E417,Код_КЦСР,0)),"",INDIRECT(ADDRESS(MATCH(E417,Код_КЦСР,0)+1,2,,,"КЦСР")))</f>
        <v>Муниципальная программа «Развитие жилищно-коммунального хозяйства города Череповца» на 2014-2018 годы</v>
      </c>
      <c r="B417" s="145">
        <v>803</v>
      </c>
      <c r="C417" s="8" t="s">
        <v>213</v>
      </c>
      <c r="D417" s="8" t="s">
        <v>190</v>
      </c>
      <c r="E417" s="145" t="s">
        <v>46</v>
      </c>
      <c r="F417" s="145"/>
      <c r="G417" s="69">
        <f t="shared" si="102"/>
        <v>160</v>
      </c>
      <c r="H417" s="69">
        <f t="shared" si="102"/>
        <v>0</v>
      </c>
      <c r="I417" s="69">
        <f t="shared" si="98"/>
        <v>160</v>
      </c>
      <c r="J417" s="69">
        <f t="shared" si="102"/>
        <v>0</v>
      </c>
      <c r="K417" s="85">
        <f t="shared" si="99"/>
        <v>160</v>
      </c>
      <c r="L417" s="13">
        <f t="shared" si="102"/>
        <v>0</v>
      </c>
      <c r="M417" s="85">
        <f t="shared" si="92"/>
        <v>160</v>
      </c>
      <c r="N417" s="13">
        <f t="shared" si="102"/>
        <v>0</v>
      </c>
      <c r="O417" s="85">
        <f t="shared" si="93"/>
        <v>160</v>
      </c>
      <c r="P417" s="13">
        <f t="shared" si="102"/>
        <v>0</v>
      </c>
      <c r="Q417" s="85">
        <f t="shared" si="91"/>
        <v>160</v>
      </c>
      <c r="R417" s="13">
        <f t="shared" si="102"/>
        <v>0</v>
      </c>
      <c r="S417" s="85">
        <f t="shared" si="89"/>
        <v>160</v>
      </c>
      <c r="T417" s="13">
        <f t="shared" si="102"/>
        <v>0</v>
      </c>
      <c r="U417" s="85">
        <f t="shared" si="101"/>
        <v>160</v>
      </c>
    </row>
    <row r="418" spans="1:21">
      <c r="A418" s="61" t="str">
        <f ca="1">IF(ISERROR(MATCH(E418,Код_КЦСР,0)),"",INDIRECT(ADDRESS(MATCH(E418,Код_КЦСР,0)+1,2,,,"КЦСР")))</f>
        <v>Развитие благоустройства города</v>
      </c>
      <c r="B418" s="145">
        <v>803</v>
      </c>
      <c r="C418" s="8" t="s">
        <v>213</v>
      </c>
      <c r="D418" s="8" t="s">
        <v>190</v>
      </c>
      <c r="E418" s="145" t="s">
        <v>47</v>
      </c>
      <c r="F418" s="145"/>
      <c r="G418" s="69">
        <f t="shared" si="102"/>
        <v>160</v>
      </c>
      <c r="H418" s="69">
        <f t="shared" si="102"/>
        <v>0</v>
      </c>
      <c r="I418" s="69">
        <f t="shared" si="98"/>
        <v>160</v>
      </c>
      <c r="J418" s="69">
        <f t="shared" si="102"/>
        <v>0</v>
      </c>
      <c r="K418" s="85">
        <f t="shared" si="99"/>
        <v>160</v>
      </c>
      <c r="L418" s="13">
        <f t="shared" si="102"/>
        <v>0</v>
      </c>
      <c r="M418" s="85">
        <f t="shared" si="92"/>
        <v>160</v>
      </c>
      <c r="N418" s="13">
        <f t="shared" si="102"/>
        <v>0</v>
      </c>
      <c r="O418" s="85">
        <f t="shared" si="93"/>
        <v>160</v>
      </c>
      <c r="P418" s="13">
        <f t="shared" si="102"/>
        <v>0</v>
      </c>
      <c r="Q418" s="85">
        <f t="shared" si="91"/>
        <v>160</v>
      </c>
      <c r="R418" s="13">
        <f t="shared" si="102"/>
        <v>0</v>
      </c>
      <c r="S418" s="85">
        <f t="shared" si="89"/>
        <v>160</v>
      </c>
      <c r="T418" s="13">
        <f t="shared" si="102"/>
        <v>0</v>
      </c>
      <c r="U418" s="85">
        <f t="shared" si="101"/>
        <v>160</v>
      </c>
    </row>
    <row r="419" spans="1:21" ht="33">
      <c r="A419" s="61" t="str">
        <f ca="1">IF(ISERROR(MATCH(E419,Код_КЦСР,0)),"",INDIRECT(ADDRESS(MATCH(E419,Код_КЦСР,0)+1,2,,,"КЦСР")))</f>
        <v>Мероприятия по решению общегосударственных вопросов и вопросов в области национальной политики</v>
      </c>
      <c r="B419" s="145">
        <v>803</v>
      </c>
      <c r="C419" s="8" t="s">
        <v>213</v>
      </c>
      <c r="D419" s="8" t="s">
        <v>190</v>
      </c>
      <c r="E419" s="145" t="s">
        <v>53</v>
      </c>
      <c r="F419" s="145"/>
      <c r="G419" s="69">
        <f t="shared" si="102"/>
        <v>160</v>
      </c>
      <c r="H419" s="69">
        <f t="shared" si="102"/>
        <v>0</v>
      </c>
      <c r="I419" s="69">
        <f t="shared" si="98"/>
        <v>160</v>
      </c>
      <c r="J419" s="69">
        <f t="shared" si="102"/>
        <v>0</v>
      </c>
      <c r="K419" s="85">
        <f t="shared" si="99"/>
        <v>160</v>
      </c>
      <c r="L419" s="13">
        <f t="shared" si="102"/>
        <v>0</v>
      </c>
      <c r="M419" s="85">
        <f t="shared" si="92"/>
        <v>160</v>
      </c>
      <c r="N419" s="13">
        <f t="shared" si="102"/>
        <v>0</v>
      </c>
      <c r="O419" s="85">
        <f t="shared" si="93"/>
        <v>160</v>
      </c>
      <c r="P419" s="13">
        <f t="shared" si="102"/>
        <v>0</v>
      </c>
      <c r="Q419" s="85">
        <f t="shared" si="91"/>
        <v>160</v>
      </c>
      <c r="R419" s="13">
        <f t="shared" si="102"/>
        <v>0</v>
      </c>
      <c r="S419" s="85">
        <f t="shared" si="89"/>
        <v>160</v>
      </c>
      <c r="T419" s="13">
        <f t="shared" si="102"/>
        <v>0</v>
      </c>
      <c r="U419" s="85">
        <f t="shared" si="101"/>
        <v>160</v>
      </c>
    </row>
    <row r="420" spans="1:21">
      <c r="A420" s="61" t="str">
        <f ca="1">IF(ISERROR(MATCH(F420,Код_КВР,0)),"",INDIRECT(ADDRESS(MATCH(F420,Код_КВР,0)+1,2,,,"КВР")))</f>
        <v>Закупка товаров, работ и услуг для муниципальных нужд</v>
      </c>
      <c r="B420" s="145">
        <v>803</v>
      </c>
      <c r="C420" s="8" t="s">
        <v>213</v>
      </c>
      <c r="D420" s="8" t="s">
        <v>190</v>
      </c>
      <c r="E420" s="145" t="s">
        <v>53</v>
      </c>
      <c r="F420" s="145">
        <v>200</v>
      </c>
      <c r="G420" s="69">
        <f t="shared" si="102"/>
        <v>160</v>
      </c>
      <c r="H420" s="69">
        <f t="shared" si="102"/>
        <v>0</v>
      </c>
      <c r="I420" s="69">
        <f t="shared" si="98"/>
        <v>160</v>
      </c>
      <c r="J420" s="69">
        <f t="shared" si="102"/>
        <v>0</v>
      </c>
      <c r="K420" s="85">
        <f t="shared" si="99"/>
        <v>160</v>
      </c>
      <c r="L420" s="13">
        <f t="shared" si="102"/>
        <v>0</v>
      </c>
      <c r="M420" s="85">
        <f t="shared" si="92"/>
        <v>160</v>
      </c>
      <c r="N420" s="13">
        <f t="shared" si="102"/>
        <v>0</v>
      </c>
      <c r="O420" s="85">
        <f t="shared" si="93"/>
        <v>160</v>
      </c>
      <c r="P420" s="13">
        <f t="shared" si="102"/>
        <v>0</v>
      </c>
      <c r="Q420" s="85">
        <f t="shared" si="91"/>
        <v>160</v>
      </c>
      <c r="R420" s="13">
        <f t="shared" si="102"/>
        <v>0</v>
      </c>
      <c r="S420" s="85">
        <f t="shared" si="89"/>
        <v>160</v>
      </c>
      <c r="T420" s="13">
        <f t="shared" si="102"/>
        <v>0</v>
      </c>
      <c r="U420" s="85">
        <f t="shared" si="101"/>
        <v>160</v>
      </c>
    </row>
    <row r="421" spans="1:21" ht="33">
      <c r="A421" s="61" t="str">
        <f ca="1">IF(ISERROR(MATCH(F421,Код_КВР,0)),"",INDIRECT(ADDRESS(MATCH(F421,Код_КВР,0)+1,2,,,"КВР")))</f>
        <v>Иные закупки товаров, работ и услуг для обеспечения муниципальных нужд</v>
      </c>
      <c r="B421" s="145">
        <v>803</v>
      </c>
      <c r="C421" s="8" t="s">
        <v>213</v>
      </c>
      <c r="D421" s="8" t="s">
        <v>190</v>
      </c>
      <c r="E421" s="145" t="s">
        <v>53</v>
      </c>
      <c r="F421" s="145">
        <v>240</v>
      </c>
      <c r="G421" s="69">
        <f t="shared" si="102"/>
        <v>160</v>
      </c>
      <c r="H421" s="69">
        <f t="shared" si="102"/>
        <v>0</v>
      </c>
      <c r="I421" s="69">
        <f t="shared" si="98"/>
        <v>160</v>
      </c>
      <c r="J421" s="69">
        <f t="shared" si="102"/>
        <v>0</v>
      </c>
      <c r="K421" s="85">
        <f t="shared" si="99"/>
        <v>160</v>
      </c>
      <c r="L421" s="13">
        <f t="shared" si="102"/>
        <v>0</v>
      </c>
      <c r="M421" s="85">
        <f t="shared" si="92"/>
        <v>160</v>
      </c>
      <c r="N421" s="13">
        <f t="shared" si="102"/>
        <v>0</v>
      </c>
      <c r="O421" s="85">
        <f t="shared" si="93"/>
        <v>160</v>
      </c>
      <c r="P421" s="13">
        <f t="shared" si="102"/>
        <v>0</v>
      </c>
      <c r="Q421" s="85">
        <f t="shared" si="91"/>
        <v>160</v>
      </c>
      <c r="R421" s="13">
        <f t="shared" si="102"/>
        <v>0</v>
      </c>
      <c r="S421" s="85">
        <f t="shared" si="89"/>
        <v>160</v>
      </c>
      <c r="T421" s="13">
        <f t="shared" si="102"/>
        <v>0</v>
      </c>
      <c r="U421" s="85">
        <f t="shared" si="101"/>
        <v>160</v>
      </c>
    </row>
    <row r="422" spans="1:21" ht="33">
      <c r="A422" s="61" t="str">
        <f ca="1">IF(ISERROR(MATCH(F422,Код_КВР,0)),"",INDIRECT(ADDRESS(MATCH(F422,Код_КВР,0)+1,2,,,"КВР")))</f>
        <v xml:space="preserve">Прочая закупка товаров, работ и услуг для обеспечения муниципальных нужд         </v>
      </c>
      <c r="B422" s="145">
        <v>803</v>
      </c>
      <c r="C422" s="8" t="s">
        <v>213</v>
      </c>
      <c r="D422" s="8" t="s">
        <v>190</v>
      </c>
      <c r="E422" s="145" t="s">
        <v>53</v>
      </c>
      <c r="F422" s="145">
        <v>244</v>
      </c>
      <c r="G422" s="69">
        <v>160</v>
      </c>
      <c r="H422" s="64"/>
      <c r="I422" s="69">
        <f t="shared" si="98"/>
        <v>160</v>
      </c>
      <c r="J422" s="64"/>
      <c r="K422" s="85">
        <f t="shared" si="99"/>
        <v>160</v>
      </c>
      <c r="L422" s="85"/>
      <c r="M422" s="85">
        <f t="shared" si="92"/>
        <v>160</v>
      </c>
      <c r="N422" s="85"/>
      <c r="O422" s="85">
        <f t="shared" si="93"/>
        <v>160</v>
      </c>
      <c r="P422" s="85"/>
      <c r="Q422" s="85">
        <f t="shared" si="91"/>
        <v>160</v>
      </c>
      <c r="R422" s="85"/>
      <c r="S422" s="85">
        <f t="shared" si="89"/>
        <v>160</v>
      </c>
      <c r="T422" s="85"/>
      <c r="U422" s="85">
        <f t="shared" si="101"/>
        <v>160</v>
      </c>
    </row>
    <row r="423" spans="1:21">
      <c r="A423" s="61" t="str">
        <f ca="1">IF(ISERROR(MATCH(C423,Код_Раздел,0)),"",INDIRECT(ADDRESS(MATCH(C423,Код_Раздел,0)+1,2,,,"Раздел")))</f>
        <v>Национальная экономика</v>
      </c>
      <c r="B423" s="145">
        <v>803</v>
      </c>
      <c r="C423" s="8" t="s">
        <v>216</v>
      </c>
      <c r="D423" s="8"/>
      <c r="E423" s="145"/>
      <c r="F423" s="145"/>
      <c r="G423" s="69">
        <f>G430+G461</f>
        <v>615132.69999999995</v>
      </c>
      <c r="H423" s="69">
        <f>H430+H461+H424</f>
        <v>67187.899999999994</v>
      </c>
      <c r="I423" s="69">
        <f>G423+H423</f>
        <v>682320.6</v>
      </c>
      <c r="J423" s="69">
        <f>J430+J461+J424</f>
        <v>0</v>
      </c>
      <c r="K423" s="85">
        <f t="shared" si="99"/>
        <v>682320.6</v>
      </c>
      <c r="L423" s="13">
        <f>L430+L461+L424</f>
        <v>-3913.1000000000004</v>
      </c>
      <c r="M423" s="85">
        <f t="shared" si="92"/>
        <v>678407.5</v>
      </c>
      <c r="N423" s="13">
        <f>N430+N461+N424</f>
        <v>-676.69999999999993</v>
      </c>
      <c r="O423" s="85">
        <f t="shared" si="93"/>
        <v>677730.8</v>
      </c>
      <c r="P423" s="13">
        <f>P430+P461+P424</f>
        <v>0</v>
      </c>
      <c r="Q423" s="85">
        <f t="shared" si="91"/>
        <v>677730.8</v>
      </c>
      <c r="R423" s="13">
        <f>R430+R461+R424</f>
        <v>-5879.7999999999993</v>
      </c>
      <c r="S423" s="85">
        <f t="shared" ref="S423:S499" si="103">Q423+R423</f>
        <v>671851</v>
      </c>
      <c r="T423" s="13">
        <f>T430+T461+T424</f>
        <v>-5813.4</v>
      </c>
      <c r="U423" s="85">
        <f t="shared" si="101"/>
        <v>666037.6</v>
      </c>
    </row>
    <row r="424" spans="1:21">
      <c r="A424" s="77" t="s">
        <v>361</v>
      </c>
      <c r="B424" s="145">
        <v>803</v>
      </c>
      <c r="C424" s="8" t="s">
        <v>216</v>
      </c>
      <c r="D424" s="8" t="s">
        <v>222</v>
      </c>
      <c r="E424" s="145"/>
      <c r="F424" s="145"/>
      <c r="G424" s="69"/>
      <c r="H424" s="69">
        <f>H425</f>
        <v>15804.3</v>
      </c>
      <c r="I424" s="69">
        <f t="shared" si="98"/>
        <v>15804.3</v>
      </c>
      <c r="J424" s="69">
        <f>J425</f>
        <v>0</v>
      </c>
      <c r="K424" s="85">
        <f t="shared" si="99"/>
        <v>15804.3</v>
      </c>
      <c r="L424" s="13">
        <f>L425</f>
        <v>0</v>
      </c>
      <c r="M424" s="85">
        <f t="shared" si="92"/>
        <v>15804.3</v>
      </c>
      <c r="N424" s="13">
        <f>N425</f>
        <v>0</v>
      </c>
      <c r="O424" s="85">
        <f t="shared" si="93"/>
        <v>15804.3</v>
      </c>
      <c r="P424" s="13">
        <f>P425</f>
        <v>0</v>
      </c>
      <c r="Q424" s="85">
        <f t="shared" si="91"/>
        <v>15804.3</v>
      </c>
      <c r="R424" s="13">
        <f>R425</f>
        <v>0</v>
      </c>
      <c r="S424" s="85">
        <f t="shared" si="103"/>
        <v>15804.3</v>
      </c>
      <c r="T424" s="13">
        <f>T425</f>
        <v>0</v>
      </c>
      <c r="U424" s="85">
        <f t="shared" si="101"/>
        <v>15804.3</v>
      </c>
    </row>
    <row r="425" spans="1:21" ht="33">
      <c r="A425" s="61" t="str">
        <f ca="1">IF(ISERROR(MATCH(E425,Код_КЦСР,0)),"",INDIRECT(ADDRESS(MATCH(E425,Код_КЦСР,0)+1,2,,,"КЦСР")))</f>
        <v>Муниципальная программа «Развитие земельно-имущественного комплекса  города Череповца» на 2014-2018 годы</v>
      </c>
      <c r="B425" s="145">
        <v>803</v>
      </c>
      <c r="C425" s="8" t="s">
        <v>216</v>
      </c>
      <c r="D425" s="8" t="s">
        <v>222</v>
      </c>
      <c r="E425" s="145" t="s">
        <v>61</v>
      </c>
      <c r="F425" s="145"/>
      <c r="G425" s="69"/>
      <c r="H425" s="69">
        <f>H426</f>
        <v>15804.3</v>
      </c>
      <c r="I425" s="69">
        <f t="shared" si="98"/>
        <v>15804.3</v>
      </c>
      <c r="J425" s="69">
        <f>J426</f>
        <v>0</v>
      </c>
      <c r="K425" s="85">
        <f t="shared" si="99"/>
        <v>15804.3</v>
      </c>
      <c r="L425" s="13">
        <f>L426</f>
        <v>0</v>
      </c>
      <c r="M425" s="85">
        <f t="shared" si="92"/>
        <v>15804.3</v>
      </c>
      <c r="N425" s="13">
        <f>N426</f>
        <v>0</v>
      </c>
      <c r="O425" s="85">
        <f t="shared" si="93"/>
        <v>15804.3</v>
      </c>
      <c r="P425" s="13">
        <f>P426</f>
        <v>0</v>
      </c>
      <c r="Q425" s="85">
        <f t="shared" si="91"/>
        <v>15804.3</v>
      </c>
      <c r="R425" s="13">
        <f>R426</f>
        <v>0</v>
      </c>
      <c r="S425" s="85">
        <f t="shared" si="103"/>
        <v>15804.3</v>
      </c>
      <c r="T425" s="13">
        <f>T426</f>
        <v>0</v>
      </c>
      <c r="U425" s="85">
        <f t="shared" si="101"/>
        <v>15804.3</v>
      </c>
    </row>
    <row r="426" spans="1:21" ht="33">
      <c r="A426" s="61" t="str">
        <f ca="1">IF(ISERROR(MATCH(E426,Код_КЦСР,0)),"",INDIRECT(ADDRESS(MATCH(E426,Код_КЦСР,0)+1,2,,,"КЦСР")))</f>
        <v>Формирование и обеспечение сохранности муниципального земельно-имущественного комплекса</v>
      </c>
      <c r="B426" s="145">
        <v>803</v>
      </c>
      <c r="C426" s="8" t="s">
        <v>216</v>
      </c>
      <c r="D426" s="8" t="s">
        <v>222</v>
      </c>
      <c r="E426" s="145" t="s">
        <v>63</v>
      </c>
      <c r="F426" s="145"/>
      <c r="G426" s="69"/>
      <c r="H426" s="69">
        <f>H427</f>
        <v>15804.3</v>
      </c>
      <c r="I426" s="69">
        <f t="shared" si="98"/>
        <v>15804.3</v>
      </c>
      <c r="J426" s="69">
        <f>J427</f>
        <v>0</v>
      </c>
      <c r="K426" s="85">
        <f t="shared" si="99"/>
        <v>15804.3</v>
      </c>
      <c r="L426" s="13">
        <f>L427</f>
        <v>0</v>
      </c>
      <c r="M426" s="85">
        <f t="shared" si="92"/>
        <v>15804.3</v>
      </c>
      <c r="N426" s="13">
        <f>N427</f>
        <v>0</v>
      </c>
      <c r="O426" s="85">
        <f t="shared" si="93"/>
        <v>15804.3</v>
      </c>
      <c r="P426" s="13">
        <f>P427</f>
        <v>0</v>
      </c>
      <c r="Q426" s="85">
        <f t="shared" si="91"/>
        <v>15804.3</v>
      </c>
      <c r="R426" s="13">
        <f>R427</f>
        <v>0</v>
      </c>
      <c r="S426" s="85">
        <f t="shared" si="103"/>
        <v>15804.3</v>
      </c>
      <c r="T426" s="13">
        <f>T427</f>
        <v>0</v>
      </c>
      <c r="U426" s="85">
        <f t="shared" si="101"/>
        <v>15804.3</v>
      </c>
    </row>
    <row r="427" spans="1:21">
      <c r="A427" s="61" t="str">
        <f ca="1">IF(ISERROR(MATCH(F427,Код_КВР,0)),"",INDIRECT(ADDRESS(MATCH(F427,Код_КВР,0)+1,2,,,"КВР")))</f>
        <v>Закупка товаров, работ и услуг для муниципальных нужд</v>
      </c>
      <c r="B427" s="145">
        <v>803</v>
      </c>
      <c r="C427" s="8" t="s">
        <v>216</v>
      </c>
      <c r="D427" s="8" t="s">
        <v>222</v>
      </c>
      <c r="E427" s="145" t="s">
        <v>63</v>
      </c>
      <c r="F427" s="145">
        <v>200</v>
      </c>
      <c r="G427" s="69"/>
      <c r="H427" s="69">
        <f>H428</f>
        <v>15804.3</v>
      </c>
      <c r="I427" s="69">
        <f t="shared" si="98"/>
        <v>15804.3</v>
      </c>
      <c r="J427" s="69">
        <f>J428</f>
        <v>0</v>
      </c>
      <c r="K427" s="85">
        <f t="shared" si="99"/>
        <v>15804.3</v>
      </c>
      <c r="L427" s="13">
        <f>L428</f>
        <v>0</v>
      </c>
      <c r="M427" s="85">
        <f t="shared" si="92"/>
        <v>15804.3</v>
      </c>
      <c r="N427" s="13">
        <f>N428</f>
        <v>0</v>
      </c>
      <c r="O427" s="85">
        <f t="shared" si="93"/>
        <v>15804.3</v>
      </c>
      <c r="P427" s="13">
        <f>P428</f>
        <v>0</v>
      </c>
      <c r="Q427" s="85">
        <f t="shared" si="91"/>
        <v>15804.3</v>
      </c>
      <c r="R427" s="13">
        <f>R428</f>
        <v>0</v>
      </c>
      <c r="S427" s="85">
        <f t="shared" si="103"/>
        <v>15804.3</v>
      </c>
      <c r="T427" s="13">
        <f>T428</f>
        <v>0</v>
      </c>
      <c r="U427" s="85">
        <f t="shared" si="101"/>
        <v>15804.3</v>
      </c>
    </row>
    <row r="428" spans="1:21" ht="33">
      <c r="A428" s="61" t="str">
        <f ca="1">IF(ISERROR(MATCH(F428,Код_КВР,0)),"",INDIRECT(ADDRESS(MATCH(F428,Код_КВР,0)+1,2,,,"КВР")))</f>
        <v>Иные закупки товаров, работ и услуг для обеспечения муниципальных нужд</v>
      </c>
      <c r="B428" s="145">
        <v>803</v>
      </c>
      <c r="C428" s="8" t="s">
        <v>216</v>
      </c>
      <c r="D428" s="8" t="s">
        <v>222</v>
      </c>
      <c r="E428" s="145" t="s">
        <v>63</v>
      </c>
      <c r="F428" s="145">
        <v>240</v>
      </c>
      <c r="G428" s="69"/>
      <c r="H428" s="69">
        <f>H429</f>
        <v>15804.3</v>
      </c>
      <c r="I428" s="69">
        <f t="shared" si="98"/>
        <v>15804.3</v>
      </c>
      <c r="J428" s="69">
        <f>J429</f>
        <v>0</v>
      </c>
      <c r="K428" s="85">
        <f t="shared" si="99"/>
        <v>15804.3</v>
      </c>
      <c r="L428" s="13">
        <f>L429</f>
        <v>0</v>
      </c>
      <c r="M428" s="85">
        <f t="shared" si="92"/>
        <v>15804.3</v>
      </c>
      <c r="N428" s="13">
        <f>N429</f>
        <v>0</v>
      </c>
      <c r="O428" s="85">
        <f t="shared" si="93"/>
        <v>15804.3</v>
      </c>
      <c r="P428" s="13">
        <f>P429</f>
        <v>0</v>
      </c>
      <c r="Q428" s="85">
        <f t="shared" ref="Q428:Q504" si="104">O428+P428</f>
        <v>15804.3</v>
      </c>
      <c r="R428" s="13">
        <f>R429</f>
        <v>0</v>
      </c>
      <c r="S428" s="85">
        <f t="shared" si="103"/>
        <v>15804.3</v>
      </c>
      <c r="T428" s="13">
        <f>T429</f>
        <v>0</v>
      </c>
      <c r="U428" s="85">
        <f t="shared" si="101"/>
        <v>15804.3</v>
      </c>
    </row>
    <row r="429" spans="1:21" ht="33">
      <c r="A429" s="61" t="str">
        <f ca="1">IF(ISERROR(MATCH(F429,Код_КВР,0)),"",INDIRECT(ADDRESS(MATCH(F429,Код_КВР,0)+1,2,,,"КВР")))</f>
        <v xml:space="preserve">Прочая закупка товаров, работ и услуг для обеспечения муниципальных нужд         </v>
      </c>
      <c r="B429" s="145">
        <v>803</v>
      </c>
      <c r="C429" s="8" t="s">
        <v>216</v>
      </c>
      <c r="D429" s="8" t="s">
        <v>222</v>
      </c>
      <c r="E429" s="145" t="s">
        <v>63</v>
      </c>
      <c r="F429" s="145">
        <v>244</v>
      </c>
      <c r="G429" s="69"/>
      <c r="H429" s="69">
        <v>15804.3</v>
      </c>
      <c r="I429" s="69">
        <f t="shared" si="98"/>
        <v>15804.3</v>
      </c>
      <c r="J429" s="69"/>
      <c r="K429" s="85">
        <f t="shared" si="99"/>
        <v>15804.3</v>
      </c>
      <c r="L429" s="13"/>
      <c r="M429" s="85">
        <f t="shared" si="92"/>
        <v>15804.3</v>
      </c>
      <c r="N429" s="13"/>
      <c r="O429" s="85">
        <f t="shared" si="93"/>
        <v>15804.3</v>
      </c>
      <c r="P429" s="13"/>
      <c r="Q429" s="85">
        <f t="shared" si="104"/>
        <v>15804.3</v>
      </c>
      <c r="R429" s="13"/>
      <c r="S429" s="85">
        <f t="shared" si="103"/>
        <v>15804.3</v>
      </c>
      <c r="T429" s="13"/>
      <c r="U429" s="85">
        <f t="shared" si="101"/>
        <v>15804.3</v>
      </c>
    </row>
    <row r="430" spans="1:21">
      <c r="A430" s="77" t="s">
        <v>180</v>
      </c>
      <c r="B430" s="145">
        <v>803</v>
      </c>
      <c r="C430" s="8" t="s">
        <v>216</v>
      </c>
      <c r="D430" s="8" t="s">
        <v>219</v>
      </c>
      <c r="E430" s="145"/>
      <c r="F430" s="145"/>
      <c r="G430" s="69">
        <f>G440+G456</f>
        <v>615002.69999999995</v>
      </c>
      <c r="H430" s="69">
        <f>H440+H456</f>
        <v>51383.6</v>
      </c>
      <c r="I430" s="69">
        <f t="shared" si="98"/>
        <v>666386.29999999993</v>
      </c>
      <c r="J430" s="69">
        <f>J440+J456</f>
        <v>0</v>
      </c>
      <c r="K430" s="85">
        <f t="shared" si="99"/>
        <v>666386.29999999993</v>
      </c>
      <c r="L430" s="13">
        <f>L440+L456</f>
        <v>-3913.1000000000004</v>
      </c>
      <c r="M430" s="85">
        <f t="shared" si="92"/>
        <v>662473.19999999995</v>
      </c>
      <c r="N430" s="13">
        <f>N440+N456</f>
        <v>-676.69999999999993</v>
      </c>
      <c r="O430" s="85">
        <f t="shared" si="93"/>
        <v>661796.5</v>
      </c>
      <c r="P430" s="13">
        <f>P440+P456</f>
        <v>0</v>
      </c>
      <c r="Q430" s="85">
        <f t="shared" si="104"/>
        <v>661796.5</v>
      </c>
      <c r="R430" s="13">
        <f>R440+R456+R431</f>
        <v>-5879.7999999999993</v>
      </c>
      <c r="S430" s="85">
        <f t="shared" si="103"/>
        <v>655916.69999999995</v>
      </c>
      <c r="T430" s="13">
        <f>T440+T456+T431</f>
        <v>-5813.4</v>
      </c>
      <c r="U430" s="85">
        <f t="shared" si="101"/>
        <v>650103.29999999993</v>
      </c>
    </row>
    <row r="431" spans="1:21" ht="33">
      <c r="A431" s="61" t="str">
        <f ca="1">IF(ISERROR(MATCH(E431,Код_КЦСР,0)),"",INDIRECT(ADDRESS(MATCH(E431,Код_КЦСР,0)+1,2,,,"КЦСР")))</f>
        <v>Муниципальная программа «Социальная поддержка граждан» на 2014-2018 годы</v>
      </c>
      <c r="B431" s="145">
        <v>803</v>
      </c>
      <c r="C431" s="8" t="s">
        <v>216</v>
      </c>
      <c r="D431" s="8" t="s">
        <v>219</v>
      </c>
      <c r="E431" s="145" t="s">
        <v>5</v>
      </c>
      <c r="F431" s="145"/>
      <c r="G431" s="69"/>
      <c r="H431" s="69"/>
      <c r="I431" s="69"/>
      <c r="J431" s="69"/>
      <c r="K431" s="85"/>
      <c r="L431" s="13"/>
      <c r="M431" s="85"/>
      <c r="N431" s="13"/>
      <c r="O431" s="85"/>
      <c r="P431" s="13"/>
      <c r="Q431" s="85"/>
      <c r="R431" s="13">
        <f>R432+R436</f>
        <v>150</v>
      </c>
      <c r="S431" s="85">
        <f t="shared" si="103"/>
        <v>150</v>
      </c>
      <c r="T431" s="13">
        <f>T432+T436</f>
        <v>0</v>
      </c>
      <c r="U431" s="85">
        <f t="shared" si="101"/>
        <v>150</v>
      </c>
    </row>
    <row r="432" spans="1:21" ht="49.5">
      <c r="A432" s="61" t="str">
        <f ca="1">IF(ISERROR(MATCH(E432,Код_КЦСР,0)),"",INDIRECT(ADDRESS(MATCH(E432,Код_КЦСР,0)+1,2,,,"КЦСР")))</f>
        <v>Мероприятия по подпрограмме «Безбарьерная среда» в рамках софинансирования с государственной программой «Социальная поддержка граждан в Вологодской области на 2014-2018 годы»</v>
      </c>
      <c r="B432" s="145">
        <v>803</v>
      </c>
      <c r="C432" s="8" t="s">
        <v>216</v>
      </c>
      <c r="D432" s="8" t="s">
        <v>219</v>
      </c>
      <c r="E432" s="145" t="s">
        <v>659</v>
      </c>
      <c r="F432" s="145"/>
      <c r="G432" s="69"/>
      <c r="H432" s="69"/>
      <c r="I432" s="69"/>
      <c r="J432" s="69"/>
      <c r="K432" s="85"/>
      <c r="L432" s="13"/>
      <c r="M432" s="85"/>
      <c r="N432" s="13"/>
      <c r="O432" s="85"/>
      <c r="P432" s="13"/>
      <c r="Q432" s="85"/>
      <c r="R432" s="13">
        <f>R433</f>
        <v>75</v>
      </c>
      <c r="S432" s="85">
        <f t="shared" si="103"/>
        <v>75</v>
      </c>
      <c r="T432" s="13">
        <f>T433</f>
        <v>0</v>
      </c>
      <c r="U432" s="85">
        <f t="shared" si="101"/>
        <v>75</v>
      </c>
    </row>
    <row r="433" spans="1:22">
      <c r="A433" s="61" t="str">
        <f ca="1">IF(ISERROR(MATCH(F433,Код_КВР,0)),"",INDIRECT(ADDRESS(MATCH(F433,Код_КВР,0)+1,2,,,"КВР")))</f>
        <v>Закупка товаров, работ и услуг для муниципальных нужд</v>
      </c>
      <c r="B433" s="145">
        <v>803</v>
      </c>
      <c r="C433" s="8" t="s">
        <v>216</v>
      </c>
      <c r="D433" s="8" t="s">
        <v>219</v>
      </c>
      <c r="E433" s="145" t="s">
        <v>659</v>
      </c>
      <c r="F433" s="145">
        <v>200</v>
      </c>
      <c r="G433" s="69"/>
      <c r="H433" s="69"/>
      <c r="I433" s="69"/>
      <c r="J433" s="69"/>
      <c r="K433" s="85"/>
      <c r="L433" s="13"/>
      <c r="M433" s="85"/>
      <c r="N433" s="13"/>
      <c r="O433" s="85"/>
      <c r="P433" s="13"/>
      <c r="Q433" s="85"/>
      <c r="R433" s="13">
        <f>R434</f>
        <v>75</v>
      </c>
      <c r="S433" s="85">
        <f t="shared" si="103"/>
        <v>75</v>
      </c>
      <c r="T433" s="13">
        <f>T434</f>
        <v>0</v>
      </c>
      <c r="U433" s="85">
        <f t="shared" si="101"/>
        <v>75</v>
      </c>
    </row>
    <row r="434" spans="1:22" ht="33">
      <c r="A434" s="61" t="str">
        <f ca="1">IF(ISERROR(MATCH(F434,Код_КВР,0)),"",INDIRECT(ADDRESS(MATCH(F434,Код_КВР,0)+1,2,,,"КВР")))</f>
        <v>Иные закупки товаров, работ и услуг для обеспечения муниципальных нужд</v>
      </c>
      <c r="B434" s="145">
        <v>803</v>
      </c>
      <c r="C434" s="8" t="s">
        <v>216</v>
      </c>
      <c r="D434" s="8" t="s">
        <v>219</v>
      </c>
      <c r="E434" s="145" t="s">
        <v>659</v>
      </c>
      <c r="F434" s="145">
        <v>240</v>
      </c>
      <c r="G434" s="69"/>
      <c r="H434" s="69"/>
      <c r="I434" s="69"/>
      <c r="J434" s="69"/>
      <c r="K434" s="85"/>
      <c r="L434" s="13"/>
      <c r="M434" s="85"/>
      <c r="N434" s="13"/>
      <c r="O434" s="85"/>
      <c r="P434" s="13"/>
      <c r="Q434" s="85"/>
      <c r="R434" s="13">
        <f>R435</f>
        <v>75</v>
      </c>
      <c r="S434" s="85">
        <f t="shared" si="103"/>
        <v>75</v>
      </c>
      <c r="T434" s="13">
        <f>T435</f>
        <v>0</v>
      </c>
      <c r="U434" s="85">
        <f t="shared" si="101"/>
        <v>75</v>
      </c>
    </row>
    <row r="435" spans="1:22" ht="33">
      <c r="A435" s="61" t="str">
        <f ca="1">IF(ISERROR(MATCH(F435,Код_КВР,0)),"",INDIRECT(ADDRESS(MATCH(F435,Код_КВР,0)+1,2,,,"КВР")))</f>
        <v xml:space="preserve">Прочая закупка товаров, работ и услуг для обеспечения муниципальных нужд         </v>
      </c>
      <c r="B435" s="145">
        <v>803</v>
      </c>
      <c r="C435" s="8" t="s">
        <v>216</v>
      </c>
      <c r="D435" s="8" t="s">
        <v>219</v>
      </c>
      <c r="E435" s="145" t="s">
        <v>659</v>
      </c>
      <c r="F435" s="145">
        <v>244</v>
      </c>
      <c r="G435" s="69"/>
      <c r="H435" s="69"/>
      <c r="I435" s="69"/>
      <c r="J435" s="69"/>
      <c r="K435" s="85"/>
      <c r="L435" s="13"/>
      <c r="M435" s="85"/>
      <c r="N435" s="13"/>
      <c r="O435" s="85"/>
      <c r="P435" s="13"/>
      <c r="Q435" s="85"/>
      <c r="R435" s="13">
        <v>75</v>
      </c>
      <c r="S435" s="85">
        <f t="shared" si="103"/>
        <v>75</v>
      </c>
      <c r="T435" s="13"/>
      <c r="U435" s="85">
        <f t="shared" si="101"/>
        <v>75</v>
      </c>
    </row>
    <row r="436" spans="1:22" ht="49.5">
      <c r="A436" s="61" t="str">
        <f ca="1">IF(ISERROR(MATCH(E436,Код_КЦСР,0)),"",INDIRECT(ADDRESS(MATCH(E436,Код_КЦСР,0)+1,2,,,"КЦСР")))</f>
        <v>Мероприятия государственной программы Российской Федерации «Доступная среда» на 2011-2015 годы за счет средств федерального бюджета</v>
      </c>
      <c r="B436" s="145">
        <v>803</v>
      </c>
      <c r="C436" s="8" t="s">
        <v>216</v>
      </c>
      <c r="D436" s="8" t="s">
        <v>219</v>
      </c>
      <c r="E436" s="145" t="s">
        <v>642</v>
      </c>
      <c r="F436" s="145"/>
      <c r="G436" s="69"/>
      <c r="H436" s="69"/>
      <c r="I436" s="69"/>
      <c r="J436" s="69"/>
      <c r="K436" s="85"/>
      <c r="L436" s="13"/>
      <c r="M436" s="85"/>
      <c r="N436" s="13"/>
      <c r="O436" s="85"/>
      <c r="P436" s="13"/>
      <c r="Q436" s="85"/>
      <c r="R436" s="13">
        <f>R437</f>
        <v>75</v>
      </c>
      <c r="S436" s="85">
        <f t="shared" si="103"/>
        <v>75</v>
      </c>
      <c r="T436" s="13">
        <f>T437</f>
        <v>0</v>
      </c>
      <c r="U436" s="85">
        <f t="shared" si="101"/>
        <v>75</v>
      </c>
    </row>
    <row r="437" spans="1:22">
      <c r="A437" s="61" t="str">
        <f ca="1">IF(ISERROR(MATCH(F437,Код_КВР,0)),"",INDIRECT(ADDRESS(MATCH(F437,Код_КВР,0)+1,2,,,"КВР")))</f>
        <v>Закупка товаров, работ и услуг для муниципальных нужд</v>
      </c>
      <c r="B437" s="145">
        <v>803</v>
      </c>
      <c r="C437" s="8" t="s">
        <v>216</v>
      </c>
      <c r="D437" s="8" t="s">
        <v>219</v>
      </c>
      <c r="E437" s="145" t="s">
        <v>642</v>
      </c>
      <c r="F437" s="145">
        <v>200</v>
      </c>
      <c r="G437" s="69"/>
      <c r="H437" s="69"/>
      <c r="I437" s="69"/>
      <c r="J437" s="69"/>
      <c r="K437" s="85"/>
      <c r="L437" s="13"/>
      <c r="M437" s="85"/>
      <c r="N437" s="13"/>
      <c r="O437" s="85"/>
      <c r="P437" s="13"/>
      <c r="Q437" s="85"/>
      <c r="R437" s="13">
        <f>R438</f>
        <v>75</v>
      </c>
      <c r="S437" s="85">
        <f t="shared" si="103"/>
        <v>75</v>
      </c>
      <c r="T437" s="13">
        <f>T438</f>
        <v>0</v>
      </c>
      <c r="U437" s="85">
        <f t="shared" si="101"/>
        <v>75</v>
      </c>
    </row>
    <row r="438" spans="1:22" ht="33">
      <c r="A438" s="61" t="str">
        <f ca="1">IF(ISERROR(MATCH(F438,Код_КВР,0)),"",INDIRECT(ADDRESS(MATCH(F438,Код_КВР,0)+1,2,,,"КВР")))</f>
        <v>Иные закупки товаров, работ и услуг для обеспечения муниципальных нужд</v>
      </c>
      <c r="B438" s="145">
        <v>803</v>
      </c>
      <c r="C438" s="8" t="s">
        <v>216</v>
      </c>
      <c r="D438" s="8" t="s">
        <v>219</v>
      </c>
      <c r="E438" s="145" t="s">
        <v>642</v>
      </c>
      <c r="F438" s="145">
        <v>240</v>
      </c>
      <c r="G438" s="69"/>
      <c r="H438" s="69"/>
      <c r="I438" s="69"/>
      <c r="J438" s="69"/>
      <c r="K438" s="85"/>
      <c r="L438" s="13"/>
      <c r="M438" s="85"/>
      <c r="N438" s="13"/>
      <c r="O438" s="85"/>
      <c r="P438" s="13"/>
      <c r="Q438" s="85"/>
      <c r="R438" s="13">
        <f>R439</f>
        <v>75</v>
      </c>
      <c r="S438" s="85">
        <f t="shared" si="103"/>
        <v>75</v>
      </c>
      <c r="T438" s="13">
        <f>T439</f>
        <v>0</v>
      </c>
      <c r="U438" s="85">
        <f t="shared" si="101"/>
        <v>75</v>
      </c>
    </row>
    <row r="439" spans="1:22" ht="33">
      <c r="A439" s="61" t="str">
        <f ca="1">IF(ISERROR(MATCH(F439,Код_КВР,0)),"",INDIRECT(ADDRESS(MATCH(F439,Код_КВР,0)+1,2,,,"КВР")))</f>
        <v xml:space="preserve">Прочая закупка товаров, работ и услуг для обеспечения муниципальных нужд         </v>
      </c>
      <c r="B439" s="145">
        <v>803</v>
      </c>
      <c r="C439" s="8" t="s">
        <v>216</v>
      </c>
      <c r="D439" s="8" t="s">
        <v>219</v>
      </c>
      <c r="E439" s="145" t="s">
        <v>642</v>
      </c>
      <c r="F439" s="145">
        <v>244</v>
      </c>
      <c r="G439" s="69"/>
      <c r="H439" s="69"/>
      <c r="I439" s="69"/>
      <c r="J439" s="69"/>
      <c r="K439" s="85"/>
      <c r="L439" s="13"/>
      <c r="M439" s="85"/>
      <c r="N439" s="13"/>
      <c r="O439" s="85"/>
      <c r="P439" s="13"/>
      <c r="Q439" s="85"/>
      <c r="R439" s="13">
        <v>75</v>
      </c>
      <c r="S439" s="85">
        <f t="shared" si="103"/>
        <v>75</v>
      </c>
      <c r="T439" s="13"/>
      <c r="U439" s="85">
        <f t="shared" si="101"/>
        <v>75</v>
      </c>
    </row>
    <row r="440" spans="1:22" ht="33">
      <c r="A440" s="61" t="str">
        <f ca="1">IF(ISERROR(MATCH(E440,Код_КЦСР,0)),"",INDIRECT(ADDRESS(MATCH(E440,Код_КЦСР,0)+1,2,,,"КЦСР")))</f>
        <v>Муниципальная программа «Развитие жилищно-коммунального хозяйства города Череповца» на 2014-2018 годы</v>
      </c>
      <c r="B440" s="145">
        <v>803</v>
      </c>
      <c r="C440" s="8" t="s">
        <v>216</v>
      </c>
      <c r="D440" s="8" t="s">
        <v>219</v>
      </c>
      <c r="E440" s="145" t="s">
        <v>46</v>
      </c>
      <c r="F440" s="145"/>
      <c r="G440" s="69">
        <f>G441</f>
        <v>580002.69999999995</v>
      </c>
      <c r="H440" s="69">
        <f>H441</f>
        <v>51383.6</v>
      </c>
      <c r="I440" s="69">
        <f t="shared" si="98"/>
        <v>631386.29999999993</v>
      </c>
      <c r="J440" s="69">
        <f>J441</f>
        <v>0</v>
      </c>
      <c r="K440" s="85">
        <f t="shared" si="99"/>
        <v>631386.29999999993</v>
      </c>
      <c r="L440" s="13">
        <f>L441</f>
        <v>-3913.1000000000004</v>
      </c>
      <c r="M440" s="85">
        <f t="shared" si="92"/>
        <v>627473.19999999995</v>
      </c>
      <c r="N440" s="13">
        <f>N441</f>
        <v>-676.69999999999993</v>
      </c>
      <c r="O440" s="85">
        <f t="shared" si="93"/>
        <v>626796.5</v>
      </c>
      <c r="P440" s="13">
        <f>P441</f>
        <v>0</v>
      </c>
      <c r="Q440" s="85">
        <f t="shared" si="104"/>
        <v>626796.5</v>
      </c>
      <c r="R440" s="13">
        <f>R441</f>
        <v>-6029.7999999999993</v>
      </c>
      <c r="S440" s="85">
        <f t="shared" si="103"/>
        <v>620766.69999999995</v>
      </c>
      <c r="T440" s="13">
        <f>T441</f>
        <v>-5813.4</v>
      </c>
      <c r="U440" s="85">
        <f t="shared" si="101"/>
        <v>614953.29999999993</v>
      </c>
    </row>
    <row r="441" spans="1:22">
      <c r="A441" s="61" t="str">
        <f ca="1">IF(ISERROR(MATCH(E441,Код_КЦСР,0)),"",INDIRECT(ADDRESS(MATCH(E441,Код_КЦСР,0)+1,2,,,"КЦСР")))</f>
        <v>Развитие благоустройства города</v>
      </c>
      <c r="B441" s="145">
        <v>803</v>
      </c>
      <c r="C441" s="8" t="s">
        <v>216</v>
      </c>
      <c r="D441" s="8" t="s">
        <v>219</v>
      </c>
      <c r="E441" s="145" t="s">
        <v>47</v>
      </c>
      <c r="F441" s="145"/>
      <c r="G441" s="69">
        <f>G442+G452</f>
        <v>580002.69999999995</v>
      </c>
      <c r="H441" s="69">
        <f>H442+H452</f>
        <v>51383.6</v>
      </c>
      <c r="I441" s="69">
        <f t="shared" si="98"/>
        <v>631386.29999999993</v>
      </c>
      <c r="J441" s="69">
        <f>J442+J452</f>
        <v>0</v>
      </c>
      <c r="K441" s="85">
        <f t="shared" si="99"/>
        <v>631386.29999999993</v>
      </c>
      <c r="L441" s="13">
        <f>L442+L452</f>
        <v>-3913.1000000000004</v>
      </c>
      <c r="M441" s="85">
        <f t="shared" si="92"/>
        <v>627473.19999999995</v>
      </c>
      <c r="N441" s="13">
        <f>N442+N452</f>
        <v>-676.69999999999993</v>
      </c>
      <c r="O441" s="85">
        <f t="shared" si="93"/>
        <v>626796.5</v>
      </c>
      <c r="P441" s="13">
        <f>P442+P452</f>
        <v>0</v>
      </c>
      <c r="Q441" s="85">
        <f t="shared" si="104"/>
        <v>626796.5</v>
      </c>
      <c r="R441" s="13">
        <f>R442+R452</f>
        <v>-6029.7999999999993</v>
      </c>
      <c r="S441" s="85">
        <f t="shared" si="103"/>
        <v>620766.69999999995</v>
      </c>
      <c r="T441" s="13">
        <f>T442+T452</f>
        <v>-5813.4</v>
      </c>
      <c r="U441" s="85">
        <f t="shared" si="101"/>
        <v>614953.29999999993</v>
      </c>
    </row>
    <row r="442" spans="1:22">
      <c r="A442" s="61" t="str">
        <f ca="1">IF(ISERROR(MATCH(E442,Код_КЦСР,0)),"",INDIRECT(ADDRESS(MATCH(E442,Код_КЦСР,0)+1,2,,,"КЦСР")))</f>
        <v>Мероприятия по содержанию и ремонту улично-дорожной  сети города</v>
      </c>
      <c r="B442" s="145">
        <v>803</v>
      </c>
      <c r="C442" s="8" t="s">
        <v>216</v>
      </c>
      <c r="D442" s="8" t="s">
        <v>219</v>
      </c>
      <c r="E442" s="145" t="s">
        <v>51</v>
      </c>
      <c r="F442" s="145"/>
      <c r="G442" s="69">
        <f>G443+G445+G449</f>
        <v>352239.7</v>
      </c>
      <c r="H442" s="69">
        <f>H443+H445+H449</f>
        <v>51383.6</v>
      </c>
      <c r="I442" s="69">
        <f t="shared" si="98"/>
        <v>403623.3</v>
      </c>
      <c r="J442" s="69">
        <f>J443+J445+J449</f>
        <v>0</v>
      </c>
      <c r="K442" s="85">
        <f t="shared" si="99"/>
        <v>403623.3</v>
      </c>
      <c r="L442" s="13">
        <f>L443+L445+L449</f>
        <v>-3913.1000000000004</v>
      </c>
      <c r="M442" s="85">
        <f t="shared" si="92"/>
        <v>399710.2</v>
      </c>
      <c r="N442" s="13">
        <f>N443+N445+N449</f>
        <v>-676.69999999999993</v>
      </c>
      <c r="O442" s="85">
        <f t="shared" si="93"/>
        <v>399033.5</v>
      </c>
      <c r="P442" s="13">
        <f>P443+P445+P449</f>
        <v>0</v>
      </c>
      <c r="Q442" s="85">
        <f t="shared" si="104"/>
        <v>399033.5</v>
      </c>
      <c r="R442" s="13">
        <f>R443+R445+R449</f>
        <v>-6029.7999999999993</v>
      </c>
      <c r="S442" s="85">
        <f t="shared" si="103"/>
        <v>393003.7</v>
      </c>
      <c r="T442" s="13">
        <f>T443+T445+T449</f>
        <v>-5813.4</v>
      </c>
      <c r="U442" s="85">
        <f t="shared" si="101"/>
        <v>387190.3</v>
      </c>
    </row>
    <row r="443" spans="1:22" ht="33">
      <c r="A443" s="61" t="str">
        <f t="shared" ref="A443:A451" ca="1" si="105">IF(ISERROR(MATCH(F443,Код_КВР,0)),"",INDIRECT(ADDRESS(MATCH(F443,Код_КВР,0)+1,2,,,"КВР")))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443" s="145">
        <v>803</v>
      </c>
      <c r="C443" s="8" t="s">
        <v>216</v>
      </c>
      <c r="D443" s="8" t="s">
        <v>219</v>
      </c>
      <c r="E443" s="145" t="s">
        <v>51</v>
      </c>
      <c r="F443" s="145">
        <v>100</v>
      </c>
      <c r="G443" s="69">
        <f>G444</f>
        <v>10425.9</v>
      </c>
      <c r="H443" s="69">
        <f>H444</f>
        <v>0</v>
      </c>
      <c r="I443" s="69">
        <f t="shared" si="98"/>
        <v>10425.9</v>
      </c>
      <c r="J443" s="69">
        <f>J444</f>
        <v>0</v>
      </c>
      <c r="K443" s="85">
        <f t="shared" si="99"/>
        <v>10425.9</v>
      </c>
      <c r="L443" s="13">
        <f>L444</f>
        <v>0</v>
      </c>
      <c r="M443" s="85">
        <f t="shared" ref="M443:M510" si="106">K443+L443</f>
        <v>10425.9</v>
      </c>
      <c r="N443" s="13">
        <f>N444</f>
        <v>0</v>
      </c>
      <c r="O443" s="85">
        <f t="shared" ref="O443:O510" si="107">M443+N443</f>
        <v>10425.9</v>
      </c>
      <c r="P443" s="13">
        <f>P444</f>
        <v>0</v>
      </c>
      <c r="Q443" s="85">
        <f t="shared" si="104"/>
        <v>10425.9</v>
      </c>
      <c r="R443" s="13">
        <f>R444</f>
        <v>0</v>
      </c>
      <c r="S443" s="85">
        <f t="shared" si="103"/>
        <v>10425.9</v>
      </c>
      <c r="T443" s="13">
        <f>T444</f>
        <v>0</v>
      </c>
      <c r="U443" s="85">
        <f t="shared" si="101"/>
        <v>10425.9</v>
      </c>
    </row>
    <row r="444" spans="1:22">
      <c r="A444" s="61" t="str">
        <f t="shared" ca="1" si="105"/>
        <v>Расходы на выплаты персоналу казенных учреждений</v>
      </c>
      <c r="B444" s="145">
        <v>803</v>
      </c>
      <c r="C444" s="8" t="s">
        <v>216</v>
      </c>
      <c r="D444" s="8" t="s">
        <v>219</v>
      </c>
      <c r="E444" s="145" t="s">
        <v>51</v>
      </c>
      <c r="F444" s="145">
        <v>110</v>
      </c>
      <c r="G444" s="69">
        <v>10425.9</v>
      </c>
      <c r="H444" s="64"/>
      <c r="I444" s="69">
        <f t="shared" si="98"/>
        <v>10425.9</v>
      </c>
      <c r="J444" s="64"/>
      <c r="K444" s="85">
        <f t="shared" si="99"/>
        <v>10425.9</v>
      </c>
      <c r="L444" s="85"/>
      <c r="M444" s="85">
        <f t="shared" si="106"/>
        <v>10425.9</v>
      </c>
      <c r="N444" s="85"/>
      <c r="O444" s="85">
        <f t="shared" si="107"/>
        <v>10425.9</v>
      </c>
      <c r="P444" s="85"/>
      <c r="Q444" s="85">
        <f t="shared" si="104"/>
        <v>10425.9</v>
      </c>
      <c r="R444" s="85"/>
      <c r="S444" s="85">
        <f t="shared" si="103"/>
        <v>10425.9</v>
      </c>
      <c r="T444" s="85"/>
      <c r="U444" s="85">
        <f t="shared" si="101"/>
        <v>10425.9</v>
      </c>
    </row>
    <row r="445" spans="1:22">
      <c r="A445" s="61" t="str">
        <f t="shared" ca="1" si="105"/>
        <v>Закупка товаров, работ и услуг для муниципальных нужд</v>
      </c>
      <c r="B445" s="145">
        <v>803</v>
      </c>
      <c r="C445" s="8" t="s">
        <v>216</v>
      </c>
      <c r="D445" s="8" t="s">
        <v>219</v>
      </c>
      <c r="E445" s="145" t="s">
        <v>51</v>
      </c>
      <c r="F445" s="145">
        <v>200</v>
      </c>
      <c r="G445" s="69">
        <f>G446</f>
        <v>341812.2</v>
      </c>
      <c r="H445" s="69">
        <f>H446</f>
        <v>51383.6</v>
      </c>
      <c r="I445" s="69">
        <f t="shared" si="98"/>
        <v>393195.8</v>
      </c>
      <c r="J445" s="69">
        <f>J446</f>
        <v>0</v>
      </c>
      <c r="K445" s="85">
        <f t="shared" si="99"/>
        <v>393195.8</v>
      </c>
      <c r="L445" s="13">
        <f>L446</f>
        <v>-3913.1000000000004</v>
      </c>
      <c r="M445" s="85">
        <f t="shared" si="106"/>
        <v>389282.7</v>
      </c>
      <c r="N445" s="13">
        <f>N446</f>
        <v>-676.69999999999993</v>
      </c>
      <c r="O445" s="85">
        <f t="shared" si="107"/>
        <v>388606</v>
      </c>
      <c r="P445" s="13">
        <f>P446</f>
        <v>0</v>
      </c>
      <c r="Q445" s="85">
        <f t="shared" si="104"/>
        <v>388606</v>
      </c>
      <c r="R445" s="13">
        <f>R446</f>
        <v>-6029.7999999999993</v>
      </c>
      <c r="S445" s="85">
        <f t="shared" si="103"/>
        <v>382576.2</v>
      </c>
      <c r="T445" s="13">
        <f>T446</f>
        <v>-5813.4</v>
      </c>
      <c r="U445" s="85">
        <f t="shared" si="101"/>
        <v>376762.8</v>
      </c>
    </row>
    <row r="446" spans="1:22" ht="33">
      <c r="A446" s="61" t="str">
        <f t="shared" ca="1" si="105"/>
        <v>Иные закупки товаров, работ и услуг для обеспечения муниципальных нужд</v>
      </c>
      <c r="B446" s="145">
        <v>803</v>
      </c>
      <c r="C446" s="8" t="s">
        <v>216</v>
      </c>
      <c r="D446" s="8" t="s">
        <v>219</v>
      </c>
      <c r="E446" s="145" t="s">
        <v>51</v>
      </c>
      <c r="F446" s="145">
        <v>240</v>
      </c>
      <c r="G446" s="69">
        <f>SUM(G447:G448)</f>
        <v>341812.2</v>
      </c>
      <c r="H446" s="69">
        <f>SUM(H447:H448)</f>
        <v>51383.6</v>
      </c>
      <c r="I446" s="69">
        <f t="shared" si="98"/>
        <v>393195.8</v>
      </c>
      <c r="J446" s="69">
        <f>SUM(J447:J448)</f>
        <v>0</v>
      </c>
      <c r="K446" s="85">
        <f t="shared" si="99"/>
        <v>393195.8</v>
      </c>
      <c r="L446" s="13">
        <f>SUM(L447:L448)</f>
        <v>-3913.1000000000004</v>
      </c>
      <c r="M446" s="85">
        <f t="shared" si="106"/>
        <v>389282.7</v>
      </c>
      <c r="N446" s="13">
        <f>SUM(N447:N448)</f>
        <v>-676.69999999999993</v>
      </c>
      <c r="O446" s="85">
        <f t="shared" si="107"/>
        <v>388606</v>
      </c>
      <c r="P446" s="13">
        <f>SUM(P447:P448)</f>
        <v>0</v>
      </c>
      <c r="Q446" s="85">
        <f t="shared" si="104"/>
        <v>388606</v>
      </c>
      <c r="R446" s="13">
        <f>SUM(R447:R448)</f>
        <v>-6029.7999999999993</v>
      </c>
      <c r="S446" s="85">
        <f t="shared" si="103"/>
        <v>382576.2</v>
      </c>
      <c r="T446" s="13">
        <f>SUM(T447:T448)</f>
        <v>-5813.4</v>
      </c>
      <c r="U446" s="85">
        <f t="shared" si="101"/>
        <v>376762.8</v>
      </c>
    </row>
    <row r="447" spans="1:22" ht="33">
      <c r="A447" s="61" t="str">
        <f t="shared" ca="1" si="105"/>
        <v>Закупка товаров, работ, услуг в сфере информационно-коммуникационных технологий</v>
      </c>
      <c r="B447" s="145">
        <v>803</v>
      </c>
      <c r="C447" s="8" t="s">
        <v>216</v>
      </c>
      <c r="D447" s="8" t="s">
        <v>219</v>
      </c>
      <c r="E447" s="145" t="s">
        <v>51</v>
      </c>
      <c r="F447" s="145">
        <v>242</v>
      </c>
      <c r="G447" s="69">
        <v>665.5</v>
      </c>
      <c r="H447" s="64"/>
      <c r="I447" s="69">
        <f t="shared" si="98"/>
        <v>665.5</v>
      </c>
      <c r="J447" s="64">
        <v>-665.5</v>
      </c>
      <c r="K447" s="85">
        <f t="shared" si="99"/>
        <v>0</v>
      </c>
      <c r="L447" s="85"/>
      <c r="M447" s="85">
        <f t="shared" si="106"/>
        <v>0</v>
      </c>
      <c r="N447" s="85"/>
      <c r="O447" s="85">
        <f t="shared" si="107"/>
        <v>0</v>
      </c>
      <c r="P447" s="85"/>
      <c r="Q447" s="85">
        <f t="shared" si="104"/>
        <v>0</v>
      </c>
      <c r="R447" s="85"/>
      <c r="S447" s="85">
        <f t="shared" si="103"/>
        <v>0</v>
      </c>
      <c r="T447" s="85"/>
      <c r="U447" s="85">
        <f t="shared" si="101"/>
        <v>0</v>
      </c>
      <c r="V447" s="155"/>
    </row>
    <row r="448" spans="1:22" ht="33">
      <c r="A448" s="61" t="str">
        <f t="shared" ca="1" si="105"/>
        <v xml:space="preserve">Прочая закупка товаров, работ и услуг для обеспечения муниципальных нужд         </v>
      </c>
      <c r="B448" s="145">
        <v>803</v>
      </c>
      <c r="C448" s="8" t="s">
        <v>216</v>
      </c>
      <c r="D448" s="8" t="s">
        <v>219</v>
      </c>
      <c r="E448" s="145" t="s">
        <v>51</v>
      </c>
      <c r="F448" s="145">
        <v>244</v>
      </c>
      <c r="G448" s="69">
        <f>315819.7+25327</f>
        <v>341146.7</v>
      </c>
      <c r="H448" s="64">
        <v>51383.6</v>
      </c>
      <c r="I448" s="69">
        <f t="shared" si="98"/>
        <v>392530.3</v>
      </c>
      <c r="J448" s="64">
        <v>665.5</v>
      </c>
      <c r="K448" s="85">
        <f t="shared" si="99"/>
        <v>393195.8</v>
      </c>
      <c r="L448" s="85">
        <f>10000-13913.1</f>
        <v>-3913.1000000000004</v>
      </c>
      <c r="M448" s="85">
        <f t="shared" si="106"/>
        <v>389282.7</v>
      </c>
      <c r="N448" s="85">
        <f>52.6-729.3</f>
        <v>-676.69999999999993</v>
      </c>
      <c r="O448" s="85">
        <f t="shared" si="107"/>
        <v>388606</v>
      </c>
      <c r="P448" s="85"/>
      <c r="Q448" s="85">
        <f t="shared" si="104"/>
        <v>388606</v>
      </c>
      <c r="R448" s="85">
        <f>69.5-5151.9-400-1020-55-272.5-124.9+1000-75</f>
        <v>-6029.7999999999993</v>
      </c>
      <c r="S448" s="85">
        <f t="shared" si="103"/>
        <v>382576.2</v>
      </c>
      <c r="T448" s="85">
        <f>-5813.4</f>
        <v>-5813.4</v>
      </c>
      <c r="U448" s="85">
        <f t="shared" si="101"/>
        <v>376762.8</v>
      </c>
    </row>
    <row r="449" spans="1:21">
      <c r="A449" s="61" t="str">
        <f t="shared" ca="1" si="105"/>
        <v>Иные бюджетные ассигнования</v>
      </c>
      <c r="B449" s="145">
        <v>803</v>
      </c>
      <c r="C449" s="8" t="s">
        <v>216</v>
      </c>
      <c r="D449" s="8" t="s">
        <v>219</v>
      </c>
      <c r="E449" s="145" t="s">
        <v>51</v>
      </c>
      <c r="F449" s="145">
        <v>800</v>
      </c>
      <c r="G449" s="69">
        <f>G450</f>
        <v>1.6</v>
      </c>
      <c r="H449" s="69">
        <f>H450</f>
        <v>0</v>
      </c>
      <c r="I449" s="69">
        <f t="shared" si="98"/>
        <v>1.6</v>
      </c>
      <c r="J449" s="69">
        <f>J450</f>
        <v>0</v>
      </c>
      <c r="K449" s="85">
        <f t="shared" si="99"/>
        <v>1.6</v>
      </c>
      <c r="L449" s="13">
        <f>L450</f>
        <v>0</v>
      </c>
      <c r="M449" s="85">
        <f t="shared" si="106"/>
        <v>1.6</v>
      </c>
      <c r="N449" s="13">
        <f>N450</f>
        <v>0</v>
      </c>
      <c r="O449" s="85">
        <f t="shared" si="107"/>
        <v>1.6</v>
      </c>
      <c r="P449" s="13">
        <f>P450</f>
        <v>0</v>
      </c>
      <c r="Q449" s="85">
        <f t="shared" si="104"/>
        <v>1.6</v>
      </c>
      <c r="R449" s="13">
        <f>R450</f>
        <v>0</v>
      </c>
      <c r="S449" s="85">
        <f t="shared" si="103"/>
        <v>1.6</v>
      </c>
      <c r="T449" s="13">
        <f>T450</f>
        <v>0</v>
      </c>
      <c r="U449" s="85">
        <f t="shared" si="101"/>
        <v>1.6</v>
      </c>
    </row>
    <row r="450" spans="1:21">
      <c r="A450" s="61" t="str">
        <f t="shared" ca="1" si="105"/>
        <v>Уплата налогов, сборов и иных платежей</v>
      </c>
      <c r="B450" s="145">
        <v>803</v>
      </c>
      <c r="C450" s="8" t="s">
        <v>216</v>
      </c>
      <c r="D450" s="8" t="s">
        <v>219</v>
      </c>
      <c r="E450" s="145" t="s">
        <v>51</v>
      </c>
      <c r="F450" s="145">
        <v>850</v>
      </c>
      <c r="G450" s="69">
        <f>G451</f>
        <v>1.6</v>
      </c>
      <c r="H450" s="69">
        <f>H451</f>
        <v>0</v>
      </c>
      <c r="I450" s="69">
        <f t="shared" si="98"/>
        <v>1.6</v>
      </c>
      <c r="J450" s="69">
        <f>J451</f>
        <v>0</v>
      </c>
      <c r="K450" s="85">
        <f t="shared" si="99"/>
        <v>1.6</v>
      </c>
      <c r="L450" s="13">
        <f>L451</f>
        <v>0</v>
      </c>
      <c r="M450" s="85">
        <f t="shared" si="106"/>
        <v>1.6</v>
      </c>
      <c r="N450" s="13">
        <f>N451</f>
        <v>0</v>
      </c>
      <c r="O450" s="85">
        <f t="shared" si="107"/>
        <v>1.6</v>
      </c>
      <c r="P450" s="13">
        <f>P451</f>
        <v>0</v>
      </c>
      <c r="Q450" s="85">
        <f t="shared" si="104"/>
        <v>1.6</v>
      </c>
      <c r="R450" s="13">
        <f>R451</f>
        <v>0</v>
      </c>
      <c r="S450" s="85">
        <f t="shared" si="103"/>
        <v>1.6</v>
      </c>
      <c r="T450" s="13">
        <f>T451</f>
        <v>0</v>
      </c>
      <c r="U450" s="85">
        <f t="shared" si="101"/>
        <v>1.6</v>
      </c>
    </row>
    <row r="451" spans="1:21">
      <c r="A451" s="61" t="str">
        <f t="shared" ca="1" si="105"/>
        <v>Уплата прочих налогов, сборов и иных платежей</v>
      </c>
      <c r="B451" s="145">
        <v>803</v>
      </c>
      <c r="C451" s="8" t="s">
        <v>216</v>
      </c>
      <c r="D451" s="8" t="s">
        <v>219</v>
      </c>
      <c r="E451" s="145" t="s">
        <v>51</v>
      </c>
      <c r="F451" s="145">
        <v>852</v>
      </c>
      <c r="G451" s="69">
        <v>1.6</v>
      </c>
      <c r="H451" s="64"/>
      <c r="I451" s="69">
        <f t="shared" si="98"/>
        <v>1.6</v>
      </c>
      <c r="J451" s="64"/>
      <c r="K451" s="85">
        <f t="shared" si="99"/>
        <v>1.6</v>
      </c>
      <c r="L451" s="85"/>
      <c r="M451" s="85">
        <f t="shared" si="106"/>
        <v>1.6</v>
      </c>
      <c r="N451" s="85"/>
      <c r="O451" s="85">
        <f t="shared" si="107"/>
        <v>1.6</v>
      </c>
      <c r="P451" s="85"/>
      <c r="Q451" s="85">
        <f t="shared" si="104"/>
        <v>1.6</v>
      </c>
      <c r="R451" s="85"/>
      <c r="S451" s="85">
        <f t="shared" si="103"/>
        <v>1.6</v>
      </c>
      <c r="T451" s="85"/>
      <c r="U451" s="85">
        <f t="shared" si="101"/>
        <v>1.6</v>
      </c>
    </row>
    <row r="452" spans="1:21" ht="49.5">
      <c r="A452" s="61" t="str">
        <f ca="1">IF(ISERROR(MATCH(E452,Код_КЦСР,0)),"",INDIRECT(ADDRESS(MATCH(E452,Код_КЦСР,0)+1,2,,,"КЦСР")))</f>
        <v>Осуществление дорожной деятельности в отношении автомобильных дорог общего пользования местного значения за счет субсидий из областного бюджета</v>
      </c>
      <c r="B452" s="145">
        <v>803</v>
      </c>
      <c r="C452" s="8" t="s">
        <v>216</v>
      </c>
      <c r="D452" s="8" t="s">
        <v>219</v>
      </c>
      <c r="E452" s="145" t="s">
        <v>431</v>
      </c>
      <c r="F452" s="145"/>
      <c r="G452" s="69">
        <f t="shared" ref="G452:T454" si="108">G453</f>
        <v>227763</v>
      </c>
      <c r="H452" s="69">
        <f t="shared" si="108"/>
        <v>0</v>
      </c>
      <c r="I452" s="69">
        <f t="shared" si="98"/>
        <v>227763</v>
      </c>
      <c r="J452" s="69">
        <f t="shared" si="108"/>
        <v>0</v>
      </c>
      <c r="K452" s="85">
        <f t="shared" si="99"/>
        <v>227763</v>
      </c>
      <c r="L452" s="13">
        <f t="shared" si="108"/>
        <v>0</v>
      </c>
      <c r="M452" s="85">
        <f t="shared" si="106"/>
        <v>227763</v>
      </c>
      <c r="N452" s="13">
        <f t="shared" si="108"/>
        <v>0</v>
      </c>
      <c r="O452" s="85">
        <f t="shared" si="107"/>
        <v>227763</v>
      </c>
      <c r="P452" s="13">
        <f t="shared" si="108"/>
        <v>0</v>
      </c>
      <c r="Q452" s="85">
        <f t="shared" si="104"/>
        <v>227763</v>
      </c>
      <c r="R452" s="13">
        <f t="shared" si="108"/>
        <v>0</v>
      </c>
      <c r="S452" s="85">
        <f t="shared" si="103"/>
        <v>227763</v>
      </c>
      <c r="T452" s="13">
        <f t="shared" si="108"/>
        <v>0</v>
      </c>
      <c r="U452" s="85">
        <f t="shared" si="101"/>
        <v>227763</v>
      </c>
    </row>
    <row r="453" spans="1:21">
      <c r="A453" s="61" t="str">
        <f ca="1">IF(ISERROR(MATCH(F453,Код_КВР,0)),"",INDIRECT(ADDRESS(MATCH(F453,Код_КВР,0)+1,2,,,"КВР")))</f>
        <v>Закупка товаров, работ и услуг для муниципальных нужд</v>
      </c>
      <c r="B453" s="145">
        <v>803</v>
      </c>
      <c r="C453" s="8" t="s">
        <v>216</v>
      </c>
      <c r="D453" s="8" t="s">
        <v>219</v>
      </c>
      <c r="E453" s="145" t="s">
        <v>431</v>
      </c>
      <c r="F453" s="145">
        <v>200</v>
      </c>
      <c r="G453" s="69">
        <f t="shared" si="108"/>
        <v>227763</v>
      </c>
      <c r="H453" s="69">
        <f t="shared" si="108"/>
        <v>0</v>
      </c>
      <c r="I453" s="69">
        <f t="shared" si="98"/>
        <v>227763</v>
      </c>
      <c r="J453" s="69">
        <f t="shared" si="108"/>
        <v>0</v>
      </c>
      <c r="K453" s="85">
        <f t="shared" si="99"/>
        <v>227763</v>
      </c>
      <c r="L453" s="13">
        <f t="shared" si="108"/>
        <v>0</v>
      </c>
      <c r="M453" s="85">
        <f t="shared" si="106"/>
        <v>227763</v>
      </c>
      <c r="N453" s="13">
        <f t="shared" si="108"/>
        <v>0</v>
      </c>
      <c r="O453" s="85">
        <f t="shared" si="107"/>
        <v>227763</v>
      </c>
      <c r="P453" s="13">
        <f t="shared" si="108"/>
        <v>0</v>
      </c>
      <c r="Q453" s="85">
        <f t="shared" si="104"/>
        <v>227763</v>
      </c>
      <c r="R453" s="13">
        <f t="shared" si="108"/>
        <v>0</v>
      </c>
      <c r="S453" s="85">
        <f t="shared" si="103"/>
        <v>227763</v>
      </c>
      <c r="T453" s="13">
        <f t="shared" si="108"/>
        <v>0</v>
      </c>
      <c r="U453" s="85">
        <f t="shared" si="101"/>
        <v>227763</v>
      </c>
    </row>
    <row r="454" spans="1:21" ht="33">
      <c r="A454" s="61" t="str">
        <f ca="1">IF(ISERROR(MATCH(F454,Код_КВР,0)),"",INDIRECT(ADDRESS(MATCH(F454,Код_КВР,0)+1,2,,,"КВР")))</f>
        <v>Иные закупки товаров, работ и услуг для обеспечения муниципальных нужд</v>
      </c>
      <c r="B454" s="145">
        <v>803</v>
      </c>
      <c r="C454" s="8" t="s">
        <v>216</v>
      </c>
      <c r="D454" s="8" t="s">
        <v>219</v>
      </c>
      <c r="E454" s="145" t="s">
        <v>431</v>
      </c>
      <c r="F454" s="145">
        <v>240</v>
      </c>
      <c r="G454" s="69">
        <f t="shared" si="108"/>
        <v>227763</v>
      </c>
      <c r="H454" s="69">
        <f t="shared" si="108"/>
        <v>0</v>
      </c>
      <c r="I454" s="69">
        <f t="shared" si="98"/>
        <v>227763</v>
      </c>
      <c r="J454" s="69">
        <f t="shared" si="108"/>
        <v>0</v>
      </c>
      <c r="K454" s="85">
        <f t="shared" si="99"/>
        <v>227763</v>
      </c>
      <c r="L454" s="13">
        <f t="shared" si="108"/>
        <v>0</v>
      </c>
      <c r="M454" s="85">
        <f t="shared" si="106"/>
        <v>227763</v>
      </c>
      <c r="N454" s="13">
        <f t="shared" si="108"/>
        <v>0</v>
      </c>
      <c r="O454" s="85">
        <f t="shared" si="107"/>
        <v>227763</v>
      </c>
      <c r="P454" s="13">
        <f t="shared" si="108"/>
        <v>0</v>
      </c>
      <c r="Q454" s="85">
        <f t="shared" si="104"/>
        <v>227763</v>
      </c>
      <c r="R454" s="13">
        <f t="shared" si="108"/>
        <v>0</v>
      </c>
      <c r="S454" s="85">
        <f t="shared" si="103"/>
        <v>227763</v>
      </c>
      <c r="T454" s="13">
        <f t="shared" si="108"/>
        <v>0</v>
      </c>
      <c r="U454" s="85">
        <f t="shared" si="101"/>
        <v>227763</v>
      </c>
    </row>
    <row r="455" spans="1:21" ht="33">
      <c r="A455" s="61" t="str">
        <f ca="1">IF(ISERROR(MATCH(F455,Код_КВР,0)),"",INDIRECT(ADDRESS(MATCH(F455,Код_КВР,0)+1,2,,,"КВР")))</f>
        <v xml:space="preserve">Прочая закупка товаров, работ и услуг для обеспечения муниципальных нужд         </v>
      </c>
      <c r="B455" s="145">
        <v>803</v>
      </c>
      <c r="C455" s="8" t="s">
        <v>216</v>
      </c>
      <c r="D455" s="8" t="s">
        <v>219</v>
      </c>
      <c r="E455" s="145" t="s">
        <v>431</v>
      </c>
      <c r="F455" s="145">
        <v>244</v>
      </c>
      <c r="G455" s="69">
        <v>227763</v>
      </c>
      <c r="H455" s="64"/>
      <c r="I455" s="69">
        <f t="shared" si="98"/>
        <v>227763</v>
      </c>
      <c r="J455" s="64"/>
      <c r="K455" s="85">
        <f t="shared" si="99"/>
        <v>227763</v>
      </c>
      <c r="L455" s="85"/>
      <c r="M455" s="85">
        <f t="shared" si="106"/>
        <v>227763</v>
      </c>
      <c r="N455" s="85"/>
      <c r="O455" s="85">
        <f t="shared" si="107"/>
        <v>227763</v>
      </c>
      <c r="P455" s="85"/>
      <c r="Q455" s="85">
        <f t="shared" si="104"/>
        <v>227763</v>
      </c>
      <c r="R455" s="85"/>
      <c r="S455" s="85">
        <f t="shared" si="103"/>
        <v>227763</v>
      </c>
      <c r="T455" s="85"/>
      <c r="U455" s="85">
        <f t="shared" si="101"/>
        <v>227763</v>
      </c>
    </row>
    <row r="456" spans="1:21" ht="33">
      <c r="A456" s="61" t="str">
        <f ca="1">IF(ISERROR(MATCH(E456,Код_КЦСР,0)),"",INDIRECT(ADDRESS(MATCH(E456,Код_КЦСР,0)+1,2,,,"КЦСР")))</f>
        <v>Непрограммные направления деятельности органов местного самоуправления</v>
      </c>
      <c r="B456" s="145">
        <v>803</v>
      </c>
      <c r="C456" s="8" t="s">
        <v>216</v>
      </c>
      <c r="D456" s="8" t="s">
        <v>219</v>
      </c>
      <c r="E456" s="145" t="s">
        <v>299</v>
      </c>
      <c r="F456" s="145"/>
      <c r="G456" s="69">
        <f t="shared" ref="G456:T459" si="109">G457</f>
        <v>35000</v>
      </c>
      <c r="H456" s="69">
        <f t="shared" si="109"/>
        <v>0</v>
      </c>
      <c r="I456" s="69">
        <f t="shared" si="98"/>
        <v>35000</v>
      </c>
      <c r="J456" s="69">
        <f t="shared" si="109"/>
        <v>0</v>
      </c>
      <c r="K456" s="85">
        <f t="shared" si="99"/>
        <v>35000</v>
      </c>
      <c r="L456" s="13">
        <f t="shared" si="109"/>
        <v>0</v>
      </c>
      <c r="M456" s="85">
        <f t="shared" si="106"/>
        <v>35000</v>
      </c>
      <c r="N456" s="13">
        <f t="shared" si="109"/>
        <v>0</v>
      </c>
      <c r="O456" s="85">
        <f t="shared" si="107"/>
        <v>35000</v>
      </c>
      <c r="P456" s="13">
        <f t="shared" si="109"/>
        <v>0</v>
      </c>
      <c r="Q456" s="85">
        <f t="shared" si="104"/>
        <v>35000</v>
      </c>
      <c r="R456" s="13">
        <f t="shared" si="109"/>
        <v>0</v>
      </c>
      <c r="S456" s="85">
        <f t="shared" si="103"/>
        <v>35000</v>
      </c>
      <c r="T456" s="13">
        <f t="shared" si="109"/>
        <v>0</v>
      </c>
      <c r="U456" s="85">
        <f t="shared" si="101"/>
        <v>35000</v>
      </c>
    </row>
    <row r="457" spans="1:21">
      <c r="A457" s="61" t="str">
        <f ca="1">IF(ISERROR(MATCH(E457,Код_КЦСР,0)),"",INDIRECT(ADDRESS(MATCH(E457,Код_КЦСР,0)+1,2,,,"КЦСР")))</f>
        <v>Расходы, не включенные в муниципальные программы города Череповца</v>
      </c>
      <c r="B457" s="145">
        <v>803</v>
      </c>
      <c r="C457" s="8" t="s">
        <v>216</v>
      </c>
      <c r="D457" s="8" t="s">
        <v>219</v>
      </c>
      <c r="E457" s="145" t="s">
        <v>301</v>
      </c>
      <c r="F457" s="145"/>
      <c r="G457" s="69">
        <f t="shared" si="109"/>
        <v>35000</v>
      </c>
      <c r="H457" s="69">
        <f t="shared" si="109"/>
        <v>0</v>
      </c>
      <c r="I457" s="69">
        <f t="shared" si="98"/>
        <v>35000</v>
      </c>
      <c r="J457" s="69">
        <f t="shared" si="109"/>
        <v>0</v>
      </c>
      <c r="K457" s="85">
        <f t="shared" si="99"/>
        <v>35000</v>
      </c>
      <c r="L457" s="13">
        <f t="shared" si="109"/>
        <v>0</v>
      </c>
      <c r="M457" s="85">
        <f t="shared" si="106"/>
        <v>35000</v>
      </c>
      <c r="N457" s="13">
        <f t="shared" si="109"/>
        <v>0</v>
      </c>
      <c r="O457" s="85">
        <f t="shared" si="107"/>
        <v>35000</v>
      </c>
      <c r="P457" s="13">
        <f t="shared" si="109"/>
        <v>0</v>
      </c>
      <c r="Q457" s="85">
        <f t="shared" si="104"/>
        <v>35000</v>
      </c>
      <c r="R457" s="13">
        <f t="shared" si="109"/>
        <v>0</v>
      </c>
      <c r="S457" s="85">
        <f t="shared" si="103"/>
        <v>35000</v>
      </c>
      <c r="T457" s="13">
        <f t="shared" si="109"/>
        <v>0</v>
      </c>
      <c r="U457" s="85">
        <f t="shared" si="101"/>
        <v>35000</v>
      </c>
    </row>
    <row r="458" spans="1:21" ht="33">
      <c r="A458" s="61" t="str">
        <f ca="1">IF(ISERROR(MATCH(E458,Код_КЦСР,0)),"",INDIRECT(ADDRESS(MATCH(E458,Код_КЦСР,0)+1,2,,,"КЦСР")))</f>
        <v>Возмещение затрат по организации работ, связанных с уборкой улично-дорожной сети предприятиями жилищно-коммунального хозяйства города</v>
      </c>
      <c r="B458" s="145">
        <v>803</v>
      </c>
      <c r="C458" s="8" t="s">
        <v>216</v>
      </c>
      <c r="D458" s="8" t="s">
        <v>219</v>
      </c>
      <c r="E458" s="145" t="s">
        <v>444</v>
      </c>
      <c r="F458" s="145"/>
      <c r="G458" s="69">
        <f t="shared" si="109"/>
        <v>35000</v>
      </c>
      <c r="H458" s="69">
        <f t="shared" si="109"/>
        <v>0</v>
      </c>
      <c r="I458" s="69">
        <f t="shared" si="98"/>
        <v>35000</v>
      </c>
      <c r="J458" s="69">
        <f t="shared" si="109"/>
        <v>0</v>
      </c>
      <c r="K458" s="85">
        <f t="shared" si="99"/>
        <v>35000</v>
      </c>
      <c r="L458" s="13">
        <f t="shared" si="109"/>
        <v>0</v>
      </c>
      <c r="M458" s="85">
        <f t="shared" si="106"/>
        <v>35000</v>
      </c>
      <c r="N458" s="13">
        <f t="shared" si="109"/>
        <v>0</v>
      </c>
      <c r="O458" s="85">
        <f t="shared" si="107"/>
        <v>35000</v>
      </c>
      <c r="P458" s="13">
        <f t="shared" si="109"/>
        <v>0</v>
      </c>
      <c r="Q458" s="85">
        <f t="shared" si="104"/>
        <v>35000</v>
      </c>
      <c r="R458" s="13">
        <f t="shared" si="109"/>
        <v>0</v>
      </c>
      <c r="S458" s="85">
        <f t="shared" si="103"/>
        <v>35000</v>
      </c>
      <c r="T458" s="13">
        <f t="shared" si="109"/>
        <v>0</v>
      </c>
      <c r="U458" s="85">
        <f t="shared" si="101"/>
        <v>35000</v>
      </c>
    </row>
    <row r="459" spans="1:21">
      <c r="A459" s="61" t="str">
        <f ca="1">IF(ISERROR(MATCH(F459,Код_КВР,0)),"",INDIRECT(ADDRESS(MATCH(F459,Код_КВР,0)+1,2,,,"КВР")))</f>
        <v>Иные бюджетные ассигнования</v>
      </c>
      <c r="B459" s="145">
        <v>803</v>
      </c>
      <c r="C459" s="8" t="s">
        <v>216</v>
      </c>
      <c r="D459" s="8" t="s">
        <v>219</v>
      </c>
      <c r="E459" s="145" t="s">
        <v>444</v>
      </c>
      <c r="F459" s="145">
        <v>800</v>
      </c>
      <c r="G459" s="69">
        <f t="shared" si="109"/>
        <v>35000</v>
      </c>
      <c r="H459" s="69">
        <f t="shared" si="109"/>
        <v>0</v>
      </c>
      <c r="I459" s="69">
        <f t="shared" si="98"/>
        <v>35000</v>
      </c>
      <c r="J459" s="69">
        <f t="shared" si="109"/>
        <v>0</v>
      </c>
      <c r="K459" s="85">
        <f t="shared" si="99"/>
        <v>35000</v>
      </c>
      <c r="L459" s="13">
        <f t="shared" si="109"/>
        <v>0</v>
      </c>
      <c r="M459" s="85">
        <f t="shared" si="106"/>
        <v>35000</v>
      </c>
      <c r="N459" s="13">
        <f t="shared" si="109"/>
        <v>0</v>
      </c>
      <c r="O459" s="85">
        <f t="shared" si="107"/>
        <v>35000</v>
      </c>
      <c r="P459" s="13">
        <f t="shared" si="109"/>
        <v>0</v>
      </c>
      <c r="Q459" s="85">
        <f t="shared" si="104"/>
        <v>35000</v>
      </c>
      <c r="R459" s="13">
        <f t="shared" si="109"/>
        <v>0</v>
      </c>
      <c r="S459" s="85">
        <f t="shared" si="103"/>
        <v>35000</v>
      </c>
      <c r="T459" s="13">
        <f t="shared" si="109"/>
        <v>0</v>
      </c>
      <c r="U459" s="85">
        <f t="shared" si="101"/>
        <v>35000</v>
      </c>
    </row>
    <row r="460" spans="1:21" ht="33">
      <c r="A460" s="61" t="str">
        <f ca="1">IF(ISERROR(MATCH(F460,Код_КВР,0)),"",INDIRECT(ADDRESS(MATCH(F460,Код_КВР,0)+1,2,,,"КВР")))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460" s="145">
        <v>803</v>
      </c>
      <c r="C460" s="8" t="s">
        <v>216</v>
      </c>
      <c r="D460" s="8" t="s">
        <v>219</v>
      </c>
      <c r="E460" s="145" t="s">
        <v>444</v>
      </c>
      <c r="F460" s="145">
        <v>810</v>
      </c>
      <c r="G460" s="69">
        <v>35000</v>
      </c>
      <c r="H460" s="64"/>
      <c r="I460" s="69">
        <f t="shared" si="98"/>
        <v>35000</v>
      </c>
      <c r="J460" s="64"/>
      <c r="K460" s="85">
        <f t="shared" si="99"/>
        <v>35000</v>
      </c>
      <c r="L460" s="85"/>
      <c r="M460" s="85">
        <f t="shared" si="106"/>
        <v>35000</v>
      </c>
      <c r="N460" s="85"/>
      <c r="O460" s="85">
        <f t="shared" si="107"/>
        <v>35000</v>
      </c>
      <c r="P460" s="85"/>
      <c r="Q460" s="85">
        <f t="shared" si="104"/>
        <v>35000</v>
      </c>
      <c r="R460" s="85"/>
      <c r="S460" s="85">
        <f t="shared" si="103"/>
        <v>35000</v>
      </c>
      <c r="T460" s="85"/>
      <c r="U460" s="85">
        <f t="shared" si="101"/>
        <v>35000</v>
      </c>
    </row>
    <row r="461" spans="1:21">
      <c r="A461" s="12" t="s">
        <v>223</v>
      </c>
      <c r="B461" s="145">
        <v>803</v>
      </c>
      <c r="C461" s="8" t="s">
        <v>216</v>
      </c>
      <c r="D461" s="8" t="s">
        <v>196</v>
      </c>
      <c r="E461" s="145"/>
      <c r="F461" s="145"/>
      <c r="G461" s="69">
        <f>G462+G471</f>
        <v>130</v>
      </c>
      <c r="H461" s="69">
        <f>H462+H471</f>
        <v>0</v>
      </c>
      <c r="I461" s="69">
        <f t="shared" si="98"/>
        <v>130</v>
      </c>
      <c r="J461" s="69">
        <f>J462+J471</f>
        <v>0</v>
      </c>
      <c r="K461" s="85">
        <f t="shared" si="99"/>
        <v>130</v>
      </c>
      <c r="L461" s="13">
        <f>L462+L471</f>
        <v>0</v>
      </c>
      <c r="M461" s="85">
        <f t="shared" si="106"/>
        <v>130</v>
      </c>
      <c r="N461" s="13">
        <f>N462+N471</f>
        <v>0</v>
      </c>
      <c r="O461" s="85">
        <f t="shared" si="107"/>
        <v>130</v>
      </c>
      <c r="P461" s="13">
        <f>P462+P471</f>
        <v>0</v>
      </c>
      <c r="Q461" s="85">
        <f t="shared" si="104"/>
        <v>130</v>
      </c>
      <c r="R461" s="13">
        <f>R462+R471</f>
        <v>0</v>
      </c>
      <c r="S461" s="85">
        <f t="shared" si="103"/>
        <v>130</v>
      </c>
      <c r="T461" s="13">
        <f>T462+T471</f>
        <v>0</v>
      </c>
      <c r="U461" s="85">
        <f t="shared" si="101"/>
        <v>130</v>
      </c>
    </row>
    <row r="462" spans="1:21" ht="33">
      <c r="A462" s="61" t="str">
        <f ca="1">IF(ISERROR(MATCH(E462,Код_КЦСР,0)),"",INDIRECT(ADDRESS(MATCH(E462,Код_КЦСР,0)+1,2,,,"КЦСР")))</f>
        <v>Муниципальная программа «Развитие внутреннего и въездного туризма в г. Череповце» на 2014-2022 годы</v>
      </c>
      <c r="B462" s="145">
        <v>803</v>
      </c>
      <c r="C462" s="8" t="s">
        <v>216</v>
      </c>
      <c r="D462" s="8" t="s">
        <v>196</v>
      </c>
      <c r="E462" s="145" t="s">
        <v>1</v>
      </c>
      <c r="F462" s="145"/>
      <c r="G462" s="69">
        <f>G463+G467</f>
        <v>50</v>
      </c>
      <c r="H462" s="69">
        <f>H463+H467</f>
        <v>0</v>
      </c>
      <c r="I462" s="69">
        <f t="shared" si="98"/>
        <v>50</v>
      </c>
      <c r="J462" s="69">
        <f>J463+J467</f>
        <v>0</v>
      </c>
      <c r="K462" s="85">
        <f t="shared" si="99"/>
        <v>50</v>
      </c>
      <c r="L462" s="13">
        <f>L463+L467</f>
        <v>0</v>
      </c>
      <c r="M462" s="85">
        <f t="shared" si="106"/>
        <v>50</v>
      </c>
      <c r="N462" s="13">
        <f>N463+N467</f>
        <v>0</v>
      </c>
      <c r="O462" s="85">
        <f t="shared" si="107"/>
        <v>50</v>
      </c>
      <c r="P462" s="13">
        <f>P463+P467</f>
        <v>0</v>
      </c>
      <c r="Q462" s="85">
        <f t="shared" si="104"/>
        <v>50</v>
      </c>
      <c r="R462" s="13">
        <f>R463+R467</f>
        <v>0</v>
      </c>
      <c r="S462" s="85">
        <f t="shared" si="103"/>
        <v>50</v>
      </c>
      <c r="T462" s="13">
        <f>T463+T467</f>
        <v>0</v>
      </c>
      <c r="U462" s="85">
        <f t="shared" si="101"/>
        <v>50</v>
      </c>
    </row>
    <row r="463" spans="1:21">
      <c r="A463" s="61" t="str">
        <f ca="1">IF(ISERROR(MATCH(E463,Код_КЦСР,0)),"",INDIRECT(ADDRESS(MATCH(E463,Код_КЦСР,0)+1,2,,,"КЦСР")))</f>
        <v>Продвижение городского туристского продукта на российском рынке</v>
      </c>
      <c r="B463" s="145">
        <v>803</v>
      </c>
      <c r="C463" s="8" t="s">
        <v>216</v>
      </c>
      <c r="D463" s="8" t="s">
        <v>196</v>
      </c>
      <c r="E463" s="145" t="s">
        <v>2</v>
      </c>
      <c r="F463" s="145"/>
      <c r="G463" s="69">
        <f t="shared" ref="G463:T465" si="110">G464</f>
        <v>22</v>
      </c>
      <c r="H463" s="69">
        <f t="shared" si="110"/>
        <v>0</v>
      </c>
      <c r="I463" s="69">
        <f t="shared" si="98"/>
        <v>22</v>
      </c>
      <c r="J463" s="69">
        <f t="shared" si="110"/>
        <v>0</v>
      </c>
      <c r="K463" s="85">
        <f t="shared" si="99"/>
        <v>22</v>
      </c>
      <c r="L463" s="13">
        <f t="shared" si="110"/>
        <v>0</v>
      </c>
      <c r="M463" s="85">
        <f t="shared" si="106"/>
        <v>22</v>
      </c>
      <c r="N463" s="13">
        <f t="shared" si="110"/>
        <v>0</v>
      </c>
      <c r="O463" s="85">
        <f t="shared" si="107"/>
        <v>22</v>
      </c>
      <c r="P463" s="13">
        <f t="shared" si="110"/>
        <v>0</v>
      </c>
      <c r="Q463" s="85">
        <f t="shared" si="104"/>
        <v>22</v>
      </c>
      <c r="R463" s="13">
        <f t="shared" si="110"/>
        <v>0</v>
      </c>
      <c r="S463" s="85">
        <f t="shared" si="103"/>
        <v>22</v>
      </c>
      <c r="T463" s="13">
        <f t="shared" si="110"/>
        <v>0</v>
      </c>
      <c r="U463" s="85">
        <f t="shared" si="101"/>
        <v>22</v>
      </c>
    </row>
    <row r="464" spans="1:21">
      <c r="A464" s="61" t="str">
        <f ca="1">IF(ISERROR(MATCH(F464,Код_КВР,0)),"",INDIRECT(ADDRESS(MATCH(F464,Код_КВР,0)+1,2,,,"КВР")))</f>
        <v>Закупка товаров, работ и услуг для муниципальных нужд</v>
      </c>
      <c r="B464" s="145">
        <v>803</v>
      </c>
      <c r="C464" s="8" t="s">
        <v>216</v>
      </c>
      <c r="D464" s="8" t="s">
        <v>196</v>
      </c>
      <c r="E464" s="145" t="s">
        <v>2</v>
      </c>
      <c r="F464" s="145">
        <v>200</v>
      </c>
      <c r="G464" s="69">
        <f t="shared" si="110"/>
        <v>22</v>
      </c>
      <c r="H464" s="69">
        <f t="shared" si="110"/>
        <v>0</v>
      </c>
      <c r="I464" s="69">
        <f t="shared" si="98"/>
        <v>22</v>
      </c>
      <c r="J464" s="69">
        <f t="shared" si="110"/>
        <v>0</v>
      </c>
      <c r="K464" s="85">
        <f t="shared" si="99"/>
        <v>22</v>
      </c>
      <c r="L464" s="13">
        <f t="shared" si="110"/>
        <v>0</v>
      </c>
      <c r="M464" s="85">
        <f t="shared" si="106"/>
        <v>22</v>
      </c>
      <c r="N464" s="13">
        <f t="shared" si="110"/>
        <v>0</v>
      </c>
      <c r="O464" s="85">
        <f t="shared" si="107"/>
        <v>22</v>
      </c>
      <c r="P464" s="13">
        <f t="shared" si="110"/>
        <v>0</v>
      </c>
      <c r="Q464" s="85">
        <f t="shared" si="104"/>
        <v>22</v>
      </c>
      <c r="R464" s="13">
        <f t="shared" si="110"/>
        <v>0</v>
      </c>
      <c r="S464" s="85">
        <f t="shared" si="103"/>
        <v>22</v>
      </c>
      <c r="T464" s="13">
        <f t="shared" si="110"/>
        <v>0</v>
      </c>
      <c r="U464" s="85">
        <f t="shared" si="101"/>
        <v>22</v>
      </c>
    </row>
    <row r="465" spans="1:21" ht="33">
      <c r="A465" s="61" t="str">
        <f ca="1">IF(ISERROR(MATCH(F465,Код_КВР,0)),"",INDIRECT(ADDRESS(MATCH(F465,Код_КВР,0)+1,2,,,"КВР")))</f>
        <v>Иные закупки товаров, работ и услуг для обеспечения муниципальных нужд</v>
      </c>
      <c r="B465" s="145">
        <v>803</v>
      </c>
      <c r="C465" s="8" t="s">
        <v>216</v>
      </c>
      <c r="D465" s="8" t="s">
        <v>196</v>
      </c>
      <c r="E465" s="145" t="s">
        <v>2</v>
      </c>
      <c r="F465" s="145">
        <v>240</v>
      </c>
      <c r="G465" s="69">
        <f t="shared" si="110"/>
        <v>22</v>
      </c>
      <c r="H465" s="69">
        <f t="shared" si="110"/>
        <v>0</v>
      </c>
      <c r="I465" s="69">
        <f t="shared" si="98"/>
        <v>22</v>
      </c>
      <c r="J465" s="69">
        <f t="shared" si="110"/>
        <v>0</v>
      </c>
      <c r="K465" s="85">
        <f t="shared" si="99"/>
        <v>22</v>
      </c>
      <c r="L465" s="13">
        <f t="shared" si="110"/>
        <v>0</v>
      </c>
      <c r="M465" s="85">
        <f t="shared" si="106"/>
        <v>22</v>
      </c>
      <c r="N465" s="13">
        <f t="shared" si="110"/>
        <v>0</v>
      </c>
      <c r="O465" s="85">
        <f t="shared" si="107"/>
        <v>22</v>
      </c>
      <c r="P465" s="13">
        <f t="shared" si="110"/>
        <v>0</v>
      </c>
      <c r="Q465" s="85">
        <f t="shared" si="104"/>
        <v>22</v>
      </c>
      <c r="R465" s="13">
        <f t="shared" si="110"/>
        <v>0</v>
      </c>
      <c r="S465" s="85">
        <f t="shared" si="103"/>
        <v>22</v>
      </c>
      <c r="T465" s="13">
        <f t="shared" si="110"/>
        <v>0</v>
      </c>
      <c r="U465" s="85">
        <f t="shared" si="101"/>
        <v>22</v>
      </c>
    </row>
    <row r="466" spans="1:21" ht="33">
      <c r="A466" s="61" t="str">
        <f ca="1">IF(ISERROR(MATCH(F466,Код_КВР,0)),"",INDIRECT(ADDRESS(MATCH(F466,Код_КВР,0)+1,2,,,"КВР")))</f>
        <v xml:space="preserve">Прочая закупка товаров, работ и услуг для обеспечения муниципальных нужд         </v>
      </c>
      <c r="B466" s="145">
        <v>803</v>
      </c>
      <c r="C466" s="8" t="s">
        <v>216</v>
      </c>
      <c r="D466" s="8" t="s">
        <v>196</v>
      </c>
      <c r="E466" s="145" t="s">
        <v>2</v>
      </c>
      <c r="F466" s="145">
        <v>244</v>
      </c>
      <c r="G466" s="69">
        <v>22</v>
      </c>
      <c r="H466" s="64"/>
      <c r="I466" s="69">
        <f t="shared" si="98"/>
        <v>22</v>
      </c>
      <c r="J466" s="64"/>
      <c r="K466" s="85">
        <f t="shared" si="99"/>
        <v>22</v>
      </c>
      <c r="L466" s="85"/>
      <c r="M466" s="85">
        <f t="shared" si="106"/>
        <v>22</v>
      </c>
      <c r="N466" s="85"/>
      <c r="O466" s="85">
        <f t="shared" si="107"/>
        <v>22</v>
      </c>
      <c r="P466" s="85"/>
      <c r="Q466" s="85">
        <f t="shared" si="104"/>
        <v>22</v>
      </c>
      <c r="R466" s="85"/>
      <c r="S466" s="85">
        <f t="shared" si="103"/>
        <v>22</v>
      </c>
      <c r="T466" s="85"/>
      <c r="U466" s="85">
        <f t="shared" si="101"/>
        <v>22</v>
      </c>
    </row>
    <row r="467" spans="1:21">
      <c r="A467" s="61" t="str">
        <f ca="1">IF(ISERROR(MATCH(E467,Код_КЦСР,0)),"",INDIRECT(ADDRESS(MATCH(E467,Код_КЦСР,0)+1,2,,,"КЦСР")))</f>
        <v>Развитие туристской, инженерной и транспортной инфраструктур</v>
      </c>
      <c r="B467" s="145">
        <v>803</v>
      </c>
      <c r="C467" s="8" t="s">
        <v>216</v>
      </c>
      <c r="D467" s="8" t="s">
        <v>196</v>
      </c>
      <c r="E467" s="145" t="s">
        <v>3</v>
      </c>
      <c r="F467" s="145"/>
      <c r="G467" s="69">
        <f>G468</f>
        <v>28</v>
      </c>
      <c r="H467" s="64"/>
      <c r="I467" s="69">
        <f t="shared" si="98"/>
        <v>28</v>
      </c>
      <c r="J467" s="64"/>
      <c r="K467" s="85">
        <f t="shared" si="99"/>
        <v>28</v>
      </c>
      <c r="L467" s="85"/>
      <c r="M467" s="85">
        <f t="shared" si="106"/>
        <v>28</v>
      </c>
      <c r="N467" s="85"/>
      <c r="O467" s="85">
        <f t="shared" si="107"/>
        <v>28</v>
      </c>
      <c r="P467" s="85"/>
      <c r="Q467" s="85">
        <f t="shared" si="104"/>
        <v>28</v>
      </c>
      <c r="R467" s="85"/>
      <c r="S467" s="85">
        <f t="shared" si="103"/>
        <v>28</v>
      </c>
      <c r="T467" s="85"/>
      <c r="U467" s="85">
        <f t="shared" si="101"/>
        <v>28</v>
      </c>
    </row>
    <row r="468" spans="1:21">
      <c r="A468" s="61" t="str">
        <f ca="1">IF(ISERROR(MATCH(F468,Код_КВР,0)),"",INDIRECT(ADDRESS(MATCH(F468,Код_КВР,0)+1,2,,,"КВР")))</f>
        <v>Закупка товаров, работ и услуг для муниципальных нужд</v>
      </c>
      <c r="B468" s="145">
        <v>803</v>
      </c>
      <c r="C468" s="8" t="s">
        <v>216</v>
      </c>
      <c r="D468" s="8" t="s">
        <v>196</v>
      </c>
      <c r="E468" s="145" t="s">
        <v>3</v>
      </c>
      <c r="F468" s="145">
        <v>200</v>
      </c>
      <c r="G468" s="69">
        <f>G469</f>
        <v>28</v>
      </c>
      <c r="H468" s="69">
        <f>H469</f>
        <v>0</v>
      </c>
      <c r="I468" s="69">
        <f t="shared" si="98"/>
        <v>28</v>
      </c>
      <c r="J468" s="69">
        <f>J469</f>
        <v>0</v>
      </c>
      <c r="K468" s="85">
        <f t="shared" si="99"/>
        <v>28</v>
      </c>
      <c r="L468" s="13">
        <f>L469</f>
        <v>0</v>
      </c>
      <c r="M468" s="85">
        <f t="shared" si="106"/>
        <v>28</v>
      </c>
      <c r="N468" s="13">
        <f>N469</f>
        <v>0</v>
      </c>
      <c r="O468" s="85">
        <f t="shared" si="107"/>
        <v>28</v>
      </c>
      <c r="P468" s="13">
        <f>P469</f>
        <v>0</v>
      </c>
      <c r="Q468" s="85">
        <f t="shared" si="104"/>
        <v>28</v>
      </c>
      <c r="R468" s="13">
        <f>R469</f>
        <v>0</v>
      </c>
      <c r="S468" s="85">
        <f t="shared" si="103"/>
        <v>28</v>
      </c>
      <c r="T468" s="13">
        <f>T469</f>
        <v>0</v>
      </c>
      <c r="U468" s="85">
        <f t="shared" si="101"/>
        <v>28</v>
      </c>
    </row>
    <row r="469" spans="1:21" ht="33">
      <c r="A469" s="61" t="str">
        <f ca="1">IF(ISERROR(MATCH(F469,Код_КВР,0)),"",INDIRECT(ADDRESS(MATCH(F469,Код_КВР,0)+1,2,,,"КВР")))</f>
        <v>Иные закупки товаров, работ и услуг для обеспечения муниципальных нужд</v>
      </c>
      <c r="B469" s="145">
        <v>803</v>
      </c>
      <c r="C469" s="8" t="s">
        <v>216</v>
      </c>
      <c r="D469" s="8" t="s">
        <v>196</v>
      </c>
      <c r="E469" s="145" t="s">
        <v>3</v>
      </c>
      <c r="F469" s="145">
        <v>240</v>
      </c>
      <c r="G469" s="69">
        <f>G470</f>
        <v>28</v>
      </c>
      <c r="H469" s="64"/>
      <c r="I469" s="69">
        <f t="shared" si="98"/>
        <v>28</v>
      </c>
      <c r="J469" s="64"/>
      <c r="K469" s="85">
        <f t="shared" si="99"/>
        <v>28</v>
      </c>
      <c r="L469" s="85"/>
      <c r="M469" s="85">
        <f t="shared" si="106"/>
        <v>28</v>
      </c>
      <c r="N469" s="85"/>
      <c r="O469" s="85">
        <f t="shared" si="107"/>
        <v>28</v>
      </c>
      <c r="P469" s="85"/>
      <c r="Q469" s="85">
        <f t="shared" si="104"/>
        <v>28</v>
      </c>
      <c r="R469" s="85"/>
      <c r="S469" s="85">
        <f t="shared" si="103"/>
        <v>28</v>
      </c>
      <c r="T469" s="85"/>
      <c r="U469" s="85">
        <f t="shared" si="101"/>
        <v>28</v>
      </c>
    </row>
    <row r="470" spans="1:21" ht="33">
      <c r="A470" s="61" t="str">
        <f ca="1">IF(ISERROR(MATCH(F470,Код_КВР,0)),"",INDIRECT(ADDRESS(MATCH(F470,Код_КВР,0)+1,2,,,"КВР")))</f>
        <v xml:space="preserve">Прочая закупка товаров, работ и услуг для обеспечения муниципальных нужд         </v>
      </c>
      <c r="B470" s="145">
        <v>803</v>
      </c>
      <c r="C470" s="8" t="s">
        <v>216</v>
      </c>
      <c r="D470" s="8" t="s">
        <v>196</v>
      </c>
      <c r="E470" s="145" t="s">
        <v>3</v>
      </c>
      <c r="F470" s="145">
        <v>244</v>
      </c>
      <c r="G470" s="69">
        <v>28</v>
      </c>
      <c r="H470" s="64"/>
      <c r="I470" s="69">
        <f t="shared" si="98"/>
        <v>28</v>
      </c>
      <c r="J470" s="64"/>
      <c r="K470" s="85">
        <f t="shared" si="99"/>
        <v>28</v>
      </c>
      <c r="L470" s="85"/>
      <c r="M470" s="85">
        <f t="shared" si="106"/>
        <v>28</v>
      </c>
      <c r="N470" s="85"/>
      <c r="O470" s="85">
        <f t="shared" si="107"/>
        <v>28</v>
      </c>
      <c r="P470" s="85"/>
      <c r="Q470" s="85">
        <f t="shared" si="104"/>
        <v>28</v>
      </c>
      <c r="R470" s="85"/>
      <c r="S470" s="85">
        <f t="shared" si="103"/>
        <v>28</v>
      </c>
      <c r="T470" s="85"/>
      <c r="U470" s="85">
        <f t="shared" si="101"/>
        <v>28</v>
      </c>
    </row>
    <row r="471" spans="1:21" ht="33">
      <c r="A471" s="61" t="str">
        <f ca="1">IF(ISERROR(MATCH(E471,Код_КЦСР,0)),"",INDIRECT(ADDRESS(MATCH(E471,Код_КЦСР,0)+1,2,,,"КЦСР")))</f>
        <v>Муниципальная программа «Развитие жилищно-коммунального хозяйства города Череповца» на 2014-2018 годы</v>
      </c>
      <c r="B471" s="145">
        <v>803</v>
      </c>
      <c r="C471" s="8" t="s">
        <v>216</v>
      </c>
      <c r="D471" s="8" t="s">
        <v>196</v>
      </c>
      <c r="E471" s="145" t="s">
        <v>46</v>
      </c>
      <c r="F471" s="145"/>
      <c r="G471" s="69">
        <f t="shared" ref="G471:T475" si="111">G472</f>
        <v>80</v>
      </c>
      <c r="H471" s="69">
        <f t="shared" si="111"/>
        <v>0</v>
      </c>
      <c r="I471" s="69">
        <f t="shared" si="98"/>
        <v>80</v>
      </c>
      <c r="J471" s="69">
        <f t="shared" si="111"/>
        <v>0</v>
      </c>
      <c r="K471" s="85">
        <f t="shared" ref="K471:K538" si="112">I471+J471</f>
        <v>80</v>
      </c>
      <c r="L471" s="13">
        <f t="shared" si="111"/>
        <v>0</v>
      </c>
      <c r="M471" s="85">
        <f t="shared" si="106"/>
        <v>80</v>
      </c>
      <c r="N471" s="13">
        <f t="shared" si="111"/>
        <v>0</v>
      </c>
      <c r="O471" s="85">
        <f t="shared" si="107"/>
        <v>80</v>
      </c>
      <c r="P471" s="13">
        <f t="shared" si="111"/>
        <v>0</v>
      </c>
      <c r="Q471" s="85">
        <f t="shared" si="104"/>
        <v>80</v>
      </c>
      <c r="R471" s="13">
        <f t="shared" si="111"/>
        <v>0</v>
      </c>
      <c r="S471" s="85">
        <f t="shared" si="103"/>
        <v>80</v>
      </c>
      <c r="T471" s="13">
        <f t="shared" si="111"/>
        <v>0</v>
      </c>
      <c r="U471" s="85">
        <f t="shared" si="101"/>
        <v>80</v>
      </c>
    </row>
    <row r="472" spans="1:21">
      <c r="A472" s="61" t="str">
        <f ca="1">IF(ISERROR(MATCH(E472,Код_КЦСР,0)),"",INDIRECT(ADDRESS(MATCH(E472,Код_КЦСР,0)+1,2,,,"КЦСР")))</f>
        <v>Развитие благоустройства города</v>
      </c>
      <c r="B472" s="145">
        <v>803</v>
      </c>
      <c r="C472" s="8" t="s">
        <v>216</v>
      </c>
      <c r="D472" s="8" t="s">
        <v>196</v>
      </c>
      <c r="E472" s="145" t="s">
        <v>47</v>
      </c>
      <c r="F472" s="145"/>
      <c r="G472" s="69">
        <f t="shared" si="111"/>
        <v>80</v>
      </c>
      <c r="H472" s="69">
        <f t="shared" si="111"/>
        <v>0</v>
      </c>
      <c r="I472" s="69">
        <f t="shared" si="98"/>
        <v>80</v>
      </c>
      <c r="J472" s="69">
        <f t="shared" si="111"/>
        <v>0</v>
      </c>
      <c r="K472" s="85">
        <f t="shared" si="112"/>
        <v>80</v>
      </c>
      <c r="L472" s="13">
        <f t="shared" si="111"/>
        <v>0</v>
      </c>
      <c r="M472" s="85">
        <f t="shared" si="106"/>
        <v>80</v>
      </c>
      <c r="N472" s="13">
        <f t="shared" si="111"/>
        <v>0</v>
      </c>
      <c r="O472" s="85">
        <f t="shared" si="107"/>
        <v>80</v>
      </c>
      <c r="P472" s="13">
        <f t="shared" si="111"/>
        <v>0</v>
      </c>
      <c r="Q472" s="85">
        <f t="shared" si="104"/>
        <v>80</v>
      </c>
      <c r="R472" s="13">
        <f t="shared" si="111"/>
        <v>0</v>
      </c>
      <c r="S472" s="85">
        <f t="shared" si="103"/>
        <v>80</v>
      </c>
      <c r="T472" s="13">
        <f t="shared" si="111"/>
        <v>0</v>
      </c>
      <c r="U472" s="85">
        <f t="shared" si="101"/>
        <v>80</v>
      </c>
    </row>
    <row r="473" spans="1:21" ht="33">
      <c r="A473" s="61" t="str">
        <f ca="1">IF(ISERROR(MATCH(E473,Код_КЦСР,0)),"",INDIRECT(ADDRESS(MATCH(E473,Код_КЦСР,0)+1,2,,,"КЦСР")))</f>
        <v>Мероприятия по решению общегосударственных вопросов и вопросов в области национальной политики</v>
      </c>
      <c r="B473" s="145">
        <v>803</v>
      </c>
      <c r="C473" s="8" t="s">
        <v>216</v>
      </c>
      <c r="D473" s="8" t="s">
        <v>196</v>
      </c>
      <c r="E473" s="145" t="s">
        <v>53</v>
      </c>
      <c r="F473" s="145"/>
      <c r="G473" s="69">
        <f t="shared" si="111"/>
        <v>80</v>
      </c>
      <c r="H473" s="69">
        <f t="shared" si="111"/>
        <v>0</v>
      </c>
      <c r="I473" s="69">
        <f t="shared" si="98"/>
        <v>80</v>
      </c>
      <c r="J473" s="69">
        <f t="shared" si="111"/>
        <v>0</v>
      </c>
      <c r="K473" s="85">
        <f t="shared" si="112"/>
        <v>80</v>
      </c>
      <c r="L473" s="13">
        <f t="shared" si="111"/>
        <v>0</v>
      </c>
      <c r="M473" s="85">
        <f t="shared" si="106"/>
        <v>80</v>
      </c>
      <c r="N473" s="13">
        <f t="shared" si="111"/>
        <v>0</v>
      </c>
      <c r="O473" s="85">
        <f t="shared" si="107"/>
        <v>80</v>
      </c>
      <c r="P473" s="13">
        <f t="shared" si="111"/>
        <v>0</v>
      </c>
      <c r="Q473" s="85">
        <f t="shared" si="104"/>
        <v>80</v>
      </c>
      <c r="R473" s="13">
        <f t="shared" si="111"/>
        <v>0</v>
      </c>
      <c r="S473" s="85">
        <f t="shared" si="103"/>
        <v>80</v>
      </c>
      <c r="T473" s="13">
        <f t="shared" si="111"/>
        <v>0</v>
      </c>
      <c r="U473" s="85">
        <f t="shared" si="101"/>
        <v>80</v>
      </c>
    </row>
    <row r="474" spans="1:21">
      <c r="A474" s="61" t="str">
        <f ca="1">IF(ISERROR(MATCH(F474,Код_КВР,0)),"",INDIRECT(ADDRESS(MATCH(F474,Код_КВР,0)+1,2,,,"КВР")))</f>
        <v>Закупка товаров, работ и услуг для муниципальных нужд</v>
      </c>
      <c r="B474" s="145">
        <v>803</v>
      </c>
      <c r="C474" s="8" t="s">
        <v>216</v>
      </c>
      <c r="D474" s="8" t="s">
        <v>196</v>
      </c>
      <c r="E474" s="145" t="s">
        <v>53</v>
      </c>
      <c r="F474" s="145">
        <v>200</v>
      </c>
      <c r="G474" s="69">
        <f t="shared" si="111"/>
        <v>80</v>
      </c>
      <c r="H474" s="69">
        <f t="shared" si="111"/>
        <v>0</v>
      </c>
      <c r="I474" s="69">
        <f t="shared" si="98"/>
        <v>80</v>
      </c>
      <c r="J474" s="69">
        <f t="shared" si="111"/>
        <v>0</v>
      </c>
      <c r="K474" s="85">
        <f t="shared" si="112"/>
        <v>80</v>
      </c>
      <c r="L474" s="13">
        <f t="shared" si="111"/>
        <v>0</v>
      </c>
      <c r="M474" s="85">
        <f t="shared" si="106"/>
        <v>80</v>
      </c>
      <c r="N474" s="13">
        <f t="shared" si="111"/>
        <v>0</v>
      </c>
      <c r="O474" s="85">
        <f t="shared" si="107"/>
        <v>80</v>
      </c>
      <c r="P474" s="13">
        <f t="shared" si="111"/>
        <v>0</v>
      </c>
      <c r="Q474" s="85">
        <f t="shared" si="104"/>
        <v>80</v>
      </c>
      <c r="R474" s="13">
        <f t="shared" si="111"/>
        <v>0</v>
      </c>
      <c r="S474" s="85">
        <f t="shared" si="103"/>
        <v>80</v>
      </c>
      <c r="T474" s="13">
        <f t="shared" si="111"/>
        <v>0</v>
      </c>
      <c r="U474" s="85">
        <f t="shared" ref="U474:U537" si="113">S474+T474</f>
        <v>80</v>
      </c>
    </row>
    <row r="475" spans="1:21" ht="33">
      <c r="A475" s="61" t="str">
        <f ca="1">IF(ISERROR(MATCH(F475,Код_КВР,0)),"",INDIRECT(ADDRESS(MATCH(F475,Код_КВР,0)+1,2,,,"КВР")))</f>
        <v>Иные закупки товаров, работ и услуг для обеспечения муниципальных нужд</v>
      </c>
      <c r="B475" s="145">
        <v>803</v>
      </c>
      <c r="C475" s="8" t="s">
        <v>216</v>
      </c>
      <c r="D475" s="8" t="s">
        <v>196</v>
      </c>
      <c r="E475" s="145" t="s">
        <v>53</v>
      </c>
      <c r="F475" s="145">
        <v>240</v>
      </c>
      <c r="G475" s="69">
        <f t="shared" si="111"/>
        <v>80</v>
      </c>
      <c r="H475" s="69">
        <f t="shared" si="111"/>
        <v>0</v>
      </c>
      <c r="I475" s="69">
        <f t="shared" si="98"/>
        <v>80</v>
      </c>
      <c r="J475" s="69">
        <f t="shared" si="111"/>
        <v>0</v>
      </c>
      <c r="K475" s="85">
        <f t="shared" si="112"/>
        <v>80</v>
      </c>
      <c r="L475" s="13">
        <f t="shared" si="111"/>
        <v>0</v>
      </c>
      <c r="M475" s="85">
        <f t="shared" si="106"/>
        <v>80</v>
      </c>
      <c r="N475" s="13">
        <f t="shared" si="111"/>
        <v>0</v>
      </c>
      <c r="O475" s="85">
        <f t="shared" si="107"/>
        <v>80</v>
      </c>
      <c r="P475" s="13">
        <f t="shared" si="111"/>
        <v>0</v>
      </c>
      <c r="Q475" s="85">
        <f t="shared" si="104"/>
        <v>80</v>
      </c>
      <c r="R475" s="13">
        <f t="shared" si="111"/>
        <v>0</v>
      </c>
      <c r="S475" s="85">
        <f t="shared" si="103"/>
        <v>80</v>
      </c>
      <c r="T475" s="13">
        <f t="shared" si="111"/>
        <v>0</v>
      </c>
      <c r="U475" s="85">
        <f t="shared" si="113"/>
        <v>80</v>
      </c>
    </row>
    <row r="476" spans="1:21" ht="33">
      <c r="A476" s="61" t="str">
        <f ca="1">IF(ISERROR(MATCH(F476,Код_КВР,0)),"",INDIRECT(ADDRESS(MATCH(F476,Код_КВР,0)+1,2,,,"КВР")))</f>
        <v xml:space="preserve">Прочая закупка товаров, работ и услуг для обеспечения муниципальных нужд         </v>
      </c>
      <c r="B476" s="145">
        <v>803</v>
      </c>
      <c r="C476" s="8" t="s">
        <v>216</v>
      </c>
      <c r="D476" s="8" t="s">
        <v>196</v>
      </c>
      <c r="E476" s="145" t="s">
        <v>53</v>
      </c>
      <c r="F476" s="145">
        <v>244</v>
      </c>
      <c r="G476" s="69">
        <v>80</v>
      </c>
      <c r="H476" s="64"/>
      <c r="I476" s="69">
        <f t="shared" si="98"/>
        <v>80</v>
      </c>
      <c r="J476" s="64"/>
      <c r="K476" s="85">
        <f t="shared" si="112"/>
        <v>80</v>
      </c>
      <c r="L476" s="85"/>
      <c r="M476" s="85">
        <f t="shared" si="106"/>
        <v>80</v>
      </c>
      <c r="N476" s="85"/>
      <c r="O476" s="85">
        <f t="shared" si="107"/>
        <v>80</v>
      </c>
      <c r="P476" s="85"/>
      <c r="Q476" s="85">
        <f t="shared" si="104"/>
        <v>80</v>
      </c>
      <c r="R476" s="85"/>
      <c r="S476" s="85">
        <f t="shared" si="103"/>
        <v>80</v>
      </c>
      <c r="T476" s="85"/>
      <c r="U476" s="85">
        <f t="shared" si="113"/>
        <v>80</v>
      </c>
    </row>
    <row r="477" spans="1:21">
      <c r="A477" s="61" t="str">
        <f ca="1">IF(ISERROR(MATCH(C477,Код_Раздел,0)),"",INDIRECT(ADDRESS(MATCH(C477,Код_Раздел,0)+1,2,,,"Раздел")))</f>
        <v>Жилищно-коммунальное хозяйство</v>
      </c>
      <c r="B477" s="145">
        <v>803</v>
      </c>
      <c r="C477" s="8" t="s">
        <v>221</v>
      </c>
      <c r="D477" s="8"/>
      <c r="E477" s="145"/>
      <c r="F477" s="145"/>
      <c r="G477" s="69">
        <f>G478+G499+G513</f>
        <v>167820.5</v>
      </c>
      <c r="H477" s="69">
        <f>H478+H499+H513</f>
        <v>0</v>
      </c>
      <c r="I477" s="69">
        <f t="shared" ref="I477:I544" si="114">G477+H477</f>
        <v>167820.5</v>
      </c>
      <c r="J477" s="69">
        <f>J478+J499+J513</f>
        <v>-898.90000000000009</v>
      </c>
      <c r="K477" s="85">
        <f t="shared" si="112"/>
        <v>166921.60000000001</v>
      </c>
      <c r="L477" s="13">
        <f>L478+L499+L513</f>
        <v>-2681.7</v>
      </c>
      <c r="M477" s="85">
        <f t="shared" si="106"/>
        <v>164239.9</v>
      </c>
      <c r="N477" s="13">
        <f>N478+N499+N513</f>
        <v>0</v>
      </c>
      <c r="O477" s="85">
        <f t="shared" si="107"/>
        <v>164239.9</v>
      </c>
      <c r="P477" s="13">
        <f>P478+P499+P513</f>
        <v>-140.19999999999999</v>
      </c>
      <c r="Q477" s="85">
        <f t="shared" si="104"/>
        <v>164099.69999999998</v>
      </c>
      <c r="R477" s="13">
        <f>R478+R499+R513</f>
        <v>6242.2000000000007</v>
      </c>
      <c r="S477" s="85">
        <f t="shared" si="103"/>
        <v>170341.9</v>
      </c>
      <c r="T477" s="13">
        <f>T478+T499+T513</f>
        <v>5813.4</v>
      </c>
      <c r="U477" s="85">
        <f t="shared" si="113"/>
        <v>176155.3</v>
      </c>
    </row>
    <row r="478" spans="1:21">
      <c r="A478" s="12" t="s">
        <v>226</v>
      </c>
      <c r="B478" s="145">
        <v>803</v>
      </c>
      <c r="C478" s="8" t="s">
        <v>221</v>
      </c>
      <c r="D478" s="8" t="s">
        <v>213</v>
      </c>
      <c r="E478" s="145"/>
      <c r="F478" s="145"/>
      <c r="G478" s="69">
        <f>G479+G485</f>
        <v>9180.7999999999993</v>
      </c>
      <c r="H478" s="69">
        <f>H479+H485</f>
        <v>0</v>
      </c>
      <c r="I478" s="69">
        <f t="shared" si="114"/>
        <v>9180.7999999999993</v>
      </c>
      <c r="J478" s="69">
        <f>J479+J485</f>
        <v>0</v>
      </c>
      <c r="K478" s="85">
        <f t="shared" si="112"/>
        <v>9180.7999999999993</v>
      </c>
      <c r="L478" s="13">
        <f>L479+L485</f>
        <v>-508.5</v>
      </c>
      <c r="M478" s="85">
        <f t="shared" si="106"/>
        <v>8672.2999999999993</v>
      </c>
      <c r="N478" s="13">
        <f>N479+N485</f>
        <v>0</v>
      </c>
      <c r="O478" s="85">
        <f t="shared" si="107"/>
        <v>8672.2999999999993</v>
      </c>
      <c r="P478" s="13">
        <f>P479+P485</f>
        <v>0</v>
      </c>
      <c r="Q478" s="85">
        <f t="shared" si="104"/>
        <v>8672.2999999999993</v>
      </c>
      <c r="R478" s="13">
        <f>R479+R485</f>
        <v>8002.1</v>
      </c>
      <c r="S478" s="85">
        <f t="shared" si="103"/>
        <v>16674.400000000001</v>
      </c>
      <c r="T478" s="13">
        <f>T479+T485</f>
        <v>0</v>
      </c>
      <c r="U478" s="85">
        <f t="shared" si="113"/>
        <v>16674.400000000001</v>
      </c>
    </row>
    <row r="479" spans="1:21" ht="49.5">
      <c r="A479" s="61" t="str">
        <f ca="1">IF(ISERROR(MATCH(E479,Код_КЦСР,0)),"",INDIRECT(ADDRESS(MATCH(E479,Код_КЦСР,0)+1,2,,,"КЦСР")))</f>
        <v>Муниципальная программа «Энергосбережение и повышение энергетической эффективности на территории муниципального образования «Город Череповец» на 2014-2018 годы</v>
      </c>
      <c r="B479" s="145">
        <v>803</v>
      </c>
      <c r="C479" s="8" t="s">
        <v>221</v>
      </c>
      <c r="D479" s="8" t="s">
        <v>213</v>
      </c>
      <c r="E479" s="145" t="s">
        <v>33</v>
      </c>
      <c r="F479" s="145"/>
      <c r="G479" s="69">
        <f t="shared" ref="G479:T483" si="115">G480</f>
        <v>1500</v>
      </c>
      <c r="H479" s="69">
        <f t="shared" si="115"/>
        <v>0</v>
      </c>
      <c r="I479" s="69">
        <f t="shared" si="114"/>
        <v>1500</v>
      </c>
      <c r="J479" s="69">
        <f t="shared" si="115"/>
        <v>0</v>
      </c>
      <c r="K479" s="85">
        <f t="shared" si="112"/>
        <v>1500</v>
      </c>
      <c r="L479" s="13">
        <f t="shared" si="115"/>
        <v>-270.39999999999998</v>
      </c>
      <c r="M479" s="85">
        <f t="shared" si="106"/>
        <v>1229.5999999999999</v>
      </c>
      <c r="N479" s="13">
        <f t="shared" si="115"/>
        <v>0</v>
      </c>
      <c r="O479" s="85">
        <f t="shared" si="107"/>
        <v>1229.5999999999999</v>
      </c>
      <c r="P479" s="13">
        <f t="shared" si="115"/>
        <v>0</v>
      </c>
      <c r="Q479" s="85">
        <f t="shared" si="104"/>
        <v>1229.5999999999999</v>
      </c>
      <c r="R479" s="13">
        <f t="shared" si="115"/>
        <v>-336.9</v>
      </c>
      <c r="S479" s="85">
        <f t="shared" si="103"/>
        <v>892.69999999999993</v>
      </c>
      <c r="T479" s="13">
        <f t="shared" si="115"/>
        <v>0</v>
      </c>
      <c r="U479" s="85">
        <f t="shared" si="113"/>
        <v>892.69999999999993</v>
      </c>
    </row>
    <row r="480" spans="1:21" ht="33">
      <c r="A480" s="61" t="str">
        <f ca="1">IF(ISERROR(MATCH(E480,Код_КЦСР,0)),"",INDIRECT(ADDRESS(MATCH(E480,Код_КЦСР,0)+1,2,,,"КЦСР")))</f>
        <v>Энергосбережение и повышение энергетической эффективности в жилищном фонде</v>
      </c>
      <c r="B480" s="145">
        <v>803</v>
      </c>
      <c r="C480" s="8" t="s">
        <v>221</v>
      </c>
      <c r="D480" s="8" t="s">
        <v>213</v>
      </c>
      <c r="E480" s="145" t="s">
        <v>34</v>
      </c>
      <c r="F480" s="145"/>
      <c r="G480" s="69">
        <f t="shared" si="115"/>
        <v>1500</v>
      </c>
      <c r="H480" s="69">
        <f t="shared" si="115"/>
        <v>0</v>
      </c>
      <c r="I480" s="69">
        <f t="shared" si="114"/>
        <v>1500</v>
      </c>
      <c r="J480" s="69">
        <f t="shared" si="115"/>
        <v>0</v>
      </c>
      <c r="K480" s="85">
        <f t="shared" si="112"/>
        <v>1500</v>
      </c>
      <c r="L480" s="13">
        <f t="shared" si="115"/>
        <v>-270.39999999999998</v>
      </c>
      <c r="M480" s="85">
        <f t="shared" si="106"/>
        <v>1229.5999999999999</v>
      </c>
      <c r="N480" s="13">
        <f t="shared" si="115"/>
        <v>0</v>
      </c>
      <c r="O480" s="85">
        <f t="shared" si="107"/>
        <v>1229.5999999999999</v>
      </c>
      <c r="P480" s="13">
        <f t="shared" si="115"/>
        <v>0</v>
      </c>
      <c r="Q480" s="85">
        <f t="shared" si="104"/>
        <v>1229.5999999999999</v>
      </c>
      <c r="R480" s="13">
        <f t="shared" si="115"/>
        <v>-336.9</v>
      </c>
      <c r="S480" s="85">
        <f t="shared" si="103"/>
        <v>892.69999999999993</v>
      </c>
      <c r="T480" s="13">
        <f t="shared" si="115"/>
        <v>0</v>
      </c>
      <c r="U480" s="85">
        <f t="shared" si="113"/>
        <v>892.69999999999993</v>
      </c>
    </row>
    <row r="481" spans="1:21" ht="33">
      <c r="A481" s="61" t="str">
        <f ca="1">IF(ISERROR(MATCH(E481,Код_КЦСР,0)),"",INDIRECT(ADDRESS(MATCH(E481,Код_КЦСР,0)+1,2,,,"КЦСР")))</f>
        <v>Оснащение индивидуальными приборами учета коммунальных ресурсов жилых помещений, относящихся к муниципальному жилому фонду</v>
      </c>
      <c r="B481" s="145">
        <v>803</v>
      </c>
      <c r="C481" s="8" t="s">
        <v>221</v>
      </c>
      <c r="D481" s="8" t="s">
        <v>213</v>
      </c>
      <c r="E481" s="145" t="s">
        <v>36</v>
      </c>
      <c r="F481" s="145"/>
      <c r="G481" s="69">
        <f t="shared" si="115"/>
        <v>1500</v>
      </c>
      <c r="H481" s="69">
        <f t="shared" si="115"/>
        <v>0</v>
      </c>
      <c r="I481" s="69">
        <f t="shared" si="114"/>
        <v>1500</v>
      </c>
      <c r="J481" s="69">
        <f t="shared" si="115"/>
        <v>0</v>
      </c>
      <c r="K481" s="85">
        <f t="shared" si="112"/>
        <v>1500</v>
      </c>
      <c r="L481" s="13">
        <f t="shared" si="115"/>
        <v>-270.39999999999998</v>
      </c>
      <c r="M481" s="85">
        <f t="shared" si="106"/>
        <v>1229.5999999999999</v>
      </c>
      <c r="N481" s="13">
        <f t="shared" si="115"/>
        <v>0</v>
      </c>
      <c r="O481" s="85">
        <f t="shared" si="107"/>
        <v>1229.5999999999999</v>
      </c>
      <c r="P481" s="13">
        <f t="shared" si="115"/>
        <v>0</v>
      </c>
      <c r="Q481" s="85">
        <f t="shared" si="104"/>
        <v>1229.5999999999999</v>
      </c>
      <c r="R481" s="13">
        <f t="shared" si="115"/>
        <v>-336.9</v>
      </c>
      <c r="S481" s="85">
        <f t="shared" si="103"/>
        <v>892.69999999999993</v>
      </c>
      <c r="T481" s="13">
        <f t="shared" si="115"/>
        <v>0</v>
      </c>
      <c r="U481" s="85">
        <f t="shared" si="113"/>
        <v>892.69999999999993</v>
      </c>
    </row>
    <row r="482" spans="1:21">
      <c r="A482" s="61" t="str">
        <f ca="1">IF(ISERROR(MATCH(F482,Код_КВР,0)),"",INDIRECT(ADDRESS(MATCH(F482,Код_КВР,0)+1,2,,,"КВР")))</f>
        <v>Закупка товаров, работ и услуг для муниципальных нужд</v>
      </c>
      <c r="B482" s="145">
        <v>803</v>
      </c>
      <c r="C482" s="8" t="s">
        <v>221</v>
      </c>
      <c r="D482" s="8" t="s">
        <v>213</v>
      </c>
      <c r="E482" s="145" t="s">
        <v>36</v>
      </c>
      <c r="F482" s="145">
        <v>200</v>
      </c>
      <c r="G482" s="69">
        <f t="shared" si="115"/>
        <v>1500</v>
      </c>
      <c r="H482" s="69">
        <f t="shared" si="115"/>
        <v>0</v>
      </c>
      <c r="I482" s="69">
        <f t="shared" si="114"/>
        <v>1500</v>
      </c>
      <c r="J482" s="69">
        <f t="shared" si="115"/>
        <v>0</v>
      </c>
      <c r="K482" s="85">
        <f t="shared" si="112"/>
        <v>1500</v>
      </c>
      <c r="L482" s="13">
        <f t="shared" si="115"/>
        <v>-270.39999999999998</v>
      </c>
      <c r="M482" s="85">
        <f t="shared" si="106"/>
        <v>1229.5999999999999</v>
      </c>
      <c r="N482" s="13">
        <f t="shared" si="115"/>
        <v>0</v>
      </c>
      <c r="O482" s="85">
        <f t="shared" si="107"/>
        <v>1229.5999999999999</v>
      </c>
      <c r="P482" s="13">
        <f t="shared" si="115"/>
        <v>0</v>
      </c>
      <c r="Q482" s="85">
        <f t="shared" si="104"/>
        <v>1229.5999999999999</v>
      </c>
      <c r="R482" s="13">
        <f t="shared" si="115"/>
        <v>-336.9</v>
      </c>
      <c r="S482" s="85">
        <f t="shared" si="103"/>
        <v>892.69999999999993</v>
      </c>
      <c r="T482" s="13">
        <f t="shared" si="115"/>
        <v>0</v>
      </c>
      <c r="U482" s="85">
        <f t="shared" si="113"/>
        <v>892.69999999999993</v>
      </c>
    </row>
    <row r="483" spans="1:21" ht="33">
      <c r="A483" s="61" t="str">
        <f ca="1">IF(ISERROR(MATCH(F483,Код_КВР,0)),"",INDIRECT(ADDRESS(MATCH(F483,Код_КВР,0)+1,2,,,"КВР")))</f>
        <v>Иные закупки товаров, работ и услуг для обеспечения муниципальных нужд</v>
      </c>
      <c r="B483" s="145">
        <v>803</v>
      </c>
      <c r="C483" s="8" t="s">
        <v>221</v>
      </c>
      <c r="D483" s="8" t="s">
        <v>213</v>
      </c>
      <c r="E483" s="145" t="s">
        <v>36</v>
      </c>
      <c r="F483" s="145">
        <v>240</v>
      </c>
      <c r="G483" s="69">
        <f t="shared" si="115"/>
        <v>1500</v>
      </c>
      <c r="H483" s="69">
        <f t="shared" si="115"/>
        <v>0</v>
      </c>
      <c r="I483" s="69">
        <f t="shared" si="114"/>
        <v>1500</v>
      </c>
      <c r="J483" s="69">
        <f t="shared" si="115"/>
        <v>0</v>
      </c>
      <c r="K483" s="85">
        <f t="shared" si="112"/>
        <v>1500</v>
      </c>
      <c r="L483" s="13">
        <f t="shared" si="115"/>
        <v>-270.39999999999998</v>
      </c>
      <c r="M483" s="85">
        <f t="shared" si="106"/>
        <v>1229.5999999999999</v>
      </c>
      <c r="N483" s="13">
        <f t="shared" si="115"/>
        <v>0</v>
      </c>
      <c r="O483" s="85">
        <f t="shared" si="107"/>
        <v>1229.5999999999999</v>
      </c>
      <c r="P483" s="13">
        <f t="shared" si="115"/>
        <v>0</v>
      </c>
      <c r="Q483" s="85">
        <f t="shared" si="104"/>
        <v>1229.5999999999999</v>
      </c>
      <c r="R483" s="13">
        <f t="shared" si="115"/>
        <v>-336.9</v>
      </c>
      <c r="S483" s="85">
        <f t="shared" si="103"/>
        <v>892.69999999999993</v>
      </c>
      <c r="T483" s="13">
        <f t="shared" si="115"/>
        <v>0</v>
      </c>
      <c r="U483" s="85">
        <f t="shared" si="113"/>
        <v>892.69999999999993</v>
      </c>
    </row>
    <row r="484" spans="1:21" ht="33">
      <c r="A484" s="61" t="str">
        <f ca="1">IF(ISERROR(MATCH(F484,Код_КВР,0)),"",INDIRECT(ADDRESS(MATCH(F484,Код_КВР,0)+1,2,,,"КВР")))</f>
        <v xml:space="preserve">Прочая закупка товаров, работ и услуг для обеспечения муниципальных нужд         </v>
      </c>
      <c r="B484" s="145">
        <v>803</v>
      </c>
      <c r="C484" s="8" t="s">
        <v>221</v>
      </c>
      <c r="D484" s="8" t="s">
        <v>213</v>
      </c>
      <c r="E484" s="145" t="s">
        <v>36</v>
      </c>
      <c r="F484" s="145">
        <v>244</v>
      </c>
      <c r="G484" s="69">
        <v>1500</v>
      </c>
      <c r="H484" s="64"/>
      <c r="I484" s="69">
        <f t="shared" si="114"/>
        <v>1500</v>
      </c>
      <c r="J484" s="64"/>
      <c r="K484" s="85">
        <f t="shared" si="112"/>
        <v>1500</v>
      </c>
      <c r="L484" s="85">
        <v>-270.39999999999998</v>
      </c>
      <c r="M484" s="85">
        <f t="shared" si="106"/>
        <v>1229.5999999999999</v>
      </c>
      <c r="N484" s="85"/>
      <c r="O484" s="85">
        <f t="shared" si="107"/>
        <v>1229.5999999999999</v>
      </c>
      <c r="P484" s="85"/>
      <c r="Q484" s="85">
        <f t="shared" si="104"/>
        <v>1229.5999999999999</v>
      </c>
      <c r="R484" s="85">
        <f>-336.9</f>
        <v>-336.9</v>
      </c>
      <c r="S484" s="85">
        <f t="shared" si="103"/>
        <v>892.69999999999993</v>
      </c>
      <c r="T484" s="85"/>
      <c r="U484" s="85">
        <f t="shared" si="113"/>
        <v>892.69999999999993</v>
      </c>
    </row>
    <row r="485" spans="1:21" ht="33">
      <c r="A485" s="61" t="str">
        <f ca="1">IF(ISERROR(MATCH(E485,Код_КЦСР,0)),"",INDIRECT(ADDRESS(MATCH(E485,Код_КЦСР,0)+1,2,,,"КЦСР")))</f>
        <v>Муниципальная программа «Развитие жилищно-коммунального хозяйства города Череповца» на 2014-2018 годы</v>
      </c>
      <c r="B485" s="145">
        <v>803</v>
      </c>
      <c r="C485" s="8" t="s">
        <v>221</v>
      </c>
      <c r="D485" s="8" t="s">
        <v>213</v>
      </c>
      <c r="E485" s="145" t="s">
        <v>46</v>
      </c>
      <c r="F485" s="145"/>
      <c r="G485" s="69">
        <f>G486</f>
        <v>7680.8</v>
      </c>
      <c r="H485" s="69">
        <f>H486</f>
        <v>0</v>
      </c>
      <c r="I485" s="69">
        <f t="shared" si="114"/>
        <v>7680.8</v>
      </c>
      <c r="J485" s="69">
        <f>J486</f>
        <v>0</v>
      </c>
      <c r="K485" s="85">
        <f t="shared" si="112"/>
        <v>7680.8</v>
      </c>
      <c r="L485" s="13">
        <f>L486</f>
        <v>-238.1</v>
      </c>
      <c r="M485" s="85">
        <f t="shared" si="106"/>
        <v>7442.7</v>
      </c>
      <c r="N485" s="13">
        <f>N486</f>
        <v>0</v>
      </c>
      <c r="O485" s="85">
        <f t="shared" si="107"/>
        <v>7442.7</v>
      </c>
      <c r="P485" s="13">
        <f>P486</f>
        <v>0</v>
      </c>
      <c r="Q485" s="85">
        <f t="shared" si="104"/>
        <v>7442.7</v>
      </c>
      <c r="R485" s="13">
        <f>R486</f>
        <v>8339</v>
      </c>
      <c r="S485" s="85">
        <f t="shared" si="103"/>
        <v>15781.7</v>
      </c>
      <c r="T485" s="13">
        <f>T486</f>
        <v>0</v>
      </c>
      <c r="U485" s="85">
        <f t="shared" si="113"/>
        <v>15781.7</v>
      </c>
    </row>
    <row r="486" spans="1:21">
      <c r="A486" s="61" t="str">
        <f ca="1">IF(ISERROR(MATCH(E486,Код_КЦСР,0)),"",INDIRECT(ADDRESS(MATCH(E486,Код_КЦСР,0)+1,2,,,"КЦСР")))</f>
        <v>Содержание и ремонт жилищного фонда</v>
      </c>
      <c r="B486" s="145">
        <v>803</v>
      </c>
      <c r="C486" s="8" t="s">
        <v>221</v>
      </c>
      <c r="D486" s="8" t="s">
        <v>213</v>
      </c>
      <c r="E486" s="145" t="s">
        <v>55</v>
      </c>
      <c r="F486" s="145"/>
      <c r="G486" s="69">
        <f>G487+G491</f>
        <v>7680.8</v>
      </c>
      <c r="H486" s="69">
        <f>H487+H491</f>
        <v>0</v>
      </c>
      <c r="I486" s="69">
        <f t="shared" si="114"/>
        <v>7680.8</v>
      </c>
      <c r="J486" s="69">
        <f>J487+J491</f>
        <v>0</v>
      </c>
      <c r="K486" s="85">
        <f t="shared" si="112"/>
        <v>7680.8</v>
      </c>
      <c r="L486" s="13">
        <f>L487+L491</f>
        <v>-238.1</v>
      </c>
      <c r="M486" s="85">
        <f t="shared" si="106"/>
        <v>7442.7</v>
      </c>
      <c r="N486" s="13">
        <f>N487+N491</f>
        <v>0</v>
      </c>
      <c r="O486" s="85">
        <f t="shared" si="107"/>
        <v>7442.7</v>
      </c>
      <c r="P486" s="13">
        <f>P487+P491</f>
        <v>0</v>
      </c>
      <c r="Q486" s="85">
        <f t="shared" si="104"/>
        <v>7442.7</v>
      </c>
      <c r="R486" s="13">
        <f>R487+R491+R495</f>
        <v>8339</v>
      </c>
      <c r="S486" s="85">
        <f t="shared" si="103"/>
        <v>15781.7</v>
      </c>
      <c r="T486" s="13">
        <f>T487+T491+T495</f>
        <v>0</v>
      </c>
      <c r="U486" s="85">
        <f t="shared" si="113"/>
        <v>15781.7</v>
      </c>
    </row>
    <row r="487" spans="1:21">
      <c r="A487" s="61" t="str">
        <f ca="1">IF(ISERROR(MATCH(E487,Код_КЦСР,0)),"",INDIRECT(ADDRESS(MATCH(E487,Код_КЦСР,0)+1,2,,,"КЦСР")))</f>
        <v>Капитальный ремонт жилищного фонда</v>
      </c>
      <c r="B487" s="145">
        <v>803</v>
      </c>
      <c r="C487" s="8" t="s">
        <v>221</v>
      </c>
      <c r="D487" s="8" t="s">
        <v>213</v>
      </c>
      <c r="E487" s="145" t="s">
        <v>57</v>
      </c>
      <c r="F487" s="145"/>
      <c r="G487" s="69">
        <f t="shared" ref="G487:T489" si="116">G488</f>
        <v>2288.3000000000002</v>
      </c>
      <c r="H487" s="69">
        <f t="shared" si="116"/>
        <v>0</v>
      </c>
      <c r="I487" s="69">
        <f t="shared" si="114"/>
        <v>2288.3000000000002</v>
      </c>
      <c r="J487" s="69">
        <f t="shared" si="116"/>
        <v>0</v>
      </c>
      <c r="K487" s="85">
        <f t="shared" si="112"/>
        <v>2288.3000000000002</v>
      </c>
      <c r="L487" s="13">
        <f t="shared" si="116"/>
        <v>0</v>
      </c>
      <c r="M487" s="85">
        <f t="shared" si="106"/>
        <v>2288.3000000000002</v>
      </c>
      <c r="N487" s="13">
        <f t="shared" si="116"/>
        <v>0</v>
      </c>
      <c r="O487" s="85">
        <f t="shared" si="107"/>
        <v>2288.3000000000002</v>
      </c>
      <c r="P487" s="13">
        <f t="shared" si="116"/>
        <v>0</v>
      </c>
      <c r="Q487" s="85">
        <f t="shared" si="104"/>
        <v>2288.3000000000002</v>
      </c>
      <c r="R487" s="13">
        <f>R488</f>
        <v>0</v>
      </c>
      <c r="S487" s="85">
        <f t="shared" si="103"/>
        <v>2288.3000000000002</v>
      </c>
      <c r="T487" s="13">
        <f>T488</f>
        <v>0</v>
      </c>
      <c r="U487" s="85">
        <f t="shared" si="113"/>
        <v>2288.3000000000002</v>
      </c>
    </row>
    <row r="488" spans="1:21">
      <c r="A488" s="61" t="str">
        <f ca="1">IF(ISERROR(MATCH(F488,Код_КВР,0)),"",INDIRECT(ADDRESS(MATCH(F488,Код_КВР,0)+1,2,,,"КВР")))</f>
        <v>Закупка товаров, работ и услуг для муниципальных нужд</v>
      </c>
      <c r="B488" s="145">
        <v>803</v>
      </c>
      <c r="C488" s="8" t="s">
        <v>221</v>
      </c>
      <c r="D488" s="8" t="s">
        <v>213</v>
      </c>
      <c r="E488" s="145" t="s">
        <v>57</v>
      </c>
      <c r="F488" s="145">
        <v>200</v>
      </c>
      <c r="G488" s="69">
        <f t="shared" si="116"/>
        <v>2288.3000000000002</v>
      </c>
      <c r="H488" s="69">
        <f t="shared" si="116"/>
        <v>0</v>
      </c>
      <c r="I488" s="69">
        <f t="shared" si="114"/>
        <v>2288.3000000000002</v>
      </c>
      <c r="J488" s="69">
        <f t="shared" si="116"/>
        <v>0</v>
      </c>
      <c r="K488" s="85">
        <f t="shared" si="112"/>
        <v>2288.3000000000002</v>
      </c>
      <c r="L488" s="13">
        <f t="shared" si="116"/>
        <v>0</v>
      </c>
      <c r="M488" s="85">
        <f t="shared" si="106"/>
        <v>2288.3000000000002</v>
      </c>
      <c r="N488" s="13">
        <f t="shared" si="116"/>
        <v>0</v>
      </c>
      <c r="O488" s="85">
        <f t="shared" si="107"/>
        <v>2288.3000000000002</v>
      </c>
      <c r="P488" s="13">
        <f t="shared" si="116"/>
        <v>0</v>
      </c>
      <c r="Q488" s="85">
        <f t="shared" si="104"/>
        <v>2288.3000000000002</v>
      </c>
      <c r="R488" s="13">
        <f t="shared" si="116"/>
        <v>0</v>
      </c>
      <c r="S488" s="85">
        <f t="shared" si="103"/>
        <v>2288.3000000000002</v>
      </c>
      <c r="T488" s="13">
        <f t="shared" si="116"/>
        <v>0</v>
      </c>
      <c r="U488" s="85">
        <f t="shared" si="113"/>
        <v>2288.3000000000002</v>
      </c>
    </row>
    <row r="489" spans="1:21" ht="33">
      <c r="A489" s="61" t="str">
        <f ca="1">IF(ISERROR(MATCH(F489,Код_КВР,0)),"",INDIRECT(ADDRESS(MATCH(F489,Код_КВР,0)+1,2,,,"КВР")))</f>
        <v>Иные закупки товаров, работ и услуг для обеспечения муниципальных нужд</v>
      </c>
      <c r="B489" s="145">
        <v>803</v>
      </c>
      <c r="C489" s="8" t="s">
        <v>221</v>
      </c>
      <c r="D489" s="8" t="s">
        <v>213</v>
      </c>
      <c r="E489" s="145" t="s">
        <v>57</v>
      </c>
      <c r="F489" s="145">
        <v>240</v>
      </c>
      <c r="G489" s="69">
        <f t="shared" si="116"/>
        <v>2288.3000000000002</v>
      </c>
      <c r="H489" s="69">
        <f t="shared" si="116"/>
        <v>0</v>
      </c>
      <c r="I489" s="69">
        <f t="shared" si="114"/>
        <v>2288.3000000000002</v>
      </c>
      <c r="J489" s="69">
        <f t="shared" si="116"/>
        <v>0</v>
      </c>
      <c r="K489" s="85">
        <f t="shared" si="112"/>
        <v>2288.3000000000002</v>
      </c>
      <c r="L489" s="13">
        <f t="shared" si="116"/>
        <v>0</v>
      </c>
      <c r="M489" s="85">
        <f t="shared" si="106"/>
        <v>2288.3000000000002</v>
      </c>
      <c r="N489" s="13">
        <f t="shared" si="116"/>
        <v>0</v>
      </c>
      <c r="O489" s="85">
        <f t="shared" si="107"/>
        <v>2288.3000000000002</v>
      </c>
      <c r="P489" s="13">
        <f t="shared" si="116"/>
        <v>0</v>
      </c>
      <c r="Q489" s="85">
        <f t="shared" si="104"/>
        <v>2288.3000000000002</v>
      </c>
      <c r="R489" s="13">
        <f t="shared" si="116"/>
        <v>0</v>
      </c>
      <c r="S489" s="85">
        <f t="shared" si="103"/>
        <v>2288.3000000000002</v>
      </c>
      <c r="T489" s="13">
        <f t="shared" si="116"/>
        <v>0</v>
      </c>
      <c r="U489" s="85">
        <f t="shared" si="113"/>
        <v>2288.3000000000002</v>
      </c>
    </row>
    <row r="490" spans="1:21" ht="33">
      <c r="A490" s="61" t="str">
        <f ca="1">IF(ISERROR(MATCH(F490,Код_КВР,0)),"",INDIRECT(ADDRESS(MATCH(F490,Код_КВР,0)+1,2,,,"КВР")))</f>
        <v xml:space="preserve">Прочая закупка товаров, работ и услуг для обеспечения муниципальных нужд         </v>
      </c>
      <c r="B490" s="145">
        <v>803</v>
      </c>
      <c r="C490" s="8" t="s">
        <v>221</v>
      </c>
      <c r="D490" s="8" t="s">
        <v>213</v>
      </c>
      <c r="E490" s="145" t="s">
        <v>57</v>
      </c>
      <c r="F490" s="145">
        <v>244</v>
      </c>
      <c r="G490" s="69">
        <v>2288.3000000000002</v>
      </c>
      <c r="H490" s="64"/>
      <c r="I490" s="69">
        <f t="shared" si="114"/>
        <v>2288.3000000000002</v>
      </c>
      <c r="J490" s="64"/>
      <c r="K490" s="85">
        <f t="shared" si="112"/>
        <v>2288.3000000000002</v>
      </c>
      <c r="L490" s="85"/>
      <c r="M490" s="85">
        <f t="shared" si="106"/>
        <v>2288.3000000000002</v>
      </c>
      <c r="N490" s="85"/>
      <c r="O490" s="85">
        <f t="shared" si="107"/>
        <v>2288.3000000000002</v>
      </c>
      <c r="P490" s="85"/>
      <c r="Q490" s="85">
        <f t="shared" si="104"/>
        <v>2288.3000000000002</v>
      </c>
      <c r="R490" s="85"/>
      <c r="S490" s="85">
        <f t="shared" si="103"/>
        <v>2288.3000000000002</v>
      </c>
      <c r="T490" s="85"/>
      <c r="U490" s="85">
        <f t="shared" si="113"/>
        <v>2288.3000000000002</v>
      </c>
    </row>
    <row r="491" spans="1:21" ht="33">
      <c r="A491" s="61" t="str">
        <f ca="1">IF(ISERROR(MATCH(E491,Код_КЦСР,0)),"",INDIRECT(ADDRESS(MATCH(E491,Код_КЦСР,0)+1,2,,,"КЦСР")))</f>
        <v>Содержание и ремонт временно незаселенных жилых помещений муниципального жилищного фонда</v>
      </c>
      <c r="B491" s="145">
        <v>803</v>
      </c>
      <c r="C491" s="8" t="s">
        <v>221</v>
      </c>
      <c r="D491" s="8" t="s">
        <v>213</v>
      </c>
      <c r="E491" s="145" t="s">
        <v>59</v>
      </c>
      <c r="F491" s="145"/>
      <c r="G491" s="69">
        <f t="shared" ref="G491:T493" si="117">G492</f>
        <v>5392.5</v>
      </c>
      <c r="H491" s="69">
        <f t="shared" si="117"/>
        <v>0</v>
      </c>
      <c r="I491" s="69">
        <f t="shared" si="114"/>
        <v>5392.5</v>
      </c>
      <c r="J491" s="69">
        <f t="shared" si="117"/>
        <v>0</v>
      </c>
      <c r="K491" s="85">
        <f t="shared" si="112"/>
        <v>5392.5</v>
      </c>
      <c r="L491" s="13">
        <f t="shared" si="117"/>
        <v>-238.1</v>
      </c>
      <c r="M491" s="85">
        <f t="shared" si="106"/>
        <v>5154.3999999999996</v>
      </c>
      <c r="N491" s="13">
        <f t="shared" si="117"/>
        <v>0</v>
      </c>
      <c r="O491" s="85">
        <f t="shared" si="107"/>
        <v>5154.3999999999996</v>
      </c>
      <c r="P491" s="13">
        <f t="shared" si="117"/>
        <v>0</v>
      </c>
      <c r="Q491" s="85">
        <f t="shared" si="104"/>
        <v>5154.3999999999996</v>
      </c>
      <c r="R491" s="13">
        <f t="shared" si="117"/>
        <v>-180.39999999999998</v>
      </c>
      <c r="S491" s="85">
        <f t="shared" si="103"/>
        <v>4974</v>
      </c>
      <c r="T491" s="13">
        <f t="shared" si="117"/>
        <v>0</v>
      </c>
      <c r="U491" s="85">
        <f t="shared" si="113"/>
        <v>4974</v>
      </c>
    </row>
    <row r="492" spans="1:21">
      <c r="A492" s="61" t="str">
        <f ca="1">IF(ISERROR(MATCH(F492,Код_КВР,0)),"",INDIRECT(ADDRESS(MATCH(F492,Код_КВР,0)+1,2,,,"КВР")))</f>
        <v>Закупка товаров, работ и услуг для муниципальных нужд</v>
      </c>
      <c r="B492" s="145">
        <v>803</v>
      </c>
      <c r="C492" s="8" t="s">
        <v>221</v>
      </c>
      <c r="D492" s="8" t="s">
        <v>213</v>
      </c>
      <c r="E492" s="145" t="s">
        <v>59</v>
      </c>
      <c r="F492" s="145">
        <v>200</v>
      </c>
      <c r="G492" s="69">
        <f t="shared" si="117"/>
        <v>5392.5</v>
      </c>
      <c r="H492" s="69">
        <f t="shared" si="117"/>
        <v>0</v>
      </c>
      <c r="I492" s="69">
        <f t="shared" si="114"/>
        <v>5392.5</v>
      </c>
      <c r="J492" s="69">
        <f t="shared" si="117"/>
        <v>0</v>
      </c>
      <c r="K492" s="85">
        <f t="shared" si="112"/>
        <v>5392.5</v>
      </c>
      <c r="L492" s="13">
        <f t="shared" si="117"/>
        <v>-238.1</v>
      </c>
      <c r="M492" s="85">
        <f t="shared" si="106"/>
        <v>5154.3999999999996</v>
      </c>
      <c r="N492" s="13">
        <f t="shared" si="117"/>
        <v>0</v>
      </c>
      <c r="O492" s="85">
        <f t="shared" si="107"/>
        <v>5154.3999999999996</v>
      </c>
      <c r="P492" s="13">
        <f t="shared" si="117"/>
        <v>0</v>
      </c>
      <c r="Q492" s="85">
        <f t="shared" si="104"/>
        <v>5154.3999999999996</v>
      </c>
      <c r="R492" s="13">
        <f t="shared" si="117"/>
        <v>-180.39999999999998</v>
      </c>
      <c r="S492" s="85">
        <f t="shared" si="103"/>
        <v>4974</v>
      </c>
      <c r="T492" s="13">
        <f t="shared" si="117"/>
        <v>0</v>
      </c>
      <c r="U492" s="85">
        <f t="shared" si="113"/>
        <v>4974</v>
      </c>
    </row>
    <row r="493" spans="1:21" ht="33">
      <c r="A493" s="61" t="str">
        <f ca="1">IF(ISERROR(MATCH(F493,Код_КВР,0)),"",INDIRECT(ADDRESS(MATCH(F493,Код_КВР,0)+1,2,,,"КВР")))</f>
        <v>Иные закупки товаров, работ и услуг для обеспечения муниципальных нужд</v>
      </c>
      <c r="B493" s="145">
        <v>803</v>
      </c>
      <c r="C493" s="8" t="s">
        <v>221</v>
      </c>
      <c r="D493" s="8" t="s">
        <v>213</v>
      </c>
      <c r="E493" s="145" t="s">
        <v>59</v>
      </c>
      <c r="F493" s="145">
        <v>240</v>
      </c>
      <c r="G493" s="69">
        <f t="shared" si="117"/>
        <v>5392.5</v>
      </c>
      <c r="H493" s="69">
        <f t="shared" si="117"/>
        <v>0</v>
      </c>
      <c r="I493" s="69">
        <f t="shared" si="114"/>
        <v>5392.5</v>
      </c>
      <c r="J493" s="69">
        <f t="shared" si="117"/>
        <v>0</v>
      </c>
      <c r="K493" s="85">
        <f t="shared" si="112"/>
        <v>5392.5</v>
      </c>
      <c r="L493" s="13">
        <f t="shared" si="117"/>
        <v>-238.1</v>
      </c>
      <c r="M493" s="85">
        <f t="shared" si="106"/>
        <v>5154.3999999999996</v>
      </c>
      <c r="N493" s="13">
        <f t="shared" si="117"/>
        <v>0</v>
      </c>
      <c r="O493" s="85">
        <f t="shared" si="107"/>
        <v>5154.3999999999996</v>
      </c>
      <c r="P493" s="13">
        <f t="shared" si="117"/>
        <v>0</v>
      </c>
      <c r="Q493" s="85">
        <f t="shared" si="104"/>
        <v>5154.3999999999996</v>
      </c>
      <c r="R493" s="13">
        <f t="shared" si="117"/>
        <v>-180.39999999999998</v>
      </c>
      <c r="S493" s="85">
        <f t="shared" si="103"/>
        <v>4974</v>
      </c>
      <c r="T493" s="13">
        <f t="shared" si="117"/>
        <v>0</v>
      </c>
      <c r="U493" s="85">
        <f t="shared" si="113"/>
        <v>4974</v>
      </c>
    </row>
    <row r="494" spans="1:21" ht="33">
      <c r="A494" s="61" t="str">
        <f ca="1">IF(ISERROR(MATCH(F494,Код_КВР,0)),"",INDIRECT(ADDRESS(MATCH(F494,Код_КВР,0)+1,2,,,"КВР")))</f>
        <v xml:space="preserve">Прочая закупка товаров, работ и услуг для обеспечения муниципальных нужд         </v>
      </c>
      <c r="B494" s="145">
        <v>803</v>
      </c>
      <c r="C494" s="8" t="s">
        <v>221</v>
      </c>
      <c r="D494" s="8" t="s">
        <v>213</v>
      </c>
      <c r="E494" s="145" t="s">
        <v>59</v>
      </c>
      <c r="F494" s="145">
        <v>244</v>
      </c>
      <c r="G494" s="69">
        <v>5392.5</v>
      </c>
      <c r="H494" s="64"/>
      <c r="I494" s="69">
        <f t="shared" si="114"/>
        <v>5392.5</v>
      </c>
      <c r="J494" s="64"/>
      <c r="K494" s="85">
        <f t="shared" si="112"/>
        <v>5392.5</v>
      </c>
      <c r="L494" s="85">
        <v>-238.1</v>
      </c>
      <c r="M494" s="85">
        <f t="shared" si="106"/>
        <v>5154.3999999999996</v>
      </c>
      <c r="N494" s="85"/>
      <c r="O494" s="85">
        <f t="shared" si="107"/>
        <v>5154.3999999999996</v>
      </c>
      <c r="P494" s="85"/>
      <c r="Q494" s="85">
        <f t="shared" si="104"/>
        <v>5154.3999999999996</v>
      </c>
      <c r="R494" s="85">
        <f>-36.9-58.3-85.2</f>
        <v>-180.39999999999998</v>
      </c>
      <c r="S494" s="85">
        <f t="shared" si="103"/>
        <v>4974</v>
      </c>
      <c r="T494" s="85"/>
      <c r="U494" s="85">
        <f t="shared" si="113"/>
        <v>4974</v>
      </c>
    </row>
    <row r="495" spans="1:21" ht="49.5">
      <c r="A495" s="61" t="str">
        <f ca="1">IF(ISERROR(MATCH(E495,Код_КЦСР,0)),"",INDIRECT(ADDRESS(MATCH(E495,Код_КЦСР,0)+1,2,,,"КЦСР")))</f>
        <v>Осуществление полномочий собственника муниципального жилищного фонда городского округа в части внесения взносов в фонд капитального ремонта</v>
      </c>
      <c r="B495" s="145">
        <v>803</v>
      </c>
      <c r="C495" s="8" t="s">
        <v>221</v>
      </c>
      <c r="D495" s="8" t="s">
        <v>213</v>
      </c>
      <c r="E495" s="145" t="s">
        <v>658</v>
      </c>
      <c r="F495" s="145"/>
      <c r="G495" s="69"/>
      <c r="H495" s="64"/>
      <c r="I495" s="69"/>
      <c r="J495" s="64"/>
      <c r="K495" s="85"/>
      <c r="L495" s="85"/>
      <c r="M495" s="85"/>
      <c r="N495" s="85"/>
      <c r="O495" s="85"/>
      <c r="P495" s="85"/>
      <c r="Q495" s="85"/>
      <c r="R495" s="85">
        <f>R496</f>
        <v>8519.4</v>
      </c>
      <c r="S495" s="85">
        <f t="shared" si="103"/>
        <v>8519.4</v>
      </c>
      <c r="T495" s="85">
        <f>T496</f>
        <v>0</v>
      </c>
      <c r="U495" s="85">
        <f t="shared" si="113"/>
        <v>8519.4</v>
      </c>
    </row>
    <row r="496" spans="1:21">
      <c r="A496" s="61" t="str">
        <f ca="1">IF(ISERROR(MATCH(F496,Код_КВР,0)),"",INDIRECT(ADDRESS(MATCH(F496,Код_КВР,0)+1,2,,,"КВР")))</f>
        <v>Закупка товаров, работ и услуг для муниципальных нужд</v>
      </c>
      <c r="B496" s="145">
        <v>803</v>
      </c>
      <c r="C496" s="8" t="s">
        <v>221</v>
      </c>
      <c r="D496" s="8" t="s">
        <v>213</v>
      </c>
      <c r="E496" s="145" t="s">
        <v>658</v>
      </c>
      <c r="F496" s="145">
        <v>200</v>
      </c>
      <c r="G496" s="69"/>
      <c r="H496" s="64"/>
      <c r="I496" s="69"/>
      <c r="J496" s="64"/>
      <c r="K496" s="85"/>
      <c r="L496" s="85"/>
      <c r="M496" s="85"/>
      <c r="N496" s="85"/>
      <c r="O496" s="85"/>
      <c r="P496" s="85"/>
      <c r="Q496" s="85"/>
      <c r="R496" s="85">
        <f>R497</f>
        <v>8519.4</v>
      </c>
      <c r="S496" s="85">
        <f t="shared" si="103"/>
        <v>8519.4</v>
      </c>
      <c r="T496" s="85">
        <f>T497</f>
        <v>0</v>
      </c>
      <c r="U496" s="85">
        <f t="shared" si="113"/>
        <v>8519.4</v>
      </c>
    </row>
    <row r="497" spans="1:21" ht="33">
      <c r="A497" s="61" t="str">
        <f ca="1">IF(ISERROR(MATCH(F497,Код_КВР,0)),"",INDIRECT(ADDRESS(MATCH(F497,Код_КВР,0)+1,2,,,"КВР")))</f>
        <v>Иные закупки товаров, работ и услуг для обеспечения муниципальных нужд</v>
      </c>
      <c r="B497" s="145">
        <v>803</v>
      </c>
      <c r="C497" s="8" t="s">
        <v>221</v>
      </c>
      <c r="D497" s="8" t="s">
        <v>213</v>
      </c>
      <c r="E497" s="145" t="s">
        <v>658</v>
      </c>
      <c r="F497" s="145">
        <v>240</v>
      </c>
      <c r="G497" s="69"/>
      <c r="H497" s="64"/>
      <c r="I497" s="69"/>
      <c r="J497" s="64"/>
      <c r="K497" s="85"/>
      <c r="L497" s="85"/>
      <c r="M497" s="85"/>
      <c r="N497" s="85"/>
      <c r="O497" s="85"/>
      <c r="P497" s="85"/>
      <c r="Q497" s="85"/>
      <c r="R497" s="85">
        <f>R498</f>
        <v>8519.4</v>
      </c>
      <c r="S497" s="85">
        <f t="shared" si="103"/>
        <v>8519.4</v>
      </c>
      <c r="T497" s="85">
        <f>T498</f>
        <v>0</v>
      </c>
      <c r="U497" s="85">
        <f t="shared" si="113"/>
        <v>8519.4</v>
      </c>
    </row>
    <row r="498" spans="1:21" ht="33">
      <c r="A498" s="61" t="str">
        <f ca="1">IF(ISERROR(MATCH(F498,Код_КВР,0)),"",INDIRECT(ADDRESS(MATCH(F498,Код_КВР,0)+1,2,,,"КВР")))</f>
        <v xml:space="preserve">Прочая закупка товаров, работ и услуг для обеспечения муниципальных нужд         </v>
      </c>
      <c r="B498" s="145">
        <v>803</v>
      </c>
      <c r="C498" s="8" t="s">
        <v>221</v>
      </c>
      <c r="D498" s="8" t="s">
        <v>213</v>
      </c>
      <c r="E498" s="145" t="s">
        <v>658</v>
      </c>
      <c r="F498" s="145">
        <v>244</v>
      </c>
      <c r="G498" s="69"/>
      <c r="H498" s="64"/>
      <c r="I498" s="69"/>
      <c r="J498" s="64"/>
      <c r="K498" s="85"/>
      <c r="L498" s="85"/>
      <c r="M498" s="85"/>
      <c r="N498" s="85"/>
      <c r="O498" s="85"/>
      <c r="P498" s="85"/>
      <c r="Q498" s="85"/>
      <c r="R498" s="85">
        <v>8519.4</v>
      </c>
      <c r="S498" s="85">
        <f t="shared" si="103"/>
        <v>8519.4</v>
      </c>
      <c r="T498" s="85"/>
      <c r="U498" s="85">
        <f t="shared" si="113"/>
        <v>8519.4</v>
      </c>
    </row>
    <row r="499" spans="1:21">
      <c r="A499" s="61" t="s">
        <v>252</v>
      </c>
      <c r="B499" s="145">
        <v>803</v>
      </c>
      <c r="C499" s="8" t="s">
        <v>221</v>
      </c>
      <c r="D499" s="8" t="s">
        <v>215</v>
      </c>
      <c r="E499" s="145"/>
      <c r="F499" s="145"/>
      <c r="G499" s="69">
        <f>G500+G508</f>
        <v>136710.40000000002</v>
      </c>
      <c r="H499" s="69">
        <f>H500+H508</f>
        <v>0</v>
      </c>
      <c r="I499" s="69">
        <f t="shared" si="114"/>
        <v>136710.40000000002</v>
      </c>
      <c r="J499" s="69">
        <f>J500+J508</f>
        <v>-898.90000000000009</v>
      </c>
      <c r="K499" s="85">
        <f t="shared" si="112"/>
        <v>135811.50000000003</v>
      </c>
      <c r="L499" s="13">
        <f>L500+L508</f>
        <v>-2173.1999999999998</v>
      </c>
      <c r="M499" s="85">
        <f t="shared" si="106"/>
        <v>133638.30000000002</v>
      </c>
      <c r="N499" s="13">
        <f>N500+N508</f>
        <v>0</v>
      </c>
      <c r="O499" s="85">
        <f t="shared" si="107"/>
        <v>133638.30000000002</v>
      </c>
      <c r="P499" s="13">
        <f>P500+P508</f>
        <v>-140.19999999999999</v>
      </c>
      <c r="Q499" s="85">
        <f t="shared" si="104"/>
        <v>133498.1</v>
      </c>
      <c r="R499" s="13">
        <f>R500+R508</f>
        <v>-1759.9</v>
      </c>
      <c r="S499" s="85">
        <f t="shared" si="103"/>
        <v>131738.20000000001</v>
      </c>
      <c r="T499" s="13">
        <f>T500+T508</f>
        <v>5813.4</v>
      </c>
      <c r="U499" s="85">
        <f t="shared" si="113"/>
        <v>137551.6</v>
      </c>
    </row>
    <row r="500" spans="1:21" ht="33">
      <c r="A500" s="61" t="str">
        <f ca="1">IF(ISERROR(MATCH(E500,Код_КЦСР,0)),"",INDIRECT(ADDRESS(MATCH(E500,Код_КЦСР,0)+1,2,,,"КЦСР")))</f>
        <v>Муниципальная программа «Развитие жилищно-коммунального хозяйства города Череповца» на 2014-2018 годы</v>
      </c>
      <c r="B500" s="145">
        <v>803</v>
      </c>
      <c r="C500" s="8" t="s">
        <v>221</v>
      </c>
      <c r="D500" s="8" t="s">
        <v>215</v>
      </c>
      <c r="E500" s="145" t="s">
        <v>46</v>
      </c>
      <c r="F500" s="145"/>
      <c r="G500" s="69">
        <f>G501</f>
        <v>136626.20000000001</v>
      </c>
      <c r="H500" s="69">
        <f>H501</f>
        <v>0</v>
      </c>
      <c r="I500" s="69">
        <f t="shared" si="114"/>
        <v>136626.20000000001</v>
      </c>
      <c r="J500" s="69">
        <f>J501</f>
        <v>-898.90000000000009</v>
      </c>
      <c r="K500" s="85">
        <f t="shared" si="112"/>
        <v>135727.30000000002</v>
      </c>
      <c r="L500" s="13">
        <f>L501</f>
        <v>-2173.1999999999998</v>
      </c>
      <c r="M500" s="85">
        <f t="shared" si="106"/>
        <v>133554.1</v>
      </c>
      <c r="N500" s="13">
        <f>N501</f>
        <v>0</v>
      </c>
      <c r="O500" s="85">
        <f t="shared" si="107"/>
        <v>133554.1</v>
      </c>
      <c r="P500" s="13">
        <f>P501</f>
        <v>-140.19999999999999</v>
      </c>
      <c r="Q500" s="85">
        <f t="shared" si="104"/>
        <v>133413.9</v>
      </c>
      <c r="R500" s="13">
        <f>R501</f>
        <v>-1759.9</v>
      </c>
      <c r="S500" s="85">
        <f t="shared" ref="S500:S563" si="118">Q500+R500</f>
        <v>131654</v>
      </c>
      <c r="T500" s="13">
        <f>T501</f>
        <v>5813.4</v>
      </c>
      <c r="U500" s="85">
        <f t="shared" si="113"/>
        <v>137467.4</v>
      </c>
    </row>
    <row r="501" spans="1:21">
      <c r="A501" s="61" t="str">
        <f ca="1">IF(ISERROR(MATCH(E501,Код_КЦСР,0)),"",INDIRECT(ADDRESS(MATCH(E501,Код_КЦСР,0)+1,2,,,"КЦСР")))</f>
        <v>Развитие благоустройства города</v>
      </c>
      <c r="B501" s="145">
        <v>803</v>
      </c>
      <c r="C501" s="8" t="s">
        <v>221</v>
      </c>
      <c r="D501" s="8" t="s">
        <v>215</v>
      </c>
      <c r="E501" s="145" t="s">
        <v>47</v>
      </c>
      <c r="F501" s="145"/>
      <c r="G501" s="69">
        <f>G502</f>
        <v>136626.20000000001</v>
      </c>
      <c r="H501" s="69">
        <f>H502</f>
        <v>0</v>
      </c>
      <c r="I501" s="69">
        <f t="shared" si="114"/>
        <v>136626.20000000001</v>
      </c>
      <c r="J501" s="69">
        <f>J502</f>
        <v>-898.90000000000009</v>
      </c>
      <c r="K501" s="85">
        <f t="shared" si="112"/>
        <v>135727.30000000002</v>
      </c>
      <c r="L501" s="13">
        <f>L502</f>
        <v>-2173.1999999999998</v>
      </c>
      <c r="M501" s="85">
        <f t="shared" si="106"/>
        <v>133554.1</v>
      </c>
      <c r="N501" s="13">
        <f>N502</f>
        <v>0</v>
      </c>
      <c r="O501" s="85">
        <f t="shared" si="107"/>
        <v>133554.1</v>
      </c>
      <c r="P501" s="13">
        <f>P502</f>
        <v>-140.19999999999999</v>
      </c>
      <c r="Q501" s="85">
        <f t="shared" si="104"/>
        <v>133413.9</v>
      </c>
      <c r="R501" s="13">
        <f>R502</f>
        <v>-1759.9</v>
      </c>
      <c r="S501" s="85">
        <f t="shared" si="118"/>
        <v>131654</v>
      </c>
      <c r="T501" s="13">
        <f>T502</f>
        <v>5813.4</v>
      </c>
      <c r="U501" s="85">
        <f t="shared" si="113"/>
        <v>137467.4</v>
      </c>
    </row>
    <row r="502" spans="1:21" ht="33">
      <c r="A502" s="61" t="str">
        <f ca="1">IF(ISERROR(MATCH(E502,Код_КЦСР,0)),"",INDIRECT(ADDRESS(MATCH(E502,Код_КЦСР,0)+1,2,,,"КЦСР")))</f>
        <v>Мероприятия по благоустройству и повышению внешней привлекательности города</v>
      </c>
      <c r="B502" s="145">
        <v>803</v>
      </c>
      <c r="C502" s="8" t="s">
        <v>221</v>
      </c>
      <c r="D502" s="8" t="s">
        <v>215</v>
      </c>
      <c r="E502" s="145" t="s">
        <v>49</v>
      </c>
      <c r="F502" s="145"/>
      <c r="G502" s="69">
        <f>G503+G506</f>
        <v>136626.20000000001</v>
      </c>
      <c r="H502" s="69">
        <f>H503+H506</f>
        <v>0</v>
      </c>
      <c r="I502" s="69">
        <f t="shared" si="114"/>
        <v>136626.20000000001</v>
      </c>
      <c r="J502" s="69">
        <f>J503+J506</f>
        <v>-898.90000000000009</v>
      </c>
      <c r="K502" s="85">
        <f t="shared" si="112"/>
        <v>135727.30000000002</v>
      </c>
      <c r="L502" s="13">
        <f>L503+L506</f>
        <v>-2173.1999999999998</v>
      </c>
      <c r="M502" s="85">
        <f t="shared" si="106"/>
        <v>133554.1</v>
      </c>
      <c r="N502" s="13">
        <f>N503+N506</f>
        <v>0</v>
      </c>
      <c r="O502" s="85">
        <f t="shared" si="107"/>
        <v>133554.1</v>
      </c>
      <c r="P502" s="13">
        <f>P503+P506</f>
        <v>-140.19999999999999</v>
      </c>
      <c r="Q502" s="85">
        <f t="shared" si="104"/>
        <v>133413.9</v>
      </c>
      <c r="R502" s="13">
        <f>R503+R506</f>
        <v>-1759.9</v>
      </c>
      <c r="S502" s="85">
        <f t="shared" si="118"/>
        <v>131654</v>
      </c>
      <c r="T502" s="13">
        <f>T503+T506</f>
        <v>5813.4</v>
      </c>
      <c r="U502" s="85">
        <f t="shared" si="113"/>
        <v>137467.4</v>
      </c>
    </row>
    <row r="503" spans="1:21">
      <c r="A503" s="61" t="str">
        <f ca="1">IF(ISERROR(MATCH(F503,Код_КВР,0)),"",INDIRECT(ADDRESS(MATCH(F503,Код_КВР,0)+1,2,,,"КВР")))</f>
        <v>Закупка товаров, работ и услуг для муниципальных нужд</v>
      </c>
      <c r="B503" s="145">
        <v>803</v>
      </c>
      <c r="C503" s="8" t="s">
        <v>221</v>
      </c>
      <c r="D503" s="8" t="s">
        <v>215</v>
      </c>
      <c r="E503" s="145" t="s">
        <v>49</v>
      </c>
      <c r="F503" s="145">
        <v>200</v>
      </c>
      <c r="G503" s="69">
        <f>G504</f>
        <v>104444.7</v>
      </c>
      <c r="H503" s="69">
        <f>H504</f>
        <v>0</v>
      </c>
      <c r="I503" s="69">
        <f t="shared" si="114"/>
        <v>104444.7</v>
      </c>
      <c r="J503" s="69">
        <f>J504</f>
        <v>286.2</v>
      </c>
      <c r="K503" s="85">
        <f t="shared" si="112"/>
        <v>104730.9</v>
      </c>
      <c r="L503" s="13">
        <f>L504</f>
        <v>-2173.1999999999998</v>
      </c>
      <c r="M503" s="85">
        <f t="shared" si="106"/>
        <v>102557.7</v>
      </c>
      <c r="N503" s="13">
        <f>N504</f>
        <v>0</v>
      </c>
      <c r="O503" s="85">
        <f t="shared" si="107"/>
        <v>102557.7</v>
      </c>
      <c r="P503" s="13">
        <f>P504</f>
        <v>-140.19999999999999</v>
      </c>
      <c r="Q503" s="85">
        <f t="shared" si="104"/>
        <v>102417.5</v>
      </c>
      <c r="R503" s="13">
        <f>R504</f>
        <v>-1759.9</v>
      </c>
      <c r="S503" s="85">
        <f t="shared" si="118"/>
        <v>100657.60000000001</v>
      </c>
      <c r="T503" s="13">
        <f>T504</f>
        <v>5813.4</v>
      </c>
      <c r="U503" s="85">
        <f t="shared" si="113"/>
        <v>106471</v>
      </c>
    </row>
    <row r="504" spans="1:21" ht="33">
      <c r="A504" s="61" t="str">
        <f ca="1">IF(ISERROR(MATCH(F504,Код_КВР,0)),"",INDIRECT(ADDRESS(MATCH(F504,Код_КВР,0)+1,2,,,"КВР")))</f>
        <v>Иные закупки товаров, работ и услуг для обеспечения муниципальных нужд</v>
      </c>
      <c r="B504" s="145">
        <v>803</v>
      </c>
      <c r="C504" s="8" t="s">
        <v>221</v>
      </c>
      <c r="D504" s="8" t="s">
        <v>215</v>
      </c>
      <c r="E504" s="145" t="s">
        <v>49</v>
      </c>
      <c r="F504" s="145">
        <v>240</v>
      </c>
      <c r="G504" s="69">
        <f>G505</f>
        <v>104444.7</v>
      </c>
      <c r="H504" s="69">
        <f>H505</f>
        <v>0</v>
      </c>
      <c r="I504" s="69">
        <f t="shared" si="114"/>
        <v>104444.7</v>
      </c>
      <c r="J504" s="69">
        <f>J505</f>
        <v>286.2</v>
      </c>
      <c r="K504" s="85">
        <f t="shared" si="112"/>
        <v>104730.9</v>
      </c>
      <c r="L504" s="13">
        <f>L505</f>
        <v>-2173.1999999999998</v>
      </c>
      <c r="M504" s="85">
        <f t="shared" si="106"/>
        <v>102557.7</v>
      </c>
      <c r="N504" s="13">
        <f>N505</f>
        <v>0</v>
      </c>
      <c r="O504" s="85">
        <f t="shared" si="107"/>
        <v>102557.7</v>
      </c>
      <c r="P504" s="13">
        <f>P505</f>
        <v>-140.19999999999999</v>
      </c>
      <c r="Q504" s="85">
        <f t="shared" si="104"/>
        <v>102417.5</v>
      </c>
      <c r="R504" s="13">
        <f>R505</f>
        <v>-1759.9</v>
      </c>
      <c r="S504" s="85">
        <f t="shared" si="118"/>
        <v>100657.60000000001</v>
      </c>
      <c r="T504" s="13">
        <f>T505</f>
        <v>5813.4</v>
      </c>
      <c r="U504" s="85">
        <f t="shared" si="113"/>
        <v>106471</v>
      </c>
    </row>
    <row r="505" spans="1:21" ht="33">
      <c r="A505" s="61" t="str">
        <f ca="1">IF(ISERROR(MATCH(F505,Код_КВР,0)),"",INDIRECT(ADDRESS(MATCH(F505,Код_КВР,0)+1,2,,,"КВР")))</f>
        <v xml:space="preserve">Прочая закупка товаров, работ и услуг для обеспечения муниципальных нужд         </v>
      </c>
      <c r="B505" s="145">
        <v>803</v>
      </c>
      <c r="C505" s="8" t="s">
        <v>221</v>
      </c>
      <c r="D505" s="8" t="s">
        <v>215</v>
      </c>
      <c r="E505" s="145" t="s">
        <v>49</v>
      </c>
      <c r="F505" s="145">
        <v>244</v>
      </c>
      <c r="G505" s="69">
        <v>104444.7</v>
      </c>
      <c r="H505" s="64"/>
      <c r="I505" s="69">
        <f t="shared" si="114"/>
        <v>104444.7</v>
      </c>
      <c r="J505" s="64">
        <v>286.2</v>
      </c>
      <c r="K505" s="85">
        <f t="shared" si="112"/>
        <v>104730.9</v>
      </c>
      <c r="L505" s="85">
        <f>1005-29.9-97.4-2592.7-458.2</f>
        <v>-2173.1999999999998</v>
      </c>
      <c r="M505" s="85">
        <f t="shared" si="106"/>
        <v>102557.7</v>
      </c>
      <c r="N505" s="85"/>
      <c r="O505" s="85">
        <f t="shared" si="107"/>
        <v>102557.7</v>
      </c>
      <c r="P505" s="85">
        <v>-140.19999999999999</v>
      </c>
      <c r="Q505" s="85">
        <f t="shared" ref="Q505:Q568" si="119">O505+P505</f>
        <v>102417.5</v>
      </c>
      <c r="R505" s="85">
        <f>-219.8-20.9-34.5-497-152-490.2-34.8-310.7</f>
        <v>-1759.9</v>
      </c>
      <c r="S505" s="85">
        <f t="shared" si="118"/>
        <v>100657.60000000001</v>
      </c>
      <c r="T505" s="85">
        <f>360+5453.4</f>
        <v>5813.4</v>
      </c>
      <c r="U505" s="85">
        <f t="shared" si="113"/>
        <v>106471</v>
      </c>
    </row>
    <row r="506" spans="1:21">
      <c r="A506" s="61" t="str">
        <f ca="1">IF(ISERROR(MATCH(F506,Код_КВР,0)),"",INDIRECT(ADDRESS(MATCH(F506,Код_КВР,0)+1,2,,,"КВР")))</f>
        <v>Иные бюджетные ассигнования</v>
      </c>
      <c r="B506" s="145">
        <v>803</v>
      </c>
      <c r="C506" s="8" t="s">
        <v>221</v>
      </c>
      <c r="D506" s="8" t="s">
        <v>215</v>
      </c>
      <c r="E506" s="145" t="s">
        <v>49</v>
      </c>
      <c r="F506" s="145">
        <v>800</v>
      </c>
      <c r="G506" s="69">
        <f>G507</f>
        <v>32181.5</v>
      </c>
      <c r="H506" s="69">
        <f>H507</f>
        <v>0</v>
      </c>
      <c r="I506" s="69">
        <f t="shared" si="114"/>
        <v>32181.5</v>
      </c>
      <c r="J506" s="69">
        <f>J507</f>
        <v>-1185.1000000000001</v>
      </c>
      <c r="K506" s="85">
        <f t="shared" si="112"/>
        <v>30996.400000000001</v>
      </c>
      <c r="L506" s="13">
        <f>L507</f>
        <v>0</v>
      </c>
      <c r="M506" s="85">
        <f t="shared" si="106"/>
        <v>30996.400000000001</v>
      </c>
      <c r="N506" s="13">
        <f>N507</f>
        <v>0</v>
      </c>
      <c r="O506" s="85">
        <f t="shared" si="107"/>
        <v>30996.400000000001</v>
      </c>
      <c r="P506" s="13">
        <f>P507</f>
        <v>0</v>
      </c>
      <c r="Q506" s="85">
        <f t="shared" si="119"/>
        <v>30996.400000000001</v>
      </c>
      <c r="R506" s="13">
        <f>R507</f>
        <v>0</v>
      </c>
      <c r="S506" s="85">
        <f t="shared" si="118"/>
        <v>30996.400000000001</v>
      </c>
      <c r="T506" s="13">
        <f>T507</f>
        <v>0</v>
      </c>
      <c r="U506" s="85">
        <f t="shared" si="113"/>
        <v>30996.400000000001</v>
      </c>
    </row>
    <row r="507" spans="1:21" ht="33">
      <c r="A507" s="61" t="str">
        <f ca="1">IF(ISERROR(MATCH(F507,Код_КВР,0)),"",INDIRECT(ADDRESS(MATCH(F507,Код_КВР,0)+1,2,,,"КВР")))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507" s="145">
        <v>803</v>
      </c>
      <c r="C507" s="8" t="s">
        <v>221</v>
      </c>
      <c r="D507" s="8" t="s">
        <v>215</v>
      </c>
      <c r="E507" s="145" t="s">
        <v>49</v>
      </c>
      <c r="F507" s="145">
        <v>810</v>
      </c>
      <c r="G507" s="69">
        <v>32181.5</v>
      </c>
      <c r="H507" s="64"/>
      <c r="I507" s="69">
        <f t="shared" si="114"/>
        <v>32181.5</v>
      </c>
      <c r="J507" s="64">
        <f>-1411.7+226.6</f>
        <v>-1185.1000000000001</v>
      </c>
      <c r="K507" s="85">
        <f t="shared" si="112"/>
        <v>30996.400000000001</v>
      </c>
      <c r="L507" s="85"/>
      <c r="M507" s="85">
        <f t="shared" si="106"/>
        <v>30996.400000000001</v>
      </c>
      <c r="N507" s="85"/>
      <c r="O507" s="85">
        <f t="shared" si="107"/>
        <v>30996.400000000001</v>
      </c>
      <c r="P507" s="85"/>
      <c r="Q507" s="85">
        <f t="shared" si="119"/>
        <v>30996.400000000001</v>
      </c>
      <c r="R507" s="85"/>
      <c r="S507" s="85">
        <f t="shared" si="118"/>
        <v>30996.400000000001</v>
      </c>
      <c r="T507" s="85"/>
      <c r="U507" s="85">
        <f t="shared" si="113"/>
        <v>30996.400000000001</v>
      </c>
    </row>
    <row r="508" spans="1:21" ht="49.5">
      <c r="A508" s="61" t="str">
        <f ca="1">IF(ISERROR(MATCH(E508,Код_КЦСР,0)),"",INDIRECT(ADDRESS(MATCH(E508,Код_КЦСР,0)+1,2,,,"КЦСР")))</f>
        <v>Муниципальная программа «Содействие развитию институтов гражданского общества и информационной открытости органов местного самоуправления в городе Череповце» на 2014-2018 годы</v>
      </c>
      <c r="B508" s="145">
        <v>803</v>
      </c>
      <c r="C508" s="8" t="s">
        <v>221</v>
      </c>
      <c r="D508" s="8" t="s">
        <v>215</v>
      </c>
      <c r="E508" s="145" t="s">
        <v>141</v>
      </c>
      <c r="F508" s="145"/>
      <c r="G508" s="69">
        <f t="shared" ref="G508:T511" si="120">G509</f>
        <v>84.2</v>
      </c>
      <c r="H508" s="69">
        <f t="shared" si="120"/>
        <v>0</v>
      </c>
      <c r="I508" s="69">
        <f t="shared" si="114"/>
        <v>84.2</v>
      </c>
      <c r="J508" s="69">
        <f t="shared" si="120"/>
        <v>0</v>
      </c>
      <c r="K508" s="85">
        <f t="shared" si="112"/>
        <v>84.2</v>
      </c>
      <c r="L508" s="13">
        <f t="shared" si="120"/>
        <v>0</v>
      </c>
      <c r="M508" s="85">
        <f t="shared" si="106"/>
        <v>84.2</v>
      </c>
      <c r="N508" s="13">
        <f t="shared" si="120"/>
        <v>0</v>
      </c>
      <c r="O508" s="85">
        <f t="shared" si="107"/>
        <v>84.2</v>
      </c>
      <c r="P508" s="13">
        <f t="shared" si="120"/>
        <v>0</v>
      </c>
      <c r="Q508" s="85">
        <f t="shared" si="119"/>
        <v>84.2</v>
      </c>
      <c r="R508" s="13">
        <f t="shared" si="120"/>
        <v>0</v>
      </c>
      <c r="S508" s="85">
        <f t="shared" si="118"/>
        <v>84.2</v>
      </c>
      <c r="T508" s="13">
        <f t="shared" si="120"/>
        <v>0</v>
      </c>
      <c r="U508" s="85">
        <f t="shared" si="113"/>
        <v>84.2</v>
      </c>
    </row>
    <row r="509" spans="1:21" ht="66">
      <c r="A509" s="61" t="str">
        <f ca="1">IF(ISERROR(MATCH(E509,Код_КЦСР,0)),"",INDIRECT(ADDRESS(MATCH(E509,Код_КЦСР,0)+1,2,,,"КЦСР")))</f>
        <v>Формирование положительного имиджа Череповца на внутреннем, межрегиональном и международном уровнях посредством проведения имиджевых мероприятий, стимулирующих формирование общественного мнения</v>
      </c>
      <c r="B509" s="145">
        <v>803</v>
      </c>
      <c r="C509" s="8" t="s">
        <v>221</v>
      </c>
      <c r="D509" s="8" t="s">
        <v>215</v>
      </c>
      <c r="E509" s="145" t="s">
        <v>143</v>
      </c>
      <c r="F509" s="145"/>
      <c r="G509" s="69">
        <f t="shared" si="120"/>
        <v>84.2</v>
      </c>
      <c r="H509" s="69">
        <f t="shared" si="120"/>
        <v>0</v>
      </c>
      <c r="I509" s="69">
        <f t="shared" si="114"/>
        <v>84.2</v>
      </c>
      <c r="J509" s="69">
        <f t="shared" si="120"/>
        <v>0</v>
      </c>
      <c r="K509" s="85">
        <f t="shared" si="112"/>
        <v>84.2</v>
      </c>
      <c r="L509" s="13">
        <f t="shared" si="120"/>
        <v>0</v>
      </c>
      <c r="M509" s="85">
        <f t="shared" si="106"/>
        <v>84.2</v>
      </c>
      <c r="N509" s="13">
        <f t="shared" si="120"/>
        <v>0</v>
      </c>
      <c r="O509" s="85">
        <f t="shared" si="107"/>
        <v>84.2</v>
      </c>
      <c r="P509" s="13">
        <f t="shared" si="120"/>
        <v>0</v>
      </c>
      <c r="Q509" s="85">
        <f t="shared" si="119"/>
        <v>84.2</v>
      </c>
      <c r="R509" s="13">
        <f t="shared" si="120"/>
        <v>0</v>
      </c>
      <c r="S509" s="85">
        <f t="shared" si="118"/>
        <v>84.2</v>
      </c>
      <c r="T509" s="13">
        <f t="shared" si="120"/>
        <v>0</v>
      </c>
      <c r="U509" s="85">
        <f t="shared" si="113"/>
        <v>84.2</v>
      </c>
    </row>
    <row r="510" spans="1:21">
      <c r="A510" s="61" t="str">
        <f ca="1">IF(ISERROR(MATCH(F510,Код_КВР,0)),"",INDIRECT(ADDRESS(MATCH(F510,Код_КВР,0)+1,2,,,"КВР")))</f>
        <v>Закупка товаров, работ и услуг для муниципальных нужд</v>
      </c>
      <c r="B510" s="145">
        <v>803</v>
      </c>
      <c r="C510" s="8" t="s">
        <v>221</v>
      </c>
      <c r="D510" s="8" t="s">
        <v>215</v>
      </c>
      <c r="E510" s="145" t="s">
        <v>143</v>
      </c>
      <c r="F510" s="145">
        <v>200</v>
      </c>
      <c r="G510" s="69">
        <f t="shared" si="120"/>
        <v>84.2</v>
      </c>
      <c r="H510" s="69">
        <f t="shared" si="120"/>
        <v>0</v>
      </c>
      <c r="I510" s="69">
        <f t="shared" si="114"/>
        <v>84.2</v>
      </c>
      <c r="J510" s="69">
        <f t="shared" si="120"/>
        <v>0</v>
      </c>
      <c r="K510" s="85">
        <f t="shared" si="112"/>
        <v>84.2</v>
      </c>
      <c r="L510" s="13">
        <f t="shared" si="120"/>
        <v>0</v>
      </c>
      <c r="M510" s="85">
        <f t="shared" si="106"/>
        <v>84.2</v>
      </c>
      <c r="N510" s="13">
        <f t="shared" si="120"/>
        <v>0</v>
      </c>
      <c r="O510" s="85">
        <f t="shared" si="107"/>
        <v>84.2</v>
      </c>
      <c r="P510" s="13">
        <f t="shared" si="120"/>
        <v>0</v>
      </c>
      <c r="Q510" s="85">
        <f t="shared" si="119"/>
        <v>84.2</v>
      </c>
      <c r="R510" s="13">
        <f t="shared" si="120"/>
        <v>0</v>
      </c>
      <c r="S510" s="85">
        <f t="shared" si="118"/>
        <v>84.2</v>
      </c>
      <c r="T510" s="13">
        <f t="shared" si="120"/>
        <v>0</v>
      </c>
      <c r="U510" s="85">
        <f t="shared" si="113"/>
        <v>84.2</v>
      </c>
    </row>
    <row r="511" spans="1:21" ht="33">
      <c r="A511" s="61" t="str">
        <f ca="1">IF(ISERROR(MATCH(F511,Код_КВР,0)),"",INDIRECT(ADDRESS(MATCH(F511,Код_КВР,0)+1,2,,,"КВР")))</f>
        <v>Иные закупки товаров, работ и услуг для обеспечения муниципальных нужд</v>
      </c>
      <c r="B511" s="145">
        <v>803</v>
      </c>
      <c r="C511" s="8" t="s">
        <v>221</v>
      </c>
      <c r="D511" s="8" t="s">
        <v>215</v>
      </c>
      <c r="E511" s="145" t="s">
        <v>143</v>
      </c>
      <c r="F511" s="145">
        <v>240</v>
      </c>
      <c r="G511" s="69">
        <f t="shared" si="120"/>
        <v>84.2</v>
      </c>
      <c r="H511" s="69">
        <f t="shared" si="120"/>
        <v>0</v>
      </c>
      <c r="I511" s="69">
        <f t="shared" si="114"/>
        <v>84.2</v>
      </c>
      <c r="J511" s="69">
        <f t="shared" si="120"/>
        <v>0</v>
      </c>
      <c r="K511" s="85">
        <f t="shared" si="112"/>
        <v>84.2</v>
      </c>
      <c r="L511" s="13">
        <f t="shared" si="120"/>
        <v>0</v>
      </c>
      <c r="M511" s="85">
        <f t="shared" ref="M511:M587" si="121">K511+L511</f>
        <v>84.2</v>
      </c>
      <c r="N511" s="13">
        <f t="shared" si="120"/>
        <v>0</v>
      </c>
      <c r="O511" s="85">
        <f t="shared" ref="O511:O587" si="122">M511+N511</f>
        <v>84.2</v>
      </c>
      <c r="P511" s="13">
        <f t="shared" si="120"/>
        <v>0</v>
      </c>
      <c r="Q511" s="85">
        <f t="shared" si="119"/>
        <v>84.2</v>
      </c>
      <c r="R511" s="13">
        <f t="shared" si="120"/>
        <v>0</v>
      </c>
      <c r="S511" s="85">
        <f t="shared" si="118"/>
        <v>84.2</v>
      </c>
      <c r="T511" s="13">
        <f t="shared" si="120"/>
        <v>0</v>
      </c>
      <c r="U511" s="85">
        <f t="shared" si="113"/>
        <v>84.2</v>
      </c>
    </row>
    <row r="512" spans="1:21" ht="33">
      <c r="A512" s="61" t="str">
        <f ca="1">IF(ISERROR(MATCH(F512,Код_КВР,0)),"",INDIRECT(ADDRESS(MATCH(F512,Код_КВР,0)+1,2,,,"КВР")))</f>
        <v xml:space="preserve">Прочая закупка товаров, работ и услуг для обеспечения муниципальных нужд         </v>
      </c>
      <c r="B512" s="145">
        <v>803</v>
      </c>
      <c r="C512" s="8" t="s">
        <v>221</v>
      </c>
      <c r="D512" s="8" t="s">
        <v>215</v>
      </c>
      <c r="E512" s="145" t="s">
        <v>143</v>
      </c>
      <c r="F512" s="145">
        <v>244</v>
      </c>
      <c r="G512" s="69">
        <v>84.2</v>
      </c>
      <c r="H512" s="64"/>
      <c r="I512" s="69">
        <f t="shared" si="114"/>
        <v>84.2</v>
      </c>
      <c r="J512" s="64"/>
      <c r="K512" s="85">
        <f t="shared" si="112"/>
        <v>84.2</v>
      </c>
      <c r="L512" s="85"/>
      <c r="M512" s="85">
        <f t="shared" si="121"/>
        <v>84.2</v>
      </c>
      <c r="N512" s="85"/>
      <c r="O512" s="85">
        <f t="shared" si="122"/>
        <v>84.2</v>
      </c>
      <c r="P512" s="85"/>
      <c r="Q512" s="85">
        <f t="shared" si="119"/>
        <v>84.2</v>
      </c>
      <c r="R512" s="85"/>
      <c r="S512" s="85">
        <f t="shared" si="118"/>
        <v>84.2</v>
      </c>
      <c r="T512" s="85"/>
      <c r="U512" s="85">
        <f t="shared" si="113"/>
        <v>84.2</v>
      </c>
    </row>
    <row r="513" spans="1:21">
      <c r="A513" s="12" t="s">
        <v>164</v>
      </c>
      <c r="B513" s="145">
        <v>803</v>
      </c>
      <c r="C513" s="8" t="s">
        <v>221</v>
      </c>
      <c r="D513" s="8" t="s">
        <v>221</v>
      </c>
      <c r="E513" s="145"/>
      <c r="F513" s="145"/>
      <c r="G513" s="69">
        <f t="shared" ref="G513:T515" si="123">G514</f>
        <v>21929.300000000003</v>
      </c>
      <c r="H513" s="69">
        <f t="shared" si="123"/>
        <v>0</v>
      </c>
      <c r="I513" s="69">
        <f t="shared" si="114"/>
        <v>21929.300000000003</v>
      </c>
      <c r="J513" s="69">
        <f t="shared" si="123"/>
        <v>0</v>
      </c>
      <c r="K513" s="85">
        <f t="shared" si="112"/>
        <v>21929.300000000003</v>
      </c>
      <c r="L513" s="13">
        <f t="shared" si="123"/>
        <v>0</v>
      </c>
      <c r="M513" s="85">
        <f t="shared" si="121"/>
        <v>21929.300000000003</v>
      </c>
      <c r="N513" s="13">
        <f t="shared" si="123"/>
        <v>0</v>
      </c>
      <c r="O513" s="85">
        <f t="shared" si="122"/>
        <v>21929.300000000003</v>
      </c>
      <c r="P513" s="13">
        <f t="shared" si="123"/>
        <v>0</v>
      </c>
      <c r="Q513" s="85">
        <f t="shared" si="119"/>
        <v>21929.300000000003</v>
      </c>
      <c r="R513" s="13">
        <f t="shared" si="123"/>
        <v>0</v>
      </c>
      <c r="S513" s="85">
        <f t="shared" si="118"/>
        <v>21929.300000000003</v>
      </c>
      <c r="T513" s="13">
        <f t="shared" si="123"/>
        <v>0</v>
      </c>
      <c r="U513" s="85">
        <f t="shared" si="113"/>
        <v>21929.300000000003</v>
      </c>
    </row>
    <row r="514" spans="1:21" ht="33">
      <c r="A514" s="61" t="str">
        <f ca="1">IF(ISERROR(MATCH(E514,Код_КЦСР,0)),"",INDIRECT(ADDRESS(MATCH(E514,Код_КЦСР,0)+1,2,,,"КЦСР")))</f>
        <v>Непрограммные направления деятельности органов местного самоуправления</v>
      </c>
      <c r="B514" s="145">
        <v>803</v>
      </c>
      <c r="C514" s="8" t="s">
        <v>221</v>
      </c>
      <c r="D514" s="8" t="s">
        <v>221</v>
      </c>
      <c r="E514" s="145" t="s">
        <v>299</v>
      </c>
      <c r="F514" s="145"/>
      <c r="G514" s="69">
        <f t="shared" si="123"/>
        <v>21929.300000000003</v>
      </c>
      <c r="H514" s="69">
        <f t="shared" si="123"/>
        <v>0</v>
      </c>
      <c r="I514" s="69">
        <f t="shared" si="114"/>
        <v>21929.300000000003</v>
      </c>
      <c r="J514" s="69">
        <f t="shared" si="123"/>
        <v>0</v>
      </c>
      <c r="K514" s="85">
        <f t="shared" si="112"/>
        <v>21929.300000000003</v>
      </c>
      <c r="L514" s="13">
        <f t="shared" si="123"/>
        <v>0</v>
      </c>
      <c r="M514" s="85">
        <f t="shared" si="121"/>
        <v>21929.300000000003</v>
      </c>
      <c r="N514" s="13">
        <f t="shared" si="123"/>
        <v>0</v>
      </c>
      <c r="O514" s="85">
        <f t="shared" si="122"/>
        <v>21929.300000000003</v>
      </c>
      <c r="P514" s="13">
        <f t="shared" si="123"/>
        <v>0</v>
      </c>
      <c r="Q514" s="85">
        <f t="shared" si="119"/>
        <v>21929.300000000003</v>
      </c>
      <c r="R514" s="13">
        <f t="shared" si="123"/>
        <v>0</v>
      </c>
      <c r="S514" s="85">
        <f t="shared" si="118"/>
        <v>21929.300000000003</v>
      </c>
      <c r="T514" s="13">
        <f t="shared" si="123"/>
        <v>0</v>
      </c>
      <c r="U514" s="85">
        <f t="shared" si="113"/>
        <v>21929.300000000003</v>
      </c>
    </row>
    <row r="515" spans="1:21">
      <c r="A515" s="61" t="str">
        <f ca="1">IF(ISERROR(MATCH(E515,Код_КЦСР,0)),"",INDIRECT(ADDRESS(MATCH(E515,Код_КЦСР,0)+1,2,,,"КЦСР")))</f>
        <v>Расходы, не включенные в муниципальные программы города Череповца</v>
      </c>
      <c r="B515" s="145">
        <v>803</v>
      </c>
      <c r="C515" s="8" t="s">
        <v>221</v>
      </c>
      <c r="D515" s="8" t="s">
        <v>221</v>
      </c>
      <c r="E515" s="145" t="s">
        <v>301</v>
      </c>
      <c r="F515" s="145"/>
      <c r="G515" s="69">
        <f t="shared" si="123"/>
        <v>21929.300000000003</v>
      </c>
      <c r="H515" s="69">
        <f t="shared" si="123"/>
        <v>0</v>
      </c>
      <c r="I515" s="69">
        <f t="shared" si="114"/>
        <v>21929.300000000003</v>
      </c>
      <c r="J515" s="69">
        <f t="shared" si="123"/>
        <v>0</v>
      </c>
      <c r="K515" s="85">
        <f t="shared" si="112"/>
        <v>21929.300000000003</v>
      </c>
      <c r="L515" s="13">
        <f t="shared" si="123"/>
        <v>0</v>
      </c>
      <c r="M515" s="85">
        <f t="shared" si="121"/>
        <v>21929.300000000003</v>
      </c>
      <c r="N515" s="13">
        <f t="shared" si="123"/>
        <v>0</v>
      </c>
      <c r="O515" s="85">
        <f t="shared" si="122"/>
        <v>21929.300000000003</v>
      </c>
      <c r="P515" s="13">
        <f t="shared" si="123"/>
        <v>0</v>
      </c>
      <c r="Q515" s="85">
        <f t="shared" si="119"/>
        <v>21929.300000000003</v>
      </c>
      <c r="R515" s="13">
        <f t="shared" si="123"/>
        <v>0</v>
      </c>
      <c r="S515" s="85">
        <f t="shared" si="118"/>
        <v>21929.300000000003</v>
      </c>
      <c r="T515" s="13">
        <f t="shared" si="123"/>
        <v>0</v>
      </c>
      <c r="U515" s="85">
        <f t="shared" si="113"/>
        <v>21929.300000000003</v>
      </c>
    </row>
    <row r="516" spans="1:21" ht="33">
      <c r="A516" s="61" t="str">
        <f ca="1">IF(ISERROR(MATCH(E516,Код_КЦСР,0)),"",INDIRECT(ADDRESS(MATCH(E516,Код_КЦСР,0)+1,2,,,"КЦСР")))</f>
        <v>Руководство и управление в сфере установленных функций органов местного самоуправления</v>
      </c>
      <c r="B516" s="145">
        <v>803</v>
      </c>
      <c r="C516" s="8" t="s">
        <v>221</v>
      </c>
      <c r="D516" s="8" t="s">
        <v>221</v>
      </c>
      <c r="E516" s="145" t="s">
        <v>303</v>
      </c>
      <c r="F516" s="145"/>
      <c r="G516" s="69">
        <f>G518+G520+G523</f>
        <v>21929.300000000003</v>
      </c>
      <c r="H516" s="69">
        <f>H518+H520+H523</f>
        <v>0</v>
      </c>
      <c r="I516" s="69">
        <f t="shared" si="114"/>
        <v>21929.300000000003</v>
      </c>
      <c r="J516" s="69">
        <f>J518+J520+J523</f>
        <v>0</v>
      </c>
      <c r="K516" s="85">
        <f t="shared" si="112"/>
        <v>21929.300000000003</v>
      </c>
      <c r="L516" s="13">
        <f>L518+L520+L523</f>
        <v>0</v>
      </c>
      <c r="M516" s="85">
        <f t="shared" si="121"/>
        <v>21929.300000000003</v>
      </c>
      <c r="N516" s="13">
        <f>N518+N520+N523</f>
        <v>0</v>
      </c>
      <c r="O516" s="85">
        <f t="shared" si="122"/>
        <v>21929.300000000003</v>
      </c>
      <c r="P516" s="13">
        <f>P518+P520+P523</f>
        <v>0</v>
      </c>
      <c r="Q516" s="85">
        <f t="shared" si="119"/>
        <v>21929.300000000003</v>
      </c>
      <c r="R516" s="13">
        <f>R518+R520+R523</f>
        <v>0</v>
      </c>
      <c r="S516" s="85">
        <f t="shared" si="118"/>
        <v>21929.300000000003</v>
      </c>
      <c r="T516" s="13">
        <f>T518+T520+T523</f>
        <v>0</v>
      </c>
      <c r="U516" s="85">
        <f t="shared" si="113"/>
        <v>21929.300000000003</v>
      </c>
    </row>
    <row r="517" spans="1:21">
      <c r="A517" s="61" t="str">
        <f ca="1">IF(ISERROR(MATCH(E517,Код_КЦСР,0)),"",INDIRECT(ADDRESS(MATCH(E517,Код_КЦСР,0)+1,2,,,"КЦСР")))</f>
        <v>Центральный аппарат</v>
      </c>
      <c r="B517" s="145">
        <v>803</v>
      </c>
      <c r="C517" s="8" t="s">
        <v>221</v>
      </c>
      <c r="D517" s="8" t="s">
        <v>221</v>
      </c>
      <c r="E517" s="145" t="s">
        <v>306</v>
      </c>
      <c r="F517" s="145"/>
      <c r="G517" s="69">
        <f>G518+G520+G523</f>
        <v>21929.300000000003</v>
      </c>
      <c r="H517" s="69">
        <f>H518+H520+H523</f>
        <v>0</v>
      </c>
      <c r="I517" s="69">
        <f t="shared" si="114"/>
        <v>21929.300000000003</v>
      </c>
      <c r="J517" s="69">
        <f>J518+J520+J523</f>
        <v>0</v>
      </c>
      <c r="K517" s="85">
        <f t="shared" si="112"/>
        <v>21929.300000000003</v>
      </c>
      <c r="L517" s="13">
        <f>L518+L520+L523</f>
        <v>0</v>
      </c>
      <c r="M517" s="85">
        <f t="shared" si="121"/>
        <v>21929.300000000003</v>
      </c>
      <c r="N517" s="13">
        <f>N518+N520+N523</f>
        <v>0</v>
      </c>
      <c r="O517" s="85">
        <f t="shared" si="122"/>
        <v>21929.300000000003</v>
      </c>
      <c r="P517" s="13">
        <f>P518+P520+P523</f>
        <v>0</v>
      </c>
      <c r="Q517" s="85">
        <f t="shared" si="119"/>
        <v>21929.300000000003</v>
      </c>
      <c r="R517" s="13">
        <f>R518+R520+R523</f>
        <v>0</v>
      </c>
      <c r="S517" s="85">
        <f t="shared" si="118"/>
        <v>21929.300000000003</v>
      </c>
      <c r="T517" s="13">
        <f>T518+T520+T523</f>
        <v>0</v>
      </c>
      <c r="U517" s="85">
        <f t="shared" si="113"/>
        <v>21929.300000000003</v>
      </c>
    </row>
    <row r="518" spans="1:21" ht="33">
      <c r="A518" s="61" t="str">
        <f t="shared" ref="A518:A524" ca="1" si="124">IF(ISERROR(MATCH(F518,Код_КВР,0)),"",INDIRECT(ADDRESS(MATCH(F518,Код_КВР,0)+1,2,,,"КВР")))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18" s="145">
        <v>803</v>
      </c>
      <c r="C518" s="8" t="s">
        <v>221</v>
      </c>
      <c r="D518" s="8" t="s">
        <v>221</v>
      </c>
      <c r="E518" s="145" t="s">
        <v>306</v>
      </c>
      <c r="F518" s="145">
        <v>100</v>
      </c>
      <c r="G518" s="69">
        <f>G519</f>
        <v>21894.9</v>
      </c>
      <c r="H518" s="69">
        <f>H519</f>
        <v>0</v>
      </c>
      <c r="I518" s="69">
        <f t="shared" si="114"/>
        <v>21894.9</v>
      </c>
      <c r="J518" s="69">
        <f>J519</f>
        <v>0</v>
      </c>
      <c r="K518" s="85">
        <f t="shared" si="112"/>
        <v>21894.9</v>
      </c>
      <c r="L518" s="13">
        <f>L519</f>
        <v>0</v>
      </c>
      <c r="M518" s="85">
        <f t="shared" si="121"/>
        <v>21894.9</v>
      </c>
      <c r="N518" s="13">
        <f>N519</f>
        <v>0</v>
      </c>
      <c r="O518" s="85">
        <f t="shared" si="122"/>
        <v>21894.9</v>
      </c>
      <c r="P518" s="13">
        <f>P519</f>
        <v>0</v>
      </c>
      <c r="Q518" s="85">
        <f t="shared" si="119"/>
        <v>21894.9</v>
      </c>
      <c r="R518" s="13">
        <f>R519</f>
        <v>0</v>
      </c>
      <c r="S518" s="85">
        <f t="shared" si="118"/>
        <v>21894.9</v>
      </c>
      <c r="T518" s="13">
        <f>T519</f>
        <v>-40</v>
      </c>
      <c r="U518" s="85">
        <f t="shared" si="113"/>
        <v>21854.9</v>
      </c>
    </row>
    <row r="519" spans="1:21">
      <c r="A519" s="61" t="str">
        <f t="shared" ca="1" si="124"/>
        <v>Расходы на выплаты персоналу муниципальных органов</v>
      </c>
      <c r="B519" s="145">
        <v>803</v>
      </c>
      <c r="C519" s="8" t="s">
        <v>221</v>
      </c>
      <c r="D519" s="8" t="s">
        <v>221</v>
      </c>
      <c r="E519" s="145" t="s">
        <v>306</v>
      </c>
      <c r="F519" s="145">
        <v>120</v>
      </c>
      <c r="G519" s="69">
        <v>21894.9</v>
      </c>
      <c r="H519" s="69"/>
      <c r="I519" s="69">
        <f t="shared" si="114"/>
        <v>21894.9</v>
      </c>
      <c r="J519" s="69"/>
      <c r="K519" s="85">
        <f t="shared" si="112"/>
        <v>21894.9</v>
      </c>
      <c r="L519" s="13"/>
      <c r="M519" s="85">
        <f t="shared" si="121"/>
        <v>21894.9</v>
      </c>
      <c r="N519" s="13"/>
      <c r="O519" s="85">
        <f t="shared" si="122"/>
        <v>21894.9</v>
      </c>
      <c r="P519" s="13"/>
      <c r="Q519" s="85">
        <f t="shared" si="119"/>
        <v>21894.9</v>
      </c>
      <c r="R519" s="13"/>
      <c r="S519" s="85">
        <f t="shared" si="118"/>
        <v>21894.9</v>
      </c>
      <c r="T519" s="13">
        <f>-40</f>
        <v>-40</v>
      </c>
      <c r="U519" s="85">
        <f t="shared" si="113"/>
        <v>21854.9</v>
      </c>
    </row>
    <row r="520" spans="1:21">
      <c r="A520" s="61" t="str">
        <f t="shared" ca="1" si="124"/>
        <v>Закупка товаров, работ и услуг для муниципальных нужд</v>
      </c>
      <c r="B520" s="145">
        <v>803</v>
      </c>
      <c r="C520" s="8" t="s">
        <v>221</v>
      </c>
      <c r="D520" s="8" t="s">
        <v>221</v>
      </c>
      <c r="E520" s="145" t="s">
        <v>306</v>
      </c>
      <c r="F520" s="145">
        <v>200</v>
      </c>
      <c r="G520" s="69">
        <f>G521</f>
        <v>31.4</v>
      </c>
      <c r="H520" s="69">
        <f>H521</f>
        <v>0</v>
      </c>
      <c r="I520" s="69">
        <f t="shared" si="114"/>
        <v>31.4</v>
      </c>
      <c r="J520" s="69">
        <f>J521</f>
        <v>0</v>
      </c>
      <c r="K520" s="85">
        <f t="shared" si="112"/>
        <v>31.4</v>
      </c>
      <c r="L520" s="13">
        <f>L521</f>
        <v>0</v>
      </c>
      <c r="M520" s="85">
        <f t="shared" si="121"/>
        <v>31.4</v>
      </c>
      <c r="N520" s="13">
        <f>N521</f>
        <v>0</v>
      </c>
      <c r="O520" s="85">
        <f t="shared" si="122"/>
        <v>31.4</v>
      </c>
      <c r="P520" s="13">
        <f>P521</f>
        <v>0</v>
      </c>
      <c r="Q520" s="85">
        <f t="shared" si="119"/>
        <v>31.4</v>
      </c>
      <c r="R520" s="13">
        <f>R521</f>
        <v>0</v>
      </c>
      <c r="S520" s="85">
        <f t="shared" si="118"/>
        <v>31.4</v>
      </c>
      <c r="T520" s="13">
        <f>T521</f>
        <v>40</v>
      </c>
      <c r="U520" s="85">
        <f t="shared" si="113"/>
        <v>71.400000000000006</v>
      </c>
    </row>
    <row r="521" spans="1:21" ht="33">
      <c r="A521" s="61" t="str">
        <f t="shared" ca="1" si="124"/>
        <v>Иные закупки товаров, работ и услуг для обеспечения муниципальных нужд</v>
      </c>
      <c r="B521" s="145">
        <v>803</v>
      </c>
      <c r="C521" s="8" t="s">
        <v>221</v>
      </c>
      <c r="D521" s="8" t="s">
        <v>221</v>
      </c>
      <c r="E521" s="145" t="s">
        <v>306</v>
      </c>
      <c r="F521" s="145">
        <v>240</v>
      </c>
      <c r="G521" s="69">
        <f>G522</f>
        <v>31.4</v>
      </c>
      <c r="H521" s="69">
        <f>H522</f>
        <v>0</v>
      </c>
      <c r="I521" s="69">
        <f t="shared" si="114"/>
        <v>31.4</v>
      </c>
      <c r="J521" s="69">
        <f>J522</f>
        <v>0</v>
      </c>
      <c r="K521" s="85">
        <f t="shared" si="112"/>
        <v>31.4</v>
      </c>
      <c r="L521" s="13">
        <f>L522</f>
        <v>0</v>
      </c>
      <c r="M521" s="85">
        <f t="shared" si="121"/>
        <v>31.4</v>
      </c>
      <c r="N521" s="13">
        <f>N522</f>
        <v>0</v>
      </c>
      <c r="O521" s="85">
        <f t="shared" si="122"/>
        <v>31.4</v>
      </c>
      <c r="P521" s="13">
        <f>P522</f>
        <v>0</v>
      </c>
      <c r="Q521" s="85">
        <f t="shared" si="119"/>
        <v>31.4</v>
      </c>
      <c r="R521" s="13">
        <f>R522</f>
        <v>0</v>
      </c>
      <c r="S521" s="85">
        <f t="shared" si="118"/>
        <v>31.4</v>
      </c>
      <c r="T521" s="13">
        <f>T522</f>
        <v>40</v>
      </c>
      <c r="U521" s="85">
        <f t="shared" si="113"/>
        <v>71.400000000000006</v>
      </c>
    </row>
    <row r="522" spans="1:21" ht="33">
      <c r="A522" s="61" t="str">
        <f t="shared" ca="1" si="124"/>
        <v xml:space="preserve">Прочая закупка товаров, работ и услуг для обеспечения муниципальных нужд         </v>
      </c>
      <c r="B522" s="145">
        <v>803</v>
      </c>
      <c r="C522" s="8" t="s">
        <v>221</v>
      </c>
      <c r="D522" s="8" t="s">
        <v>221</v>
      </c>
      <c r="E522" s="145" t="s">
        <v>306</v>
      </c>
      <c r="F522" s="145">
        <v>244</v>
      </c>
      <c r="G522" s="69">
        <v>31.4</v>
      </c>
      <c r="H522" s="64"/>
      <c r="I522" s="69">
        <f t="shared" si="114"/>
        <v>31.4</v>
      </c>
      <c r="J522" s="64"/>
      <c r="K522" s="85">
        <f t="shared" si="112"/>
        <v>31.4</v>
      </c>
      <c r="L522" s="85"/>
      <c r="M522" s="85">
        <f t="shared" si="121"/>
        <v>31.4</v>
      </c>
      <c r="N522" s="85"/>
      <c r="O522" s="85">
        <f t="shared" si="122"/>
        <v>31.4</v>
      </c>
      <c r="P522" s="85"/>
      <c r="Q522" s="85">
        <f t="shared" si="119"/>
        <v>31.4</v>
      </c>
      <c r="R522" s="85"/>
      <c r="S522" s="85">
        <f t="shared" si="118"/>
        <v>31.4</v>
      </c>
      <c r="T522" s="85">
        <v>40</v>
      </c>
      <c r="U522" s="85">
        <f t="shared" si="113"/>
        <v>71.400000000000006</v>
      </c>
    </row>
    <row r="523" spans="1:21">
      <c r="A523" s="61" t="str">
        <f t="shared" ca="1" si="124"/>
        <v>Иные бюджетные ассигнования</v>
      </c>
      <c r="B523" s="145">
        <v>803</v>
      </c>
      <c r="C523" s="8" t="s">
        <v>221</v>
      </c>
      <c r="D523" s="8" t="s">
        <v>221</v>
      </c>
      <c r="E523" s="145" t="s">
        <v>306</v>
      </c>
      <c r="F523" s="145">
        <v>800</v>
      </c>
      <c r="G523" s="69">
        <f>G524</f>
        <v>3</v>
      </c>
      <c r="H523" s="69">
        <f>H524</f>
        <v>0</v>
      </c>
      <c r="I523" s="69">
        <f t="shared" si="114"/>
        <v>3</v>
      </c>
      <c r="J523" s="69">
        <f>J524</f>
        <v>0</v>
      </c>
      <c r="K523" s="85">
        <f t="shared" si="112"/>
        <v>3</v>
      </c>
      <c r="L523" s="13">
        <f>L524</f>
        <v>0</v>
      </c>
      <c r="M523" s="85">
        <f t="shared" si="121"/>
        <v>3</v>
      </c>
      <c r="N523" s="13">
        <f>N524</f>
        <v>0</v>
      </c>
      <c r="O523" s="85">
        <f t="shared" si="122"/>
        <v>3</v>
      </c>
      <c r="P523" s="13">
        <f>P524</f>
        <v>0</v>
      </c>
      <c r="Q523" s="85">
        <f t="shared" si="119"/>
        <v>3</v>
      </c>
      <c r="R523" s="13">
        <f>R524</f>
        <v>0</v>
      </c>
      <c r="S523" s="85">
        <f t="shared" si="118"/>
        <v>3</v>
      </c>
      <c r="T523" s="13">
        <f>T524</f>
        <v>0</v>
      </c>
      <c r="U523" s="85">
        <f t="shared" si="113"/>
        <v>3</v>
      </c>
    </row>
    <row r="524" spans="1:21">
      <c r="A524" s="61" t="str">
        <f t="shared" ca="1" si="124"/>
        <v>Уплата налогов, сборов и иных платежей</v>
      </c>
      <c r="B524" s="145">
        <v>803</v>
      </c>
      <c r="C524" s="8" t="s">
        <v>221</v>
      </c>
      <c r="D524" s="8" t="s">
        <v>221</v>
      </c>
      <c r="E524" s="145" t="s">
        <v>306</v>
      </c>
      <c r="F524" s="145">
        <v>850</v>
      </c>
      <c r="G524" s="69">
        <f>G525</f>
        <v>3</v>
      </c>
      <c r="H524" s="69">
        <f>H525</f>
        <v>0</v>
      </c>
      <c r="I524" s="69">
        <f t="shared" si="114"/>
        <v>3</v>
      </c>
      <c r="J524" s="69">
        <f>J525</f>
        <v>0</v>
      </c>
      <c r="K524" s="85">
        <f t="shared" si="112"/>
        <v>3</v>
      </c>
      <c r="L524" s="13">
        <f>L525</f>
        <v>0</v>
      </c>
      <c r="M524" s="85">
        <f t="shared" si="121"/>
        <v>3</v>
      </c>
      <c r="N524" s="13">
        <f>N525</f>
        <v>0</v>
      </c>
      <c r="O524" s="85">
        <f t="shared" si="122"/>
        <v>3</v>
      </c>
      <c r="P524" s="13">
        <f>P525</f>
        <v>0</v>
      </c>
      <c r="Q524" s="85">
        <f t="shared" si="119"/>
        <v>3</v>
      </c>
      <c r="R524" s="13">
        <f>R525</f>
        <v>0</v>
      </c>
      <c r="S524" s="85">
        <f t="shared" si="118"/>
        <v>3</v>
      </c>
      <c r="T524" s="13">
        <f>T525</f>
        <v>0</v>
      </c>
      <c r="U524" s="85">
        <f t="shared" si="113"/>
        <v>3</v>
      </c>
    </row>
    <row r="525" spans="1:21">
      <c r="A525" s="61" t="str">
        <f ca="1">IF(ISERROR(MATCH(F525,Код_КВР,0)),"",INDIRECT(ADDRESS(MATCH(F525,Код_КВР,0)+1,2,,,"КВР")))</f>
        <v>Уплата прочих налогов, сборов и иных платежей</v>
      </c>
      <c r="B525" s="145">
        <v>803</v>
      </c>
      <c r="C525" s="8" t="s">
        <v>221</v>
      </c>
      <c r="D525" s="8" t="s">
        <v>221</v>
      </c>
      <c r="E525" s="145" t="s">
        <v>306</v>
      </c>
      <c r="F525" s="145">
        <v>852</v>
      </c>
      <c r="G525" s="69">
        <v>3</v>
      </c>
      <c r="H525" s="64"/>
      <c r="I525" s="69">
        <f t="shared" si="114"/>
        <v>3</v>
      </c>
      <c r="J525" s="64"/>
      <c r="K525" s="85">
        <f t="shared" si="112"/>
        <v>3</v>
      </c>
      <c r="L525" s="85"/>
      <c r="M525" s="85">
        <f t="shared" si="121"/>
        <v>3</v>
      </c>
      <c r="N525" s="85"/>
      <c r="O525" s="85">
        <f t="shared" si="122"/>
        <v>3</v>
      </c>
      <c r="P525" s="85"/>
      <c r="Q525" s="85">
        <f t="shared" si="119"/>
        <v>3</v>
      </c>
      <c r="R525" s="85"/>
      <c r="S525" s="85">
        <f t="shared" si="118"/>
        <v>3</v>
      </c>
      <c r="T525" s="85"/>
      <c r="U525" s="85">
        <f t="shared" si="113"/>
        <v>3</v>
      </c>
    </row>
    <row r="526" spans="1:21">
      <c r="A526" s="61" t="str">
        <f ca="1">IF(ISERROR(MATCH(C526,Код_Раздел,0)),"",INDIRECT(ADDRESS(MATCH(C526,Код_Раздел,0)+1,2,,,"Раздел")))</f>
        <v>Охрана окружающей среды</v>
      </c>
      <c r="B526" s="145">
        <v>803</v>
      </c>
      <c r="C526" s="8" t="s">
        <v>217</v>
      </c>
      <c r="D526" s="8"/>
      <c r="E526" s="145"/>
      <c r="F526" s="145"/>
      <c r="G526" s="69">
        <f t="shared" ref="G526:T530" si="125">G527</f>
        <v>200</v>
      </c>
      <c r="H526" s="69">
        <f t="shared" si="125"/>
        <v>0</v>
      </c>
      <c r="I526" s="69">
        <f t="shared" si="114"/>
        <v>200</v>
      </c>
      <c r="J526" s="69">
        <f t="shared" si="125"/>
        <v>0</v>
      </c>
      <c r="K526" s="85">
        <f t="shared" si="112"/>
        <v>200</v>
      </c>
      <c r="L526" s="13">
        <f t="shared" si="125"/>
        <v>0</v>
      </c>
      <c r="M526" s="85">
        <f t="shared" si="121"/>
        <v>200</v>
      </c>
      <c r="N526" s="13">
        <f t="shared" si="125"/>
        <v>-164.3</v>
      </c>
      <c r="O526" s="85">
        <f t="shared" si="122"/>
        <v>35.699999999999989</v>
      </c>
      <c r="P526" s="13">
        <f t="shared" si="125"/>
        <v>0</v>
      </c>
      <c r="Q526" s="85">
        <f t="shared" si="119"/>
        <v>35.699999999999989</v>
      </c>
      <c r="R526" s="13">
        <f t="shared" si="125"/>
        <v>0</v>
      </c>
      <c r="S526" s="85">
        <f t="shared" si="118"/>
        <v>35.699999999999989</v>
      </c>
      <c r="T526" s="13">
        <f t="shared" si="125"/>
        <v>0</v>
      </c>
      <c r="U526" s="85">
        <f t="shared" si="113"/>
        <v>35.699999999999989</v>
      </c>
    </row>
    <row r="527" spans="1:21">
      <c r="A527" s="12" t="s">
        <v>255</v>
      </c>
      <c r="B527" s="145">
        <v>803</v>
      </c>
      <c r="C527" s="8" t="s">
        <v>217</v>
      </c>
      <c r="D527" s="8" t="s">
        <v>221</v>
      </c>
      <c r="E527" s="145"/>
      <c r="F527" s="145"/>
      <c r="G527" s="69">
        <f t="shared" si="125"/>
        <v>200</v>
      </c>
      <c r="H527" s="69">
        <f t="shared" si="125"/>
        <v>0</v>
      </c>
      <c r="I527" s="69">
        <f t="shared" si="114"/>
        <v>200</v>
      </c>
      <c r="J527" s="69">
        <f t="shared" si="125"/>
        <v>0</v>
      </c>
      <c r="K527" s="85">
        <f t="shared" si="112"/>
        <v>200</v>
      </c>
      <c r="L527" s="13">
        <f t="shared" si="125"/>
        <v>0</v>
      </c>
      <c r="M527" s="85">
        <f t="shared" si="121"/>
        <v>200</v>
      </c>
      <c r="N527" s="13">
        <f t="shared" si="125"/>
        <v>-164.3</v>
      </c>
      <c r="O527" s="85">
        <f t="shared" si="122"/>
        <v>35.699999999999989</v>
      </c>
      <c r="P527" s="13">
        <f t="shared" si="125"/>
        <v>0</v>
      </c>
      <c r="Q527" s="85">
        <f t="shared" si="119"/>
        <v>35.699999999999989</v>
      </c>
      <c r="R527" s="13">
        <f t="shared" si="125"/>
        <v>0</v>
      </c>
      <c r="S527" s="85">
        <f t="shared" si="118"/>
        <v>35.699999999999989</v>
      </c>
      <c r="T527" s="13">
        <f t="shared" si="125"/>
        <v>0</v>
      </c>
      <c r="U527" s="85">
        <f t="shared" si="113"/>
        <v>35.699999999999989</v>
      </c>
    </row>
    <row r="528" spans="1:21" ht="33">
      <c r="A528" s="61" t="str">
        <f ca="1">IF(ISERROR(MATCH(E528,Код_КЦСР,0)),"",INDIRECT(ADDRESS(MATCH(E528,Код_КЦСР,0)+1,2,,,"КЦСР")))</f>
        <v>Муниципальная программа «Охрана окружающей среды» на 2013-2022 годы</v>
      </c>
      <c r="B528" s="145">
        <v>803</v>
      </c>
      <c r="C528" s="8" t="s">
        <v>217</v>
      </c>
      <c r="D528" s="8" t="s">
        <v>221</v>
      </c>
      <c r="E528" s="145" t="s">
        <v>539</v>
      </c>
      <c r="F528" s="145"/>
      <c r="G528" s="69">
        <f t="shared" si="125"/>
        <v>200</v>
      </c>
      <c r="H528" s="69">
        <f t="shared" si="125"/>
        <v>0</v>
      </c>
      <c r="I528" s="69">
        <f t="shared" si="114"/>
        <v>200</v>
      </c>
      <c r="J528" s="69">
        <f t="shared" si="125"/>
        <v>0</v>
      </c>
      <c r="K528" s="85">
        <f t="shared" si="112"/>
        <v>200</v>
      </c>
      <c r="L528" s="13">
        <f t="shared" si="125"/>
        <v>0</v>
      </c>
      <c r="M528" s="85">
        <f t="shared" si="121"/>
        <v>200</v>
      </c>
      <c r="N528" s="13">
        <f t="shared" si="125"/>
        <v>-164.3</v>
      </c>
      <c r="O528" s="85">
        <f t="shared" si="122"/>
        <v>35.699999999999989</v>
      </c>
      <c r="P528" s="13">
        <f t="shared" si="125"/>
        <v>0</v>
      </c>
      <c r="Q528" s="85">
        <f t="shared" si="119"/>
        <v>35.699999999999989</v>
      </c>
      <c r="R528" s="13">
        <f t="shared" si="125"/>
        <v>0</v>
      </c>
      <c r="S528" s="85">
        <f t="shared" si="118"/>
        <v>35.699999999999989</v>
      </c>
      <c r="T528" s="13">
        <f t="shared" si="125"/>
        <v>0</v>
      </c>
      <c r="U528" s="85">
        <f t="shared" si="113"/>
        <v>35.699999999999989</v>
      </c>
    </row>
    <row r="529" spans="1:21" ht="115.5">
      <c r="A529" s="61" t="str">
        <f ca="1">IF(ISERROR(MATCH(E529,Код_КЦСР,0)),"",INDIRECT(ADDRESS(MATCH(E529,Код_КЦСР,0)+1,2,,,"КЦСР")))</f>
        <v>Осуществление сбора, транспортирования и утилизации ртутьсодержащих отходов от физических лиц (кроме потребителей ртутьсодержащих ламп, являющихся собственниками, нанимателями, пользователями помещений  в многоквартирных домах и имеющих заключенный собственниками указанных помещений договор управления многоквартирными домами или договор оказания услуги и (или) выполнения работ по содержанию и ремонту общего имущества в таких домах)</v>
      </c>
      <c r="B529" s="145">
        <v>803</v>
      </c>
      <c r="C529" s="8" t="s">
        <v>217</v>
      </c>
      <c r="D529" s="8" t="s">
        <v>221</v>
      </c>
      <c r="E529" s="145" t="s">
        <v>546</v>
      </c>
      <c r="F529" s="145"/>
      <c r="G529" s="69">
        <f t="shared" si="125"/>
        <v>200</v>
      </c>
      <c r="H529" s="69">
        <f t="shared" si="125"/>
        <v>0</v>
      </c>
      <c r="I529" s="69">
        <f t="shared" si="114"/>
        <v>200</v>
      </c>
      <c r="J529" s="69">
        <f t="shared" si="125"/>
        <v>0</v>
      </c>
      <c r="K529" s="85">
        <f t="shared" si="112"/>
        <v>200</v>
      </c>
      <c r="L529" s="13">
        <f t="shared" si="125"/>
        <v>0</v>
      </c>
      <c r="M529" s="85">
        <f t="shared" si="121"/>
        <v>200</v>
      </c>
      <c r="N529" s="13">
        <f t="shared" si="125"/>
        <v>-164.3</v>
      </c>
      <c r="O529" s="85">
        <f t="shared" si="122"/>
        <v>35.699999999999989</v>
      </c>
      <c r="P529" s="13">
        <f t="shared" si="125"/>
        <v>0</v>
      </c>
      <c r="Q529" s="85">
        <f t="shared" si="119"/>
        <v>35.699999999999989</v>
      </c>
      <c r="R529" s="13">
        <f t="shared" si="125"/>
        <v>0</v>
      </c>
      <c r="S529" s="85">
        <f t="shared" si="118"/>
        <v>35.699999999999989</v>
      </c>
      <c r="T529" s="13">
        <f t="shared" si="125"/>
        <v>0</v>
      </c>
      <c r="U529" s="85">
        <f t="shared" si="113"/>
        <v>35.699999999999989</v>
      </c>
    </row>
    <row r="530" spans="1:21">
      <c r="A530" s="61" t="str">
        <f ca="1">IF(ISERROR(MATCH(F530,Код_КВР,0)),"",INDIRECT(ADDRESS(MATCH(F530,Код_КВР,0)+1,2,,,"КВР")))</f>
        <v>Иные бюджетные ассигнования</v>
      </c>
      <c r="B530" s="145">
        <v>803</v>
      </c>
      <c r="C530" s="8" t="s">
        <v>217</v>
      </c>
      <c r="D530" s="8" t="s">
        <v>221</v>
      </c>
      <c r="E530" s="145" t="s">
        <v>546</v>
      </c>
      <c r="F530" s="145">
        <v>800</v>
      </c>
      <c r="G530" s="69">
        <f t="shared" si="125"/>
        <v>200</v>
      </c>
      <c r="H530" s="69">
        <f t="shared" si="125"/>
        <v>0</v>
      </c>
      <c r="I530" s="69">
        <f t="shared" si="114"/>
        <v>200</v>
      </c>
      <c r="J530" s="69">
        <f t="shared" si="125"/>
        <v>0</v>
      </c>
      <c r="K530" s="85">
        <f t="shared" si="112"/>
        <v>200</v>
      </c>
      <c r="L530" s="13">
        <f t="shared" si="125"/>
        <v>0</v>
      </c>
      <c r="M530" s="85">
        <f t="shared" si="121"/>
        <v>200</v>
      </c>
      <c r="N530" s="13">
        <f t="shared" si="125"/>
        <v>-164.3</v>
      </c>
      <c r="O530" s="85">
        <f t="shared" si="122"/>
        <v>35.699999999999989</v>
      </c>
      <c r="P530" s="13">
        <f t="shared" si="125"/>
        <v>0</v>
      </c>
      <c r="Q530" s="85">
        <f t="shared" si="119"/>
        <v>35.699999999999989</v>
      </c>
      <c r="R530" s="13">
        <f t="shared" si="125"/>
        <v>0</v>
      </c>
      <c r="S530" s="85">
        <f t="shared" si="118"/>
        <v>35.699999999999989</v>
      </c>
      <c r="T530" s="13">
        <f t="shared" si="125"/>
        <v>0</v>
      </c>
      <c r="U530" s="85">
        <f t="shared" si="113"/>
        <v>35.699999999999989</v>
      </c>
    </row>
    <row r="531" spans="1:21" ht="33">
      <c r="A531" s="61" t="str">
        <f ca="1">IF(ISERROR(MATCH(F531,Код_КВР,0)),"",INDIRECT(ADDRESS(MATCH(F531,Код_КВР,0)+1,2,,,"КВР")))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531" s="145">
        <v>803</v>
      </c>
      <c r="C531" s="8" t="s">
        <v>217</v>
      </c>
      <c r="D531" s="8" t="s">
        <v>221</v>
      </c>
      <c r="E531" s="145" t="s">
        <v>546</v>
      </c>
      <c r="F531" s="145">
        <v>810</v>
      </c>
      <c r="G531" s="69">
        <v>200</v>
      </c>
      <c r="H531" s="64"/>
      <c r="I531" s="69">
        <f t="shared" si="114"/>
        <v>200</v>
      </c>
      <c r="J531" s="64"/>
      <c r="K531" s="85">
        <f t="shared" si="112"/>
        <v>200</v>
      </c>
      <c r="L531" s="85"/>
      <c r="M531" s="85">
        <f t="shared" si="121"/>
        <v>200</v>
      </c>
      <c r="N531" s="85">
        <v>-164.3</v>
      </c>
      <c r="O531" s="85">
        <f t="shared" si="122"/>
        <v>35.699999999999989</v>
      </c>
      <c r="P531" s="85"/>
      <c r="Q531" s="85">
        <f t="shared" si="119"/>
        <v>35.699999999999989</v>
      </c>
      <c r="R531" s="85"/>
      <c r="S531" s="85">
        <f t="shared" si="118"/>
        <v>35.699999999999989</v>
      </c>
      <c r="T531" s="85"/>
      <c r="U531" s="85">
        <f t="shared" si="113"/>
        <v>35.699999999999989</v>
      </c>
    </row>
    <row r="532" spans="1:21">
      <c r="A532" s="61" t="str">
        <f ca="1">IF(ISERROR(MATCH(C532,Код_Раздел,0)),"",INDIRECT(ADDRESS(MATCH(C532,Код_Раздел,0)+1,2,,,"Раздел")))</f>
        <v>Здравоохранение</v>
      </c>
      <c r="B532" s="145">
        <v>803</v>
      </c>
      <c r="C532" s="8" t="s">
        <v>219</v>
      </c>
      <c r="D532" s="8"/>
      <c r="E532" s="145"/>
      <c r="F532" s="145"/>
      <c r="G532" s="69">
        <f t="shared" ref="G532:T538" si="126">G533</f>
        <v>1957.5</v>
      </c>
      <c r="H532" s="69">
        <f t="shared" si="126"/>
        <v>0</v>
      </c>
      <c r="I532" s="69">
        <f t="shared" si="114"/>
        <v>1957.5</v>
      </c>
      <c r="J532" s="69">
        <f t="shared" si="126"/>
        <v>0</v>
      </c>
      <c r="K532" s="85">
        <f t="shared" si="112"/>
        <v>1957.5</v>
      </c>
      <c r="L532" s="13">
        <f t="shared" si="126"/>
        <v>0</v>
      </c>
      <c r="M532" s="85">
        <f t="shared" si="121"/>
        <v>1957.5</v>
      </c>
      <c r="N532" s="13">
        <f t="shared" si="126"/>
        <v>0</v>
      </c>
      <c r="O532" s="85">
        <f t="shared" si="122"/>
        <v>1957.5</v>
      </c>
      <c r="P532" s="13">
        <f t="shared" si="126"/>
        <v>0</v>
      </c>
      <c r="Q532" s="85">
        <f t="shared" si="119"/>
        <v>1957.5</v>
      </c>
      <c r="R532" s="13">
        <f t="shared" si="126"/>
        <v>0</v>
      </c>
      <c r="S532" s="85">
        <f t="shared" si="118"/>
        <v>1957.5</v>
      </c>
      <c r="T532" s="13">
        <f t="shared" si="126"/>
        <v>0</v>
      </c>
      <c r="U532" s="85">
        <f t="shared" si="113"/>
        <v>1957.5</v>
      </c>
    </row>
    <row r="533" spans="1:21">
      <c r="A533" s="77" t="s">
        <v>265</v>
      </c>
      <c r="B533" s="145">
        <v>803</v>
      </c>
      <c r="C533" s="8" t="s">
        <v>219</v>
      </c>
      <c r="D533" s="8" t="s">
        <v>195</v>
      </c>
      <c r="E533" s="145"/>
      <c r="F533" s="145"/>
      <c r="G533" s="69">
        <f t="shared" si="126"/>
        <v>1957.5</v>
      </c>
      <c r="H533" s="69">
        <f t="shared" si="126"/>
        <v>0</v>
      </c>
      <c r="I533" s="69">
        <f t="shared" si="114"/>
        <v>1957.5</v>
      </c>
      <c r="J533" s="69">
        <f t="shared" si="126"/>
        <v>0</v>
      </c>
      <c r="K533" s="85">
        <f t="shared" si="112"/>
        <v>1957.5</v>
      </c>
      <c r="L533" s="13">
        <f t="shared" si="126"/>
        <v>0</v>
      </c>
      <c r="M533" s="85">
        <f t="shared" si="121"/>
        <v>1957.5</v>
      </c>
      <c r="N533" s="13">
        <f t="shared" si="126"/>
        <v>0</v>
      </c>
      <c r="O533" s="85">
        <f t="shared" si="122"/>
        <v>1957.5</v>
      </c>
      <c r="P533" s="13">
        <f t="shared" si="126"/>
        <v>0</v>
      </c>
      <c r="Q533" s="85">
        <f t="shared" si="119"/>
        <v>1957.5</v>
      </c>
      <c r="R533" s="13">
        <f t="shared" si="126"/>
        <v>0</v>
      </c>
      <c r="S533" s="85">
        <f t="shared" si="118"/>
        <v>1957.5</v>
      </c>
      <c r="T533" s="13">
        <f t="shared" si="126"/>
        <v>0</v>
      </c>
      <c r="U533" s="85">
        <f t="shared" si="113"/>
        <v>1957.5</v>
      </c>
    </row>
    <row r="534" spans="1:21" ht="33">
      <c r="A534" s="61" t="str">
        <f ca="1">IF(ISERROR(MATCH(E534,Код_КЦСР,0)),"",INDIRECT(ADDRESS(MATCH(E534,Код_КЦСР,0)+1,2,,,"КЦСР")))</f>
        <v>Муниципальная программа «Развитие жилищно-коммунального хозяйства города Череповца» на 2014-2018 годы</v>
      </c>
      <c r="B534" s="145">
        <v>803</v>
      </c>
      <c r="C534" s="8" t="s">
        <v>219</v>
      </c>
      <c r="D534" s="8" t="s">
        <v>195</v>
      </c>
      <c r="E534" s="145" t="s">
        <v>46</v>
      </c>
      <c r="F534" s="145"/>
      <c r="G534" s="69">
        <f t="shared" si="126"/>
        <v>1957.5</v>
      </c>
      <c r="H534" s="69">
        <f t="shared" si="126"/>
        <v>0</v>
      </c>
      <c r="I534" s="69">
        <f t="shared" si="114"/>
        <v>1957.5</v>
      </c>
      <c r="J534" s="69">
        <f t="shared" si="126"/>
        <v>0</v>
      </c>
      <c r="K534" s="85">
        <f t="shared" si="112"/>
        <v>1957.5</v>
      </c>
      <c r="L534" s="13">
        <f t="shared" si="126"/>
        <v>0</v>
      </c>
      <c r="M534" s="85">
        <f t="shared" si="121"/>
        <v>1957.5</v>
      </c>
      <c r="N534" s="13">
        <f t="shared" si="126"/>
        <v>0</v>
      </c>
      <c r="O534" s="85">
        <f t="shared" si="122"/>
        <v>1957.5</v>
      </c>
      <c r="P534" s="13">
        <f t="shared" si="126"/>
        <v>0</v>
      </c>
      <c r="Q534" s="85">
        <f t="shared" si="119"/>
        <v>1957.5</v>
      </c>
      <c r="R534" s="13">
        <f t="shared" si="126"/>
        <v>0</v>
      </c>
      <c r="S534" s="85">
        <f t="shared" si="118"/>
        <v>1957.5</v>
      </c>
      <c r="T534" s="13">
        <f t="shared" si="126"/>
        <v>0</v>
      </c>
      <c r="U534" s="85">
        <f t="shared" si="113"/>
        <v>1957.5</v>
      </c>
    </row>
    <row r="535" spans="1:21">
      <c r="A535" s="61" t="str">
        <f ca="1">IF(ISERROR(MATCH(E535,Код_КЦСР,0)),"",INDIRECT(ADDRESS(MATCH(E535,Код_КЦСР,0)+1,2,,,"КЦСР")))</f>
        <v>Развитие благоустройства города</v>
      </c>
      <c r="B535" s="145">
        <v>803</v>
      </c>
      <c r="C535" s="8" t="s">
        <v>219</v>
      </c>
      <c r="D535" s="8" t="s">
        <v>195</v>
      </c>
      <c r="E535" s="145" t="s">
        <v>47</v>
      </c>
      <c r="F535" s="145"/>
      <c r="G535" s="69">
        <f t="shared" si="126"/>
        <v>1957.5</v>
      </c>
      <c r="H535" s="69">
        <f t="shared" si="126"/>
        <v>0</v>
      </c>
      <c r="I535" s="69">
        <f t="shared" si="114"/>
        <v>1957.5</v>
      </c>
      <c r="J535" s="69">
        <f t="shared" si="126"/>
        <v>0</v>
      </c>
      <c r="K535" s="85">
        <f t="shared" si="112"/>
        <v>1957.5</v>
      </c>
      <c r="L535" s="13">
        <f t="shared" si="126"/>
        <v>0</v>
      </c>
      <c r="M535" s="85">
        <f t="shared" si="121"/>
        <v>1957.5</v>
      </c>
      <c r="N535" s="13">
        <f t="shared" si="126"/>
        <v>0</v>
      </c>
      <c r="O535" s="85">
        <f t="shared" si="122"/>
        <v>1957.5</v>
      </c>
      <c r="P535" s="13">
        <f t="shared" si="126"/>
        <v>0</v>
      </c>
      <c r="Q535" s="85">
        <f t="shared" si="119"/>
        <v>1957.5</v>
      </c>
      <c r="R535" s="13">
        <f t="shared" si="126"/>
        <v>0</v>
      </c>
      <c r="S535" s="85">
        <f t="shared" si="118"/>
        <v>1957.5</v>
      </c>
      <c r="T535" s="13">
        <f t="shared" si="126"/>
        <v>0</v>
      </c>
      <c r="U535" s="85">
        <f t="shared" si="113"/>
        <v>1957.5</v>
      </c>
    </row>
    <row r="536" spans="1:21" ht="99">
      <c r="A536" s="61" t="str">
        <f ca="1">IF(ISERROR(MATCH(E536,Код_КЦСР,0)),"",INDIRECT(ADDRESS(MATCH(E536,Код_КЦСР,0)+1,2,,,"КЦСР")))</f>
        <v>Субвенции на осуществление отдельных государственных полномочий в соответствии с законом области от 15 января 2013 года № 2966-ОЗ «О наделении органов местного самоуправления отдельными государственными полномочиями в сфере обеспечения санитарно-эпидемиологического благополучия населения» за счет субвенций из областного бюджета</v>
      </c>
      <c r="B536" s="145">
        <v>803</v>
      </c>
      <c r="C536" s="8" t="s">
        <v>219</v>
      </c>
      <c r="D536" s="8" t="s">
        <v>195</v>
      </c>
      <c r="E536" s="145" t="s">
        <v>416</v>
      </c>
      <c r="F536" s="145"/>
      <c r="G536" s="69">
        <f t="shared" si="126"/>
        <v>1957.5</v>
      </c>
      <c r="H536" s="69">
        <f t="shared" si="126"/>
        <v>0</v>
      </c>
      <c r="I536" s="69">
        <f t="shared" si="114"/>
        <v>1957.5</v>
      </c>
      <c r="J536" s="69">
        <f t="shared" si="126"/>
        <v>0</v>
      </c>
      <c r="K536" s="85">
        <f t="shared" si="112"/>
        <v>1957.5</v>
      </c>
      <c r="L536" s="13">
        <f t="shared" si="126"/>
        <v>0</v>
      </c>
      <c r="M536" s="85">
        <f t="shared" si="121"/>
        <v>1957.5</v>
      </c>
      <c r="N536" s="13">
        <f t="shared" si="126"/>
        <v>0</v>
      </c>
      <c r="O536" s="85">
        <f t="shared" si="122"/>
        <v>1957.5</v>
      </c>
      <c r="P536" s="13">
        <f t="shared" si="126"/>
        <v>0</v>
      </c>
      <c r="Q536" s="85">
        <f t="shared" si="119"/>
        <v>1957.5</v>
      </c>
      <c r="R536" s="13">
        <f t="shared" si="126"/>
        <v>0</v>
      </c>
      <c r="S536" s="85">
        <f t="shared" si="118"/>
        <v>1957.5</v>
      </c>
      <c r="T536" s="13">
        <f t="shared" si="126"/>
        <v>0</v>
      </c>
      <c r="U536" s="85">
        <f t="shared" si="113"/>
        <v>1957.5</v>
      </c>
    </row>
    <row r="537" spans="1:21">
      <c r="A537" s="61" t="str">
        <f ca="1">IF(ISERROR(MATCH(F537,Код_КВР,0)),"",INDIRECT(ADDRESS(MATCH(F537,Код_КВР,0)+1,2,,,"КВР")))</f>
        <v>Закупка товаров, работ и услуг для муниципальных нужд</v>
      </c>
      <c r="B537" s="145">
        <v>803</v>
      </c>
      <c r="C537" s="8" t="s">
        <v>219</v>
      </c>
      <c r="D537" s="8" t="s">
        <v>195</v>
      </c>
      <c r="E537" s="145" t="s">
        <v>416</v>
      </c>
      <c r="F537" s="145">
        <v>200</v>
      </c>
      <c r="G537" s="69">
        <f t="shared" si="126"/>
        <v>1957.5</v>
      </c>
      <c r="H537" s="69">
        <f t="shared" si="126"/>
        <v>0</v>
      </c>
      <c r="I537" s="69">
        <f t="shared" si="114"/>
        <v>1957.5</v>
      </c>
      <c r="J537" s="69">
        <f t="shared" si="126"/>
        <v>0</v>
      </c>
      <c r="K537" s="85">
        <f t="shared" si="112"/>
        <v>1957.5</v>
      </c>
      <c r="L537" s="13">
        <f t="shared" si="126"/>
        <v>0</v>
      </c>
      <c r="M537" s="85">
        <f t="shared" si="121"/>
        <v>1957.5</v>
      </c>
      <c r="N537" s="13">
        <f t="shared" si="126"/>
        <v>0</v>
      </c>
      <c r="O537" s="85">
        <f t="shared" si="122"/>
        <v>1957.5</v>
      </c>
      <c r="P537" s="13">
        <f t="shared" si="126"/>
        <v>0</v>
      </c>
      <c r="Q537" s="85">
        <f t="shared" si="119"/>
        <v>1957.5</v>
      </c>
      <c r="R537" s="13">
        <f t="shared" si="126"/>
        <v>0</v>
      </c>
      <c r="S537" s="85">
        <f t="shared" si="118"/>
        <v>1957.5</v>
      </c>
      <c r="T537" s="13">
        <f t="shared" si="126"/>
        <v>0</v>
      </c>
      <c r="U537" s="85">
        <f t="shared" si="113"/>
        <v>1957.5</v>
      </c>
    </row>
    <row r="538" spans="1:21" ht="33">
      <c r="A538" s="61" t="str">
        <f ca="1">IF(ISERROR(MATCH(F538,Код_КВР,0)),"",INDIRECT(ADDRESS(MATCH(F538,Код_КВР,0)+1,2,,,"КВР")))</f>
        <v>Иные закупки товаров, работ и услуг для обеспечения муниципальных нужд</v>
      </c>
      <c r="B538" s="145">
        <v>803</v>
      </c>
      <c r="C538" s="8" t="s">
        <v>219</v>
      </c>
      <c r="D538" s="8" t="s">
        <v>195</v>
      </c>
      <c r="E538" s="145" t="s">
        <v>416</v>
      </c>
      <c r="F538" s="145">
        <v>240</v>
      </c>
      <c r="G538" s="69">
        <f t="shared" si="126"/>
        <v>1957.5</v>
      </c>
      <c r="H538" s="69">
        <f t="shared" si="126"/>
        <v>0</v>
      </c>
      <c r="I538" s="69">
        <f t="shared" si="114"/>
        <v>1957.5</v>
      </c>
      <c r="J538" s="69">
        <f t="shared" si="126"/>
        <v>0</v>
      </c>
      <c r="K538" s="85">
        <f t="shared" si="112"/>
        <v>1957.5</v>
      </c>
      <c r="L538" s="13">
        <f t="shared" si="126"/>
        <v>0</v>
      </c>
      <c r="M538" s="85">
        <f t="shared" si="121"/>
        <v>1957.5</v>
      </c>
      <c r="N538" s="13">
        <f t="shared" si="126"/>
        <v>0</v>
      </c>
      <c r="O538" s="85">
        <f t="shared" si="122"/>
        <v>1957.5</v>
      </c>
      <c r="P538" s="13">
        <f t="shared" si="126"/>
        <v>0</v>
      </c>
      <c r="Q538" s="85">
        <f t="shared" si="119"/>
        <v>1957.5</v>
      </c>
      <c r="R538" s="13">
        <f t="shared" si="126"/>
        <v>0</v>
      </c>
      <c r="S538" s="85">
        <f t="shared" si="118"/>
        <v>1957.5</v>
      </c>
      <c r="T538" s="13">
        <f t="shared" si="126"/>
        <v>0</v>
      </c>
      <c r="U538" s="85">
        <f t="shared" ref="U538:U601" si="127">S538+T538</f>
        <v>1957.5</v>
      </c>
    </row>
    <row r="539" spans="1:21" ht="33">
      <c r="A539" s="61" t="str">
        <f ca="1">IF(ISERROR(MATCH(F539,Код_КВР,0)),"",INDIRECT(ADDRESS(MATCH(F539,Код_КВР,0)+1,2,,,"КВР")))</f>
        <v xml:space="preserve">Прочая закупка товаров, работ и услуг для обеспечения муниципальных нужд         </v>
      </c>
      <c r="B539" s="145">
        <v>803</v>
      </c>
      <c r="C539" s="8" t="s">
        <v>219</v>
      </c>
      <c r="D539" s="8" t="s">
        <v>195</v>
      </c>
      <c r="E539" s="145" t="s">
        <v>416</v>
      </c>
      <c r="F539" s="145">
        <v>244</v>
      </c>
      <c r="G539" s="69">
        <v>1957.5</v>
      </c>
      <c r="H539" s="64"/>
      <c r="I539" s="69">
        <f t="shared" si="114"/>
        <v>1957.5</v>
      </c>
      <c r="J539" s="64"/>
      <c r="K539" s="85">
        <f t="shared" ref="K539:K629" si="128">I539+J539</f>
        <v>1957.5</v>
      </c>
      <c r="L539" s="85"/>
      <c r="M539" s="85">
        <f t="shared" si="121"/>
        <v>1957.5</v>
      </c>
      <c r="N539" s="85"/>
      <c r="O539" s="85">
        <f t="shared" si="122"/>
        <v>1957.5</v>
      </c>
      <c r="P539" s="85"/>
      <c r="Q539" s="85">
        <f t="shared" si="119"/>
        <v>1957.5</v>
      </c>
      <c r="R539" s="85"/>
      <c r="S539" s="85">
        <f t="shared" si="118"/>
        <v>1957.5</v>
      </c>
      <c r="T539" s="85"/>
      <c r="U539" s="85">
        <f t="shared" si="127"/>
        <v>1957.5</v>
      </c>
    </row>
    <row r="540" spans="1:21">
      <c r="A540" s="61" t="str">
        <f ca="1">IF(ISERROR(MATCH(C540,Код_Раздел,0)),"",INDIRECT(ADDRESS(MATCH(C540,Код_Раздел,0)+1,2,,,"Раздел")))</f>
        <v>Социальная политика</v>
      </c>
      <c r="B540" s="145">
        <v>803</v>
      </c>
      <c r="C540" s="8" t="s">
        <v>188</v>
      </c>
      <c r="D540" s="8"/>
      <c r="E540" s="145"/>
      <c r="F540" s="145"/>
      <c r="G540" s="69">
        <f t="shared" ref="G540:T545" si="129">G541</f>
        <v>71</v>
      </c>
      <c r="H540" s="69">
        <f t="shared" si="129"/>
        <v>0</v>
      </c>
      <c r="I540" s="69">
        <f t="shared" si="114"/>
        <v>71</v>
      </c>
      <c r="J540" s="69">
        <f t="shared" si="129"/>
        <v>0</v>
      </c>
      <c r="K540" s="85">
        <f t="shared" si="128"/>
        <v>71</v>
      </c>
      <c r="L540" s="13">
        <f t="shared" si="129"/>
        <v>0</v>
      </c>
      <c r="M540" s="85">
        <f t="shared" si="121"/>
        <v>71</v>
      </c>
      <c r="N540" s="13">
        <f t="shared" si="129"/>
        <v>0</v>
      </c>
      <c r="O540" s="85">
        <f t="shared" si="122"/>
        <v>71</v>
      </c>
      <c r="P540" s="13">
        <f t="shared" si="129"/>
        <v>0</v>
      </c>
      <c r="Q540" s="85">
        <f t="shared" si="119"/>
        <v>71</v>
      </c>
      <c r="R540" s="13">
        <f t="shared" si="129"/>
        <v>0</v>
      </c>
      <c r="S540" s="85">
        <f t="shared" si="118"/>
        <v>71</v>
      </c>
      <c r="T540" s="13">
        <f t="shared" si="129"/>
        <v>0</v>
      </c>
      <c r="U540" s="85">
        <f t="shared" si="127"/>
        <v>71</v>
      </c>
    </row>
    <row r="541" spans="1:21">
      <c r="A541" s="12" t="s">
        <v>179</v>
      </c>
      <c r="B541" s="145">
        <v>803</v>
      </c>
      <c r="C541" s="8" t="s">
        <v>188</v>
      </c>
      <c r="D541" s="8" t="s">
        <v>215</v>
      </c>
      <c r="E541" s="145"/>
      <c r="F541" s="145"/>
      <c r="G541" s="69">
        <f t="shared" si="129"/>
        <v>71</v>
      </c>
      <c r="H541" s="69">
        <f t="shared" si="129"/>
        <v>0</v>
      </c>
      <c r="I541" s="69">
        <f t="shared" si="114"/>
        <v>71</v>
      </c>
      <c r="J541" s="69">
        <f t="shared" si="129"/>
        <v>0</v>
      </c>
      <c r="K541" s="85">
        <f t="shared" si="128"/>
        <v>71</v>
      </c>
      <c r="L541" s="13">
        <f t="shared" si="129"/>
        <v>0</v>
      </c>
      <c r="M541" s="85">
        <f t="shared" si="121"/>
        <v>71</v>
      </c>
      <c r="N541" s="13">
        <f t="shared" si="129"/>
        <v>0</v>
      </c>
      <c r="O541" s="85">
        <f t="shared" si="122"/>
        <v>71</v>
      </c>
      <c r="P541" s="13">
        <f t="shared" si="129"/>
        <v>0</v>
      </c>
      <c r="Q541" s="85">
        <f t="shared" si="119"/>
        <v>71</v>
      </c>
      <c r="R541" s="13">
        <f t="shared" si="129"/>
        <v>0</v>
      </c>
      <c r="S541" s="85">
        <f t="shared" si="118"/>
        <v>71</v>
      </c>
      <c r="T541" s="13">
        <f t="shared" si="129"/>
        <v>0</v>
      </c>
      <c r="U541" s="85">
        <f t="shared" si="127"/>
        <v>71</v>
      </c>
    </row>
    <row r="542" spans="1:21" ht="33">
      <c r="A542" s="61" t="str">
        <f ca="1">IF(ISERROR(MATCH(E542,Код_КЦСР,0)),"",INDIRECT(ADDRESS(MATCH(E542,Код_КЦСР,0)+1,2,,,"КЦСР")))</f>
        <v>Муниципальная программа «Социальная поддержка граждан» на 2014-2018 годы</v>
      </c>
      <c r="B542" s="145">
        <v>803</v>
      </c>
      <c r="C542" s="8" t="s">
        <v>188</v>
      </c>
      <c r="D542" s="8" t="s">
        <v>215</v>
      </c>
      <c r="E542" s="145" t="s">
        <v>5</v>
      </c>
      <c r="F542" s="145"/>
      <c r="G542" s="69">
        <f t="shared" si="129"/>
        <v>71</v>
      </c>
      <c r="H542" s="69">
        <f t="shared" si="129"/>
        <v>0</v>
      </c>
      <c r="I542" s="69">
        <f t="shared" si="114"/>
        <v>71</v>
      </c>
      <c r="J542" s="69">
        <f t="shared" si="129"/>
        <v>0</v>
      </c>
      <c r="K542" s="85">
        <f t="shared" si="128"/>
        <v>71</v>
      </c>
      <c r="L542" s="13">
        <f t="shared" si="129"/>
        <v>0</v>
      </c>
      <c r="M542" s="85">
        <f t="shared" si="121"/>
        <v>71</v>
      </c>
      <c r="N542" s="13">
        <f t="shared" si="129"/>
        <v>0</v>
      </c>
      <c r="O542" s="85">
        <f t="shared" si="122"/>
        <v>71</v>
      </c>
      <c r="P542" s="13">
        <f t="shared" si="129"/>
        <v>0</v>
      </c>
      <c r="Q542" s="85">
        <f t="shared" si="119"/>
        <v>71</v>
      </c>
      <c r="R542" s="13">
        <f t="shared" si="129"/>
        <v>0</v>
      </c>
      <c r="S542" s="85">
        <f t="shared" si="118"/>
        <v>71</v>
      </c>
      <c r="T542" s="13">
        <f t="shared" si="129"/>
        <v>0</v>
      </c>
      <c r="U542" s="85">
        <f t="shared" si="127"/>
        <v>71</v>
      </c>
    </row>
    <row r="543" spans="1:21">
      <c r="A543" s="61" t="str">
        <f ca="1">IF(ISERROR(MATCH(E543,Код_КЦСР,0)),"",INDIRECT(ADDRESS(MATCH(E543,Код_КЦСР,0)+1,2,,,"КЦСР")))</f>
        <v>Оплата услуг бани по льготным помывкам</v>
      </c>
      <c r="B543" s="145">
        <v>803</v>
      </c>
      <c r="C543" s="8" t="s">
        <v>188</v>
      </c>
      <c r="D543" s="8" t="s">
        <v>215</v>
      </c>
      <c r="E543" s="145" t="s">
        <v>21</v>
      </c>
      <c r="F543" s="145"/>
      <c r="G543" s="69">
        <f t="shared" si="129"/>
        <v>71</v>
      </c>
      <c r="H543" s="69">
        <f t="shared" si="129"/>
        <v>0</v>
      </c>
      <c r="I543" s="69">
        <f t="shared" si="114"/>
        <v>71</v>
      </c>
      <c r="J543" s="69">
        <f t="shared" si="129"/>
        <v>0</v>
      </c>
      <c r="K543" s="85">
        <f t="shared" si="128"/>
        <v>71</v>
      </c>
      <c r="L543" s="13">
        <f t="shared" si="129"/>
        <v>0</v>
      </c>
      <c r="M543" s="85">
        <f t="shared" si="121"/>
        <v>71</v>
      </c>
      <c r="N543" s="13">
        <f t="shared" si="129"/>
        <v>0</v>
      </c>
      <c r="O543" s="85">
        <f t="shared" si="122"/>
        <v>71</v>
      </c>
      <c r="P543" s="13">
        <f t="shared" si="129"/>
        <v>0</v>
      </c>
      <c r="Q543" s="85">
        <f t="shared" si="119"/>
        <v>71</v>
      </c>
      <c r="R543" s="13">
        <f t="shared" si="129"/>
        <v>0</v>
      </c>
      <c r="S543" s="85">
        <f t="shared" si="118"/>
        <v>71</v>
      </c>
      <c r="T543" s="13">
        <f t="shared" si="129"/>
        <v>0</v>
      </c>
      <c r="U543" s="85">
        <f t="shared" si="127"/>
        <v>71</v>
      </c>
    </row>
    <row r="544" spans="1:21">
      <c r="A544" s="61" t="str">
        <f ca="1">IF(ISERROR(MATCH(F544,Код_КВР,0)),"",INDIRECT(ADDRESS(MATCH(F544,Код_КВР,0)+1,2,,,"КВР")))</f>
        <v>Социальное обеспечение и иные выплаты населению</v>
      </c>
      <c r="B544" s="145">
        <v>803</v>
      </c>
      <c r="C544" s="8" t="s">
        <v>188</v>
      </c>
      <c r="D544" s="8" t="s">
        <v>215</v>
      </c>
      <c r="E544" s="145" t="s">
        <v>21</v>
      </c>
      <c r="F544" s="145">
        <v>300</v>
      </c>
      <c r="G544" s="69">
        <f t="shared" si="129"/>
        <v>71</v>
      </c>
      <c r="H544" s="69">
        <f t="shared" si="129"/>
        <v>0</v>
      </c>
      <c r="I544" s="69">
        <f t="shared" si="114"/>
        <v>71</v>
      </c>
      <c r="J544" s="69">
        <f t="shared" si="129"/>
        <v>0</v>
      </c>
      <c r="K544" s="85">
        <f t="shared" si="128"/>
        <v>71</v>
      </c>
      <c r="L544" s="13">
        <f t="shared" si="129"/>
        <v>0</v>
      </c>
      <c r="M544" s="85">
        <f t="shared" si="121"/>
        <v>71</v>
      </c>
      <c r="N544" s="13">
        <f t="shared" si="129"/>
        <v>0</v>
      </c>
      <c r="O544" s="85">
        <f t="shared" si="122"/>
        <v>71</v>
      </c>
      <c r="P544" s="13">
        <f t="shared" si="129"/>
        <v>0</v>
      </c>
      <c r="Q544" s="85">
        <f t="shared" si="119"/>
        <v>71</v>
      </c>
      <c r="R544" s="13">
        <f t="shared" si="129"/>
        <v>0</v>
      </c>
      <c r="S544" s="85">
        <f t="shared" si="118"/>
        <v>71</v>
      </c>
      <c r="T544" s="13">
        <f t="shared" si="129"/>
        <v>0</v>
      </c>
      <c r="U544" s="85">
        <f t="shared" si="127"/>
        <v>71</v>
      </c>
    </row>
    <row r="545" spans="1:21" ht="33">
      <c r="A545" s="61" t="str">
        <f ca="1">IF(ISERROR(MATCH(F545,Код_КВР,0)),"",INDIRECT(ADDRESS(MATCH(F545,Код_КВР,0)+1,2,,,"КВР")))</f>
        <v>Социальные выплаты гражданам, кроме публичных нормативных социальных выплат</v>
      </c>
      <c r="B545" s="145">
        <v>803</v>
      </c>
      <c r="C545" s="8" t="s">
        <v>188</v>
      </c>
      <c r="D545" s="8" t="s">
        <v>215</v>
      </c>
      <c r="E545" s="145" t="s">
        <v>21</v>
      </c>
      <c r="F545" s="145">
        <v>320</v>
      </c>
      <c r="G545" s="69">
        <f t="shared" si="129"/>
        <v>71</v>
      </c>
      <c r="H545" s="69">
        <f t="shared" si="129"/>
        <v>0</v>
      </c>
      <c r="I545" s="69">
        <f t="shared" ref="I545:I635" si="130">G545+H545</f>
        <v>71</v>
      </c>
      <c r="J545" s="69">
        <f t="shared" si="129"/>
        <v>0</v>
      </c>
      <c r="K545" s="85">
        <f t="shared" si="128"/>
        <v>71</v>
      </c>
      <c r="L545" s="13">
        <f t="shared" si="129"/>
        <v>0</v>
      </c>
      <c r="M545" s="85">
        <f t="shared" si="121"/>
        <v>71</v>
      </c>
      <c r="N545" s="13">
        <f t="shared" si="129"/>
        <v>0</v>
      </c>
      <c r="O545" s="85">
        <f t="shared" si="122"/>
        <v>71</v>
      </c>
      <c r="P545" s="13">
        <f t="shared" si="129"/>
        <v>0</v>
      </c>
      <c r="Q545" s="85">
        <f t="shared" si="119"/>
        <v>71</v>
      </c>
      <c r="R545" s="13">
        <f t="shared" si="129"/>
        <v>0</v>
      </c>
      <c r="S545" s="85">
        <f t="shared" si="118"/>
        <v>71</v>
      </c>
      <c r="T545" s="13">
        <f t="shared" si="129"/>
        <v>0</v>
      </c>
      <c r="U545" s="85">
        <f t="shared" si="127"/>
        <v>71</v>
      </c>
    </row>
    <row r="546" spans="1:21" ht="33">
      <c r="A546" s="61" t="str">
        <f ca="1">IF(ISERROR(MATCH(F546,Код_КВР,0)),"",INDIRECT(ADDRESS(MATCH(F546,Код_КВР,0)+1,2,,,"КВР")))</f>
        <v>Приобретение товаров, работ, услуг в пользу граждан в целях их социального обеспечения</v>
      </c>
      <c r="B546" s="145">
        <v>803</v>
      </c>
      <c r="C546" s="8" t="s">
        <v>188</v>
      </c>
      <c r="D546" s="8" t="s">
        <v>215</v>
      </c>
      <c r="E546" s="145" t="s">
        <v>21</v>
      </c>
      <c r="F546" s="145">
        <v>323</v>
      </c>
      <c r="G546" s="69">
        <v>71</v>
      </c>
      <c r="H546" s="64"/>
      <c r="I546" s="69">
        <f t="shared" si="130"/>
        <v>71</v>
      </c>
      <c r="J546" s="64"/>
      <c r="K546" s="85">
        <f t="shared" si="128"/>
        <v>71</v>
      </c>
      <c r="L546" s="85"/>
      <c r="M546" s="85">
        <f t="shared" si="121"/>
        <v>71</v>
      </c>
      <c r="N546" s="85"/>
      <c r="O546" s="85">
        <f t="shared" si="122"/>
        <v>71</v>
      </c>
      <c r="P546" s="85"/>
      <c r="Q546" s="85">
        <f t="shared" si="119"/>
        <v>71</v>
      </c>
      <c r="R546" s="85"/>
      <c r="S546" s="85">
        <f t="shared" si="118"/>
        <v>71</v>
      </c>
      <c r="T546" s="85"/>
      <c r="U546" s="85">
        <f t="shared" si="127"/>
        <v>71</v>
      </c>
    </row>
    <row r="547" spans="1:21" ht="33">
      <c r="A547" s="61" t="str">
        <f ca="1">IF(ISERROR(MATCH(B547,Код_ППП,0)),"",INDIRECT(ADDRESS(MATCH(B547,Код_ППП,0)+1,2,,,"ППП")))</f>
        <v>УПРАВЛЕНИЕ АРХИТЕКТУРЫ И ГРАДОСТРОИТЕЛЬСТВА МЭРИИ ГОРОДА</v>
      </c>
      <c r="B547" s="145">
        <v>804</v>
      </c>
      <c r="C547" s="8"/>
      <c r="D547" s="8"/>
      <c r="E547" s="145"/>
      <c r="F547" s="145"/>
      <c r="G547" s="69">
        <f>G548</f>
        <v>39887.800000000003</v>
      </c>
      <c r="H547" s="69">
        <f>H548</f>
        <v>0</v>
      </c>
      <c r="I547" s="69">
        <f t="shared" si="130"/>
        <v>39887.800000000003</v>
      </c>
      <c r="J547" s="69">
        <f>J548</f>
        <v>0</v>
      </c>
      <c r="K547" s="85">
        <f t="shared" si="128"/>
        <v>39887.800000000003</v>
      </c>
      <c r="L547" s="13">
        <f>L548</f>
        <v>-4085.5</v>
      </c>
      <c r="M547" s="85">
        <f t="shared" si="121"/>
        <v>35802.300000000003</v>
      </c>
      <c r="N547" s="13">
        <f>N548</f>
        <v>0</v>
      </c>
      <c r="O547" s="85">
        <f t="shared" si="122"/>
        <v>35802.300000000003</v>
      </c>
      <c r="P547" s="13">
        <f>P548</f>
        <v>0</v>
      </c>
      <c r="Q547" s="85">
        <f t="shared" si="119"/>
        <v>35802.300000000003</v>
      </c>
      <c r="R547" s="13">
        <f>R548</f>
        <v>-537.5</v>
      </c>
      <c r="S547" s="85">
        <f t="shared" si="118"/>
        <v>35264.800000000003</v>
      </c>
      <c r="T547" s="13">
        <f>T548</f>
        <v>-1507.6</v>
      </c>
      <c r="U547" s="85">
        <f t="shared" si="127"/>
        <v>33757.200000000004</v>
      </c>
    </row>
    <row r="548" spans="1:21">
      <c r="A548" s="61" t="str">
        <f ca="1">IF(ISERROR(MATCH(C548,Код_Раздел,0)),"",INDIRECT(ADDRESS(MATCH(C548,Код_Раздел,0)+1,2,,,"Раздел")))</f>
        <v>Национальная экономика</v>
      </c>
      <c r="B548" s="145">
        <v>804</v>
      </c>
      <c r="C548" s="8" t="s">
        <v>216</v>
      </c>
      <c r="D548" s="8"/>
      <c r="E548" s="145"/>
      <c r="F548" s="145"/>
      <c r="G548" s="69">
        <f>G549</f>
        <v>39887.800000000003</v>
      </c>
      <c r="H548" s="69">
        <f>H549</f>
        <v>0</v>
      </c>
      <c r="I548" s="69">
        <f t="shared" si="130"/>
        <v>39887.800000000003</v>
      </c>
      <c r="J548" s="69">
        <f>J549</f>
        <v>0</v>
      </c>
      <c r="K548" s="85">
        <f t="shared" si="128"/>
        <v>39887.800000000003</v>
      </c>
      <c r="L548" s="13">
        <f>L549</f>
        <v>-4085.5</v>
      </c>
      <c r="M548" s="85">
        <f t="shared" si="121"/>
        <v>35802.300000000003</v>
      </c>
      <c r="N548" s="13">
        <f>N549</f>
        <v>0</v>
      </c>
      <c r="O548" s="85">
        <f t="shared" si="122"/>
        <v>35802.300000000003</v>
      </c>
      <c r="P548" s="13">
        <f>P549</f>
        <v>0</v>
      </c>
      <c r="Q548" s="85">
        <f t="shared" si="119"/>
        <v>35802.300000000003</v>
      </c>
      <c r="R548" s="13">
        <f>R549</f>
        <v>-537.5</v>
      </c>
      <c r="S548" s="85">
        <f t="shared" si="118"/>
        <v>35264.800000000003</v>
      </c>
      <c r="T548" s="13">
        <f>T549</f>
        <v>-1507.6</v>
      </c>
      <c r="U548" s="85">
        <f t="shared" si="127"/>
        <v>33757.200000000004</v>
      </c>
    </row>
    <row r="549" spans="1:21">
      <c r="A549" s="12" t="s">
        <v>223</v>
      </c>
      <c r="B549" s="145">
        <v>804</v>
      </c>
      <c r="C549" s="8" t="s">
        <v>216</v>
      </c>
      <c r="D549" s="8" t="s">
        <v>196</v>
      </c>
      <c r="E549" s="145"/>
      <c r="F549" s="145"/>
      <c r="G549" s="69">
        <f>G550+G559</f>
        <v>39887.800000000003</v>
      </c>
      <c r="H549" s="69">
        <f>H550+H559</f>
        <v>0</v>
      </c>
      <c r="I549" s="69">
        <f t="shared" si="130"/>
        <v>39887.800000000003</v>
      </c>
      <c r="J549" s="69">
        <f>J550+J559</f>
        <v>0</v>
      </c>
      <c r="K549" s="85">
        <f t="shared" si="128"/>
        <v>39887.800000000003</v>
      </c>
      <c r="L549" s="13">
        <f>L550+L559</f>
        <v>-4085.5</v>
      </c>
      <c r="M549" s="85">
        <f t="shared" si="121"/>
        <v>35802.300000000003</v>
      </c>
      <c r="N549" s="13">
        <f>N550+N559</f>
        <v>0</v>
      </c>
      <c r="O549" s="85">
        <f t="shared" si="122"/>
        <v>35802.300000000003</v>
      </c>
      <c r="P549" s="13">
        <f>P550+P559</f>
        <v>0</v>
      </c>
      <c r="Q549" s="85">
        <f t="shared" si="119"/>
        <v>35802.300000000003</v>
      </c>
      <c r="R549" s="13">
        <f>R550+R559</f>
        <v>-537.5</v>
      </c>
      <c r="S549" s="85">
        <f t="shared" si="118"/>
        <v>35264.800000000003</v>
      </c>
      <c r="T549" s="13">
        <f>T550+T559</f>
        <v>-1507.6</v>
      </c>
      <c r="U549" s="85">
        <f t="shared" si="127"/>
        <v>33757.200000000004</v>
      </c>
    </row>
    <row r="550" spans="1:21" ht="33">
      <c r="A550" s="61" t="str">
        <f ca="1">IF(ISERROR(MATCH(E550,Код_КЦСР,0)),"",INDIRECT(ADDRESS(MATCH(E550,Код_КЦСР,0)+1,2,,,"КЦСР")))</f>
        <v>Муниципальная программа «Реализация градостроительной политики города Череповца» на 2014-2022 годы</v>
      </c>
      <c r="B550" s="145">
        <v>804</v>
      </c>
      <c r="C550" s="8" t="s">
        <v>216</v>
      </c>
      <c r="D550" s="8" t="s">
        <v>196</v>
      </c>
      <c r="E550" s="145" t="s">
        <v>42</v>
      </c>
      <c r="F550" s="145"/>
      <c r="G550" s="69">
        <f>G551+G555</f>
        <v>8645.7999999999993</v>
      </c>
      <c r="H550" s="69">
        <f>H551+H555</f>
        <v>0</v>
      </c>
      <c r="I550" s="69">
        <f t="shared" si="130"/>
        <v>8645.7999999999993</v>
      </c>
      <c r="J550" s="69">
        <f>J551+J555</f>
        <v>0</v>
      </c>
      <c r="K550" s="85">
        <f t="shared" si="128"/>
        <v>8645.7999999999993</v>
      </c>
      <c r="L550" s="13">
        <f>L551+L555</f>
        <v>-4085.5</v>
      </c>
      <c r="M550" s="85">
        <f t="shared" si="121"/>
        <v>4560.2999999999993</v>
      </c>
      <c r="N550" s="13">
        <f>N551+N555</f>
        <v>0</v>
      </c>
      <c r="O550" s="85">
        <f t="shared" si="122"/>
        <v>4560.2999999999993</v>
      </c>
      <c r="P550" s="13">
        <f>P551+P555</f>
        <v>0</v>
      </c>
      <c r="Q550" s="85">
        <f t="shared" si="119"/>
        <v>4560.2999999999993</v>
      </c>
      <c r="R550" s="13">
        <f>R551+R555</f>
        <v>-537.5</v>
      </c>
      <c r="S550" s="85">
        <f t="shared" si="118"/>
        <v>4022.7999999999993</v>
      </c>
      <c r="T550" s="13">
        <f>T551+T555</f>
        <v>-1245.8</v>
      </c>
      <c r="U550" s="85">
        <f t="shared" si="127"/>
        <v>2776.9999999999991</v>
      </c>
    </row>
    <row r="551" spans="1:21" ht="33">
      <c r="A551" s="61" t="str">
        <f ca="1">IF(ISERROR(MATCH(E551,Код_КЦСР,0)),"",INDIRECT(ADDRESS(MATCH(E551,Код_КЦСР,0)+1,2,,,"КЦСР")))</f>
        <v>Обеспечение подготовки градостроительной документации и нормативно-правовых актов</v>
      </c>
      <c r="B551" s="145">
        <v>804</v>
      </c>
      <c r="C551" s="8" t="s">
        <v>216</v>
      </c>
      <c r="D551" s="8" t="s">
        <v>196</v>
      </c>
      <c r="E551" s="145" t="s">
        <v>43</v>
      </c>
      <c r="F551" s="145"/>
      <c r="G551" s="69">
        <f t="shared" ref="G551:T553" si="131">G552</f>
        <v>7401</v>
      </c>
      <c r="H551" s="69">
        <f t="shared" si="131"/>
        <v>0</v>
      </c>
      <c r="I551" s="69">
        <f t="shared" si="130"/>
        <v>7401</v>
      </c>
      <c r="J551" s="69">
        <f t="shared" si="131"/>
        <v>0</v>
      </c>
      <c r="K551" s="85">
        <f t="shared" si="128"/>
        <v>7401</v>
      </c>
      <c r="L551" s="13">
        <f t="shared" si="131"/>
        <v>-4085.5</v>
      </c>
      <c r="M551" s="85">
        <f t="shared" si="121"/>
        <v>3315.5</v>
      </c>
      <c r="N551" s="13">
        <f t="shared" si="131"/>
        <v>0</v>
      </c>
      <c r="O551" s="85">
        <f t="shared" si="122"/>
        <v>3315.5</v>
      </c>
      <c r="P551" s="13">
        <f t="shared" si="131"/>
        <v>0</v>
      </c>
      <c r="Q551" s="85">
        <f t="shared" si="119"/>
        <v>3315.5</v>
      </c>
      <c r="R551" s="13">
        <f t="shared" si="131"/>
        <v>-447.5</v>
      </c>
      <c r="S551" s="85">
        <f t="shared" si="118"/>
        <v>2868</v>
      </c>
      <c r="T551" s="13">
        <f t="shared" si="131"/>
        <v>-1101</v>
      </c>
      <c r="U551" s="85">
        <f t="shared" si="127"/>
        <v>1767</v>
      </c>
    </row>
    <row r="552" spans="1:21">
      <c r="A552" s="61" t="str">
        <f ca="1">IF(ISERROR(MATCH(F552,Код_КВР,0)),"",INDIRECT(ADDRESS(MATCH(F552,Код_КВР,0)+1,2,,,"КВР")))</f>
        <v>Закупка товаров, работ и услуг для муниципальных нужд</v>
      </c>
      <c r="B552" s="145">
        <v>804</v>
      </c>
      <c r="C552" s="8" t="s">
        <v>216</v>
      </c>
      <c r="D552" s="8" t="s">
        <v>196</v>
      </c>
      <c r="E552" s="145" t="s">
        <v>43</v>
      </c>
      <c r="F552" s="145">
        <v>200</v>
      </c>
      <c r="G552" s="69">
        <f t="shared" si="131"/>
        <v>7401</v>
      </c>
      <c r="H552" s="69">
        <f t="shared" si="131"/>
        <v>0</v>
      </c>
      <c r="I552" s="69">
        <f t="shared" si="130"/>
        <v>7401</v>
      </c>
      <c r="J552" s="69">
        <f t="shared" si="131"/>
        <v>0</v>
      </c>
      <c r="K552" s="85">
        <f t="shared" si="128"/>
        <v>7401</v>
      </c>
      <c r="L552" s="13">
        <f t="shared" si="131"/>
        <v>-4085.5</v>
      </c>
      <c r="M552" s="85">
        <f t="shared" si="121"/>
        <v>3315.5</v>
      </c>
      <c r="N552" s="13">
        <f t="shared" si="131"/>
        <v>0</v>
      </c>
      <c r="O552" s="85">
        <f t="shared" si="122"/>
        <v>3315.5</v>
      </c>
      <c r="P552" s="13">
        <f t="shared" si="131"/>
        <v>0</v>
      </c>
      <c r="Q552" s="85">
        <f t="shared" si="119"/>
        <v>3315.5</v>
      </c>
      <c r="R552" s="13">
        <f t="shared" si="131"/>
        <v>-447.5</v>
      </c>
      <c r="S552" s="85">
        <f t="shared" si="118"/>
        <v>2868</v>
      </c>
      <c r="T552" s="13">
        <f t="shared" si="131"/>
        <v>-1101</v>
      </c>
      <c r="U552" s="85">
        <f t="shared" si="127"/>
        <v>1767</v>
      </c>
    </row>
    <row r="553" spans="1:21" ht="33">
      <c r="A553" s="61" t="str">
        <f ca="1">IF(ISERROR(MATCH(F553,Код_КВР,0)),"",INDIRECT(ADDRESS(MATCH(F553,Код_КВР,0)+1,2,,,"КВР")))</f>
        <v>Иные закупки товаров, работ и услуг для обеспечения муниципальных нужд</v>
      </c>
      <c r="B553" s="145">
        <v>804</v>
      </c>
      <c r="C553" s="8" t="s">
        <v>216</v>
      </c>
      <c r="D553" s="8" t="s">
        <v>196</v>
      </c>
      <c r="E553" s="145" t="s">
        <v>43</v>
      </c>
      <c r="F553" s="145">
        <v>240</v>
      </c>
      <c r="G553" s="69">
        <f t="shared" si="131"/>
        <v>7401</v>
      </c>
      <c r="H553" s="69">
        <f t="shared" si="131"/>
        <v>0</v>
      </c>
      <c r="I553" s="69">
        <f t="shared" si="130"/>
        <v>7401</v>
      </c>
      <c r="J553" s="69">
        <f t="shared" si="131"/>
        <v>0</v>
      </c>
      <c r="K553" s="85">
        <f t="shared" si="128"/>
        <v>7401</v>
      </c>
      <c r="L553" s="13">
        <f t="shared" si="131"/>
        <v>-4085.5</v>
      </c>
      <c r="M553" s="85">
        <f t="shared" si="121"/>
        <v>3315.5</v>
      </c>
      <c r="N553" s="13">
        <f t="shared" si="131"/>
        <v>0</v>
      </c>
      <c r="O553" s="85">
        <f t="shared" si="122"/>
        <v>3315.5</v>
      </c>
      <c r="P553" s="13">
        <f t="shared" si="131"/>
        <v>0</v>
      </c>
      <c r="Q553" s="85">
        <f t="shared" si="119"/>
        <v>3315.5</v>
      </c>
      <c r="R553" s="13">
        <f t="shared" si="131"/>
        <v>-447.5</v>
      </c>
      <c r="S553" s="85">
        <f t="shared" si="118"/>
        <v>2868</v>
      </c>
      <c r="T553" s="13">
        <f t="shared" si="131"/>
        <v>-1101</v>
      </c>
      <c r="U553" s="85">
        <f t="shared" si="127"/>
        <v>1767</v>
      </c>
    </row>
    <row r="554" spans="1:21" ht="33">
      <c r="A554" s="61" t="str">
        <f ca="1">IF(ISERROR(MATCH(F554,Код_КВР,0)),"",INDIRECT(ADDRESS(MATCH(F554,Код_КВР,0)+1,2,,,"КВР")))</f>
        <v xml:space="preserve">Прочая закупка товаров, работ и услуг для обеспечения муниципальных нужд         </v>
      </c>
      <c r="B554" s="145">
        <v>804</v>
      </c>
      <c r="C554" s="8" t="s">
        <v>216</v>
      </c>
      <c r="D554" s="8" t="s">
        <v>196</v>
      </c>
      <c r="E554" s="145" t="s">
        <v>43</v>
      </c>
      <c r="F554" s="145">
        <v>244</v>
      </c>
      <c r="G554" s="69">
        <v>7401</v>
      </c>
      <c r="H554" s="64"/>
      <c r="I554" s="69">
        <f t="shared" si="130"/>
        <v>7401</v>
      </c>
      <c r="J554" s="64"/>
      <c r="K554" s="85">
        <f t="shared" si="128"/>
        <v>7401</v>
      </c>
      <c r="L554" s="85">
        <f>-4000-85.5</f>
        <v>-4085.5</v>
      </c>
      <c r="M554" s="85">
        <f t="shared" si="121"/>
        <v>3315.5</v>
      </c>
      <c r="N554" s="85"/>
      <c r="O554" s="85">
        <f t="shared" si="122"/>
        <v>3315.5</v>
      </c>
      <c r="P554" s="85"/>
      <c r="Q554" s="85">
        <f t="shared" si="119"/>
        <v>3315.5</v>
      </c>
      <c r="R554" s="85">
        <v>-447.5</v>
      </c>
      <c r="S554" s="85">
        <f t="shared" si="118"/>
        <v>2868</v>
      </c>
      <c r="T554" s="85">
        <v>-1101</v>
      </c>
      <c r="U554" s="85">
        <f t="shared" si="127"/>
        <v>1767</v>
      </c>
    </row>
    <row r="555" spans="1:21">
      <c r="A555" s="61" t="str">
        <f ca="1">IF(ISERROR(MATCH(E555,Код_КЦСР,0)),"",INDIRECT(ADDRESS(MATCH(E555,Код_КЦСР,0)+1,2,,,"КЦСР")))</f>
        <v>Создание условий для формирования комфортной городской среды</v>
      </c>
      <c r="B555" s="145">
        <v>804</v>
      </c>
      <c r="C555" s="8" t="s">
        <v>216</v>
      </c>
      <c r="D555" s="8" t="s">
        <v>196</v>
      </c>
      <c r="E555" s="145" t="s">
        <v>45</v>
      </c>
      <c r="F555" s="145"/>
      <c r="G555" s="69">
        <f t="shared" ref="G555:T557" si="132">G556</f>
        <v>1244.8</v>
      </c>
      <c r="H555" s="69">
        <f t="shared" si="132"/>
        <v>0</v>
      </c>
      <c r="I555" s="69">
        <f t="shared" si="130"/>
        <v>1244.8</v>
      </c>
      <c r="J555" s="69">
        <f t="shared" si="132"/>
        <v>0</v>
      </c>
      <c r="K555" s="85">
        <f t="shared" si="128"/>
        <v>1244.8</v>
      </c>
      <c r="L555" s="13">
        <f t="shared" si="132"/>
        <v>0</v>
      </c>
      <c r="M555" s="85">
        <f t="shared" si="121"/>
        <v>1244.8</v>
      </c>
      <c r="N555" s="13">
        <f t="shared" si="132"/>
        <v>0</v>
      </c>
      <c r="O555" s="85">
        <f t="shared" si="122"/>
        <v>1244.8</v>
      </c>
      <c r="P555" s="13">
        <f t="shared" si="132"/>
        <v>0</v>
      </c>
      <c r="Q555" s="85">
        <f t="shared" si="119"/>
        <v>1244.8</v>
      </c>
      <c r="R555" s="13">
        <f t="shared" si="132"/>
        <v>-90</v>
      </c>
      <c r="S555" s="85">
        <f t="shared" si="118"/>
        <v>1154.8</v>
      </c>
      <c r="T555" s="13">
        <f t="shared" si="132"/>
        <v>-144.80000000000001</v>
      </c>
      <c r="U555" s="85">
        <f t="shared" si="127"/>
        <v>1010</v>
      </c>
    </row>
    <row r="556" spans="1:21">
      <c r="A556" s="61" t="str">
        <f ca="1">IF(ISERROR(MATCH(F556,Код_КВР,0)),"",INDIRECT(ADDRESS(MATCH(F556,Код_КВР,0)+1,2,,,"КВР")))</f>
        <v>Закупка товаров, работ и услуг для муниципальных нужд</v>
      </c>
      <c r="B556" s="145">
        <v>804</v>
      </c>
      <c r="C556" s="8" t="s">
        <v>216</v>
      </c>
      <c r="D556" s="8" t="s">
        <v>196</v>
      </c>
      <c r="E556" s="145" t="s">
        <v>45</v>
      </c>
      <c r="F556" s="145">
        <v>200</v>
      </c>
      <c r="G556" s="69">
        <f t="shared" si="132"/>
        <v>1244.8</v>
      </c>
      <c r="H556" s="69">
        <f t="shared" si="132"/>
        <v>0</v>
      </c>
      <c r="I556" s="69">
        <f t="shared" si="130"/>
        <v>1244.8</v>
      </c>
      <c r="J556" s="69">
        <f t="shared" si="132"/>
        <v>0</v>
      </c>
      <c r="K556" s="85">
        <f t="shared" si="128"/>
        <v>1244.8</v>
      </c>
      <c r="L556" s="13">
        <f t="shared" si="132"/>
        <v>0</v>
      </c>
      <c r="M556" s="85">
        <f t="shared" si="121"/>
        <v>1244.8</v>
      </c>
      <c r="N556" s="13">
        <f t="shared" si="132"/>
        <v>0</v>
      </c>
      <c r="O556" s="85">
        <f t="shared" si="122"/>
        <v>1244.8</v>
      </c>
      <c r="P556" s="13">
        <f t="shared" si="132"/>
        <v>0</v>
      </c>
      <c r="Q556" s="85">
        <f t="shared" si="119"/>
        <v>1244.8</v>
      </c>
      <c r="R556" s="13">
        <f t="shared" si="132"/>
        <v>-90</v>
      </c>
      <c r="S556" s="85">
        <f t="shared" si="118"/>
        <v>1154.8</v>
      </c>
      <c r="T556" s="13">
        <f t="shared" si="132"/>
        <v>-144.80000000000001</v>
      </c>
      <c r="U556" s="85">
        <f t="shared" si="127"/>
        <v>1010</v>
      </c>
    </row>
    <row r="557" spans="1:21" ht="33">
      <c r="A557" s="61" t="str">
        <f ca="1">IF(ISERROR(MATCH(F557,Код_КВР,0)),"",INDIRECT(ADDRESS(MATCH(F557,Код_КВР,0)+1,2,,,"КВР")))</f>
        <v>Иные закупки товаров, работ и услуг для обеспечения муниципальных нужд</v>
      </c>
      <c r="B557" s="145">
        <v>804</v>
      </c>
      <c r="C557" s="8" t="s">
        <v>216</v>
      </c>
      <c r="D557" s="8" t="s">
        <v>196</v>
      </c>
      <c r="E557" s="145" t="s">
        <v>45</v>
      </c>
      <c r="F557" s="145">
        <v>240</v>
      </c>
      <c r="G557" s="69">
        <f t="shared" si="132"/>
        <v>1244.8</v>
      </c>
      <c r="H557" s="69">
        <f t="shared" si="132"/>
        <v>0</v>
      </c>
      <c r="I557" s="69">
        <f t="shared" si="130"/>
        <v>1244.8</v>
      </c>
      <c r="J557" s="69">
        <f t="shared" si="132"/>
        <v>0</v>
      </c>
      <c r="K557" s="85">
        <f t="shared" si="128"/>
        <v>1244.8</v>
      </c>
      <c r="L557" s="13">
        <f t="shared" si="132"/>
        <v>0</v>
      </c>
      <c r="M557" s="85">
        <f t="shared" si="121"/>
        <v>1244.8</v>
      </c>
      <c r="N557" s="13">
        <f t="shared" si="132"/>
        <v>0</v>
      </c>
      <c r="O557" s="85">
        <f t="shared" si="122"/>
        <v>1244.8</v>
      </c>
      <c r="P557" s="13">
        <f t="shared" si="132"/>
        <v>0</v>
      </c>
      <c r="Q557" s="85">
        <f t="shared" si="119"/>
        <v>1244.8</v>
      </c>
      <c r="R557" s="13">
        <f t="shared" si="132"/>
        <v>-90</v>
      </c>
      <c r="S557" s="85">
        <f t="shared" si="118"/>
        <v>1154.8</v>
      </c>
      <c r="T557" s="13">
        <f t="shared" si="132"/>
        <v>-144.80000000000001</v>
      </c>
      <c r="U557" s="85">
        <f t="shared" si="127"/>
        <v>1010</v>
      </c>
    </row>
    <row r="558" spans="1:21" ht="33">
      <c r="A558" s="61" t="str">
        <f ca="1">IF(ISERROR(MATCH(F558,Код_КВР,0)),"",INDIRECT(ADDRESS(MATCH(F558,Код_КВР,0)+1,2,,,"КВР")))</f>
        <v xml:space="preserve">Прочая закупка товаров, работ и услуг для обеспечения муниципальных нужд         </v>
      </c>
      <c r="B558" s="145">
        <v>804</v>
      </c>
      <c r="C558" s="8" t="s">
        <v>216</v>
      </c>
      <c r="D558" s="8" t="s">
        <v>196</v>
      </c>
      <c r="E558" s="145" t="s">
        <v>45</v>
      </c>
      <c r="F558" s="145">
        <v>244</v>
      </c>
      <c r="G558" s="69">
        <v>1244.8</v>
      </c>
      <c r="H558" s="64"/>
      <c r="I558" s="69">
        <f t="shared" si="130"/>
        <v>1244.8</v>
      </c>
      <c r="J558" s="64"/>
      <c r="K558" s="85">
        <f t="shared" si="128"/>
        <v>1244.8</v>
      </c>
      <c r="L558" s="85"/>
      <c r="M558" s="85">
        <f t="shared" si="121"/>
        <v>1244.8</v>
      </c>
      <c r="N558" s="85"/>
      <c r="O558" s="85">
        <f t="shared" si="122"/>
        <v>1244.8</v>
      </c>
      <c r="P558" s="85"/>
      <c r="Q558" s="85">
        <f t="shared" si="119"/>
        <v>1244.8</v>
      </c>
      <c r="R558" s="85">
        <f>-25-15-50</f>
        <v>-90</v>
      </c>
      <c r="S558" s="85">
        <f t="shared" si="118"/>
        <v>1154.8</v>
      </c>
      <c r="T558" s="85">
        <v>-144.80000000000001</v>
      </c>
      <c r="U558" s="85">
        <f t="shared" si="127"/>
        <v>1010</v>
      </c>
    </row>
    <row r="559" spans="1:21" ht="33">
      <c r="A559" s="61" t="str">
        <f ca="1">IF(ISERROR(MATCH(E559,Код_КЦСР,0)),"",INDIRECT(ADDRESS(MATCH(E559,Код_КЦСР,0)+1,2,,,"КЦСР")))</f>
        <v>Непрограммные направления деятельности органов местного самоуправления</v>
      </c>
      <c r="B559" s="145">
        <v>804</v>
      </c>
      <c r="C559" s="8" t="s">
        <v>216</v>
      </c>
      <c r="D559" s="8" t="s">
        <v>196</v>
      </c>
      <c r="E559" s="145" t="s">
        <v>299</v>
      </c>
      <c r="F559" s="145"/>
      <c r="G559" s="69">
        <f t="shared" ref="G559:T561" si="133">G560</f>
        <v>31242</v>
      </c>
      <c r="H559" s="69">
        <f t="shared" si="133"/>
        <v>0</v>
      </c>
      <c r="I559" s="69">
        <f t="shared" si="130"/>
        <v>31242</v>
      </c>
      <c r="J559" s="69">
        <f t="shared" si="133"/>
        <v>0</v>
      </c>
      <c r="K559" s="85">
        <f t="shared" si="128"/>
        <v>31242</v>
      </c>
      <c r="L559" s="13">
        <f t="shared" si="133"/>
        <v>0</v>
      </c>
      <c r="M559" s="85">
        <f t="shared" si="121"/>
        <v>31242</v>
      </c>
      <c r="N559" s="13">
        <f t="shared" si="133"/>
        <v>0</v>
      </c>
      <c r="O559" s="85">
        <f t="shared" si="122"/>
        <v>31242</v>
      </c>
      <c r="P559" s="13">
        <f t="shared" si="133"/>
        <v>0</v>
      </c>
      <c r="Q559" s="85">
        <f t="shared" si="119"/>
        <v>31242</v>
      </c>
      <c r="R559" s="13">
        <f t="shared" si="133"/>
        <v>0</v>
      </c>
      <c r="S559" s="85">
        <f t="shared" si="118"/>
        <v>31242</v>
      </c>
      <c r="T559" s="13">
        <f t="shared" si="133"/>
        <v>-261.8</v>
      </c>
      <c r="U559" s="85">
        <f t="shared" si="127"/>
        <v>30980.2</v>
      </c>
    </row>
    <row r="560" spans="1:21">
      <c r="A560" s="61" t="str">
        <f ca="1">IF(ISERROR(MATCH(E560,Код_КЦСР,0)),"",INDIRECT(ADDRESS(MATCH(E560,Код_КЦСР,0)+1,2,,,"КЦСР")))</f>
        <v>Расходы, не включенные в муниципальные программы города Череповца</v>
      </c>
      <c r="B560" s="145">
        <v>804</v>
      </c>
      <c r="C560" s="8" t="s">
        <v>216</v>
      </c>
      <c r="D560" s="8" t="s">
        <v>196</v>
      </c>
      <c r="E560" s="145" t="s">
        <v>301</v>
      </c>
      <c r="F560" s="145"/>
      <c r="G560" s="69">
        <f t="shared" si="133"/>
        <v>31242</v>
      </c>
      <c r="H560" s="69">
        <f t="shared" si="133"/>
        <v>0</v>
      </c>
      <c r="I560" s="69">
        <f t="shared" si="130"/>
        <v>31242</v>
      </c>
      <c r="J560" s="69">
        <f t="shared" si="133"/>
        <v>0</v>
      </c>
      <c r="K560" s="85">
        <f t="shared" si="128"/>
        <v>31242</v>
      </c>
      <c r="L560" s="13">
        <f t="shared" si="133"/>
        <v>0</v>
      </c>
      <c r="M560" s="85">
        <f t="shared" si="121"/>
        <v>31242</v>
      </c>
      <c r="N560" s="13">
        <f t="shared" si="133"/>
        <v>0</v>
      </c>
      <c r="O560" s="85">
        <f t="shared" si="122"/>
        <v>31242</v>
      </c>
      <c r="P560" s="13">
        <f t="shared" si="133"/>
        <v>0</v>
      </c>
      <c r="Q560" s="85">
        <f t="shared" si="119"/>
        <v>31242</v>
      </c>
      <c r="R560" s="13">
        <f t="shared" si="133"/>
        <v>0</v>
      </c>
      <c r="S560" s="85">
        <f t="shared" si="118"/>
        <v>31242</v>
      </c>
      <c r="T560" s="13">
        <f t="shared" si="133"/>
        <v>-261.8</v>
      </c>
      <c r="U560" s="85">
        <f t="shared" si="127"/>
        <v>30980.2</v>
      </c>
    </row>
    <row r="561" spans="1:21" ht="33">
      <c r="A561" s="61" t="str">
        <f ca="1">IF(ISERROR(MATCH(E561,Код_КЦСР,0)),"",INDIRECT(ADDRESS(MATCH(E561,Код_КЦСР,0)+1,2,,,"КЦСР")))</f>
        <v>Руководство и управление в сфере установленных функций органов местного самоуправления</v>
      </c>
      <c r="B561" s="145">
        <v>804</v>
      </c>
      <c r="C561" s="8" t="s">
        <v>216</v>
      </c>
      <c r="D561" s="8" t="s">
        <v>196</v>
      </c>
      <c r="E561" s="145" t="s">
        <v>303</v>
      </c>
      <c r="F561" s="145"/>
      <c r="G561" s="69">
        <f t="shared" si="133"/>
        <v>31242</v>
      </c>
      <c r="H561" s="69">
        <f t="shared" si="133"/>
        <v>0</v>
      </c>
      <c r="I561" s="69">
        <f t="shared" si="130"/>
        <v>31242</v>
      </c>
      <c r="J561" s="69">
        <f t="shared" si="133"/>
        <v>0</v>
      </c>
      <c r="K561" s="85">
        <f t="shared" si="128"/>
        <v>31242</v>
      </c>
      <c r="L561" s="13">
        <f t="shared" si="133"/>
        <v>0</v>
      </c>
      <c r="M561" s="85">
        <f t="shared" si="121"/>
        <v>31242</v>
      </c>
      <c r="N561" s="13">
        <f t="shared" si="133"/>
        <v>0</v>
      </c>
      <c r="O561" s="85">
        <f t="shared" si="122"/>
        <v>31242</v>
      </c>
      <c r="P561" s="13">
        <f t="shared" si="133"/>
        <v>0</v>
      </c>
      <c r="Q561" s="85">
        <f t="shared" si="119"/>
        <v>31242</v>
      </c>
      <c r="R561" s="13">
        <f t="shared" si="133"/>
        <v>0</v>
      </c>
      <c r="S561" s="85">
        <f t="shared" si="118"/>
        <v>31242</v>
      </c>
      <c r="T561" s="13">
        <f t="shared" si="133"/>
        <v>-261.8</v>
      </c>
      <c r="U561" s="85">
        <f t="shared" si="127"/>
        <v>30980.2</v>
      </c>
    </row>
    <row r="562" spans="1:21">
      <c r="A562" s="61" t="str">
        <f ca="1">IF(ISERROR(MATCH(E562,Код_КЦСР,0)),"",INDIRECT(ADDRESS(MATCH(E562,Код_КЦСР,0)+1,2,,,"КЦСР")))</f>
        <v>Центральный аппарат</v>
      </c>
      <c r="B562" s="145">
        <v>804</v>
      </c>
      <c r="C562" s="8" t="s">
        <v>216</v>
      </c>
      <c r="D562" s="8" t="s">
        <v>196</v>
      </c>
      <c r="E562" s="145" t="s">
        <v>306</v>
      </c>
      <c r="F562" s="145"/>
      <c r="G562" s="69">
        <f>G563+G565+G568</f>
        <v>31242</v>
      </c>
      <c r="H562" s="69">
        <f>H563+H565+H568</f>
        <v>0</v>
      </c>
      <c r="I562" s="69">
        <f t="shared" si="130"/>
        <v>31242</v>
      </c>
      <c r="J562" s="69">
        <f>J563+J565+J568</f>
        <v>0</v>
      </c>
      <c r="K562" s="85">
        <f t="shared" si="128"/>
        <v>31242</v>
      </c>
      <c r="L562" s="13">
        <f>L563+L565+L568</f>
        <v>0</v>
      </c>
      <c r="M562" s="85">
        <f t="shared" si="121"/>
        <v>31242</v>
      </c>
      <c r="N562" s="13">
        <f>N563+N565+N568</f>
        <v>0</v>
      </c>
      <c r="O562" s="85">
        <f t="shared" si="122"/>
        <v>31242</v>
      </c>
      <c r="P562" s="13">
        <f>P563+P565+P568</f>
        <v>0</v>
      </c>
      <c r="Q562" s="85">
        <f t="shared" si="119"/>
        <v>31242</v>
      </c>
      <c r="R562" s="13">
        <f>R563+R565+R568</f>
        <v>0</v>
      </c>
      <c r="S562" s="85">
        <f t="shared" si="118"/>
        <v>31242</v>
      </c>
      <c r="T562" s="13">
        <f>T563+T565+T568</f>
        <v>-261.8</v>
      </c>
      <c r="U562" s="85">
        <f t="shared" si="127"/>
        <v>30980.2</v>
      </c>
    </row>
    <row r="563" spans="1:21" ht="33">
      <c r="A563" s="61" t="str">
        <f t="shared" ref="A563:A569" ca="1" si="134">IF(ISERROR(MATCH(F563,Код_КВР,0)),"",INDIRECT(ADDRESS(MATCH(F563,Код_КВР,0)+1,2,,,"КВР")))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563" s="145">
        <v>804</v>
      </c>
      <c r="C563" s="8" t="s">
        <v>216</v>
      </c>
      <c r="D563" s="8" t="s">
        <v>196</v>
      </c>
      <c r="E563" s="145" t="s">
        <v>306</v>
      </c>
      <c r="F563" s="145">
        <v>100</v>
      </c>
      <c r="G563" s="69">
        <f>G564</f>
        <v>31220</v>
      </c>
      <c r="H563" s="69">
        <f>H564</f>
        <v>0</v>
      </c>
      <c r="I563" s="69">
        <f t="shared" si="130"/>
        <v>31220</v>
      </c>
      <c r="J563" s="69">
        <f>J564</f>
        <v>0</v>
      </c>
      <c r="K563" s="85">
        <f t="shared" si="128"/>
        <v>31220</v>
      </c>
      <c r="L563" s="13">
        <f>L564</f>
        <v>0</v>
      </c>
      <c r="M563" s="85">
        <f t="shared" si="121"/>
        <v>31220</v>
      </c>
      <c r="N563" s="13">
        <f>N564</f>
        <v>0</v>
      </c>
      <c r="O563" s="85">
        <f t="shared" si="122"/>
        <v>31220</v>
      </c>
      <c r="P563" s="13">
        <f>P564</f>
        <v>-0.1</v>
      </c>
      <c r="Q563" s="85">
        <f t="shared" si="119"/>
        <v>31219.9</v>
      </c>
      <c r="R563" s="13">
        <f>R564</f>
        <v>0</v>
      </c>
      <c r="S563" s="85">
        <f t="shared" si="118"/>
        <v>31219.9</v>
      </c>
      <c r="T563" s="13">
        <f>T564</f>
        <v>-261.8</v>
      </c>
      <c r="U563" s="85">
        <f t="shared" si="127"/>
        <v>30958.100000000002</v>
      </c>
    </row>
    <row r="564" spans="1:21">
      <c r="A564" s="61" t="str">
        <f t="shared" ca="1" si="134"/>
        <v>Расходы на выплаты персоналу муниципальных органов</v>
      </c>
      <c r="B564" s="145">
        <v>804</v>
      </c>
      <c r="C564" s="8" t="s">
        <v>216</v>
      </c>
      <c r="D564" s="8" t="s">
        <v>196</v>
      </c>
      <c r="E564" s="145" t="s">
        <v>306</v>
      </c>
      <c r="F564" s="145">
        <v>120</v>
      </c>
      <c r="G564" s="69">
        <v>31220</v>
      </c>
      <c r="H564" s="64"/>
      <c r="I564" s="69">
        <f t="shared" si="130"/>
        <v>31220</v>
      </c>
      <c r="J564" s="64"/>
      <c r="K564" s="85">
        <f t="shared" si="128"/>
        <v>31220</v>
      </c>
      <c r="L564" s="85"/>
      <c r="M564" s="85">
        <f t="shared" si="121"/>
        <v>31220</v>
      </c>
      <c r="N564" s="85"/>
      <c r="O564" s="85">
        <f t="shared" si="122"/>
        <v>31220</v>
      </c>
      <c r="P564" s="85">
        <v>-0.1</v>
      </c>
      <c r="Q564" s="85">
        <f t="shared" si="119"/>
        <v>31219.9</v>
      </c>
      <c r="R564" s="85"/>
      <c r="S564" s="85">
        <f t="shared" ref="S564:S633" si="135">Q564+R564</f>
        <v>31219.9</v>
      </c>
      <c r="T564" s="85">
        <v>-261.8</v>
      </c>
      <c r="U564" s="85">
        <f t="shared" si="127"/>
        <v>30958.100000000002</v>
      </c>
    </row>
    <row r="565" spans="1:21">
      <c r="A565" s="61" t="str">
        <f t="shared" ca="1" si="134"/>
        <v>Закупка товаров, работ и услуг для муниципальных нужд</v>
      </c>
      <c r="B565" s="145">
        <v>804</v>
      </c>
      <c r="C565" s="8" t="s">
        <v>216</v>
      </c>
      <c r="D565" s="8" t="s">
        <v>196</v>
      </c>
      <c r="E565" s="145" t="s">
        <v>306</v>
      </c>
      <c r="F565" s="145">
        <v>200</v>
      </c>
      <c r="G565" s="69">
        <f>G566</f>
        <v>20</v>
      </c>
      <c r="H565" s="69">
        <f>H566</f>
        <v>0</v>
      </c>
      <c r="I565" s="69">
        <f t="shared" si="130"/>
        <v>20</v>
      </c>
      <c r="J565" s="69">
        <f>J566</f>
        <v>0</v>
      </c>
      <c r="K565" s="85">
        <f t="shared" si="128"/>
        <v>20</v>
      </c>
      <c r="L565" s="13">
        <f>L566</f>
        <v>0</v>
      </c>
      <c r="M565" s="85">
        <f t="shared" si="121"/>
        <v>20</v>
      </c>
      <c r="N565" s="13">
        <f>N566</f>
        <v>0</v>
      </c>
      <c r="O565" s="85">
        <f t="shared" si="122"/>
        <v>20</v>
      </c>
      <c r="P565" s="13">
        <f>P566</f>
        <v>0</v>
      </c>
      <c r="Q565" s="85">
        <f t="shared" si="119"/>
        <v>20</v>
      </c>
      <c r="R565" s="13">
        <f>R566</f>
        <v>0</v>
      </c>
      <c r="S565" s="85">
        <f t="shared" si="135"/>
        <v>20</v>
      </c>
      <c r="T565" s="13">
        <f>T566</f>
        <v>0</v>
      </c>
      <c r="U565" s="85">
        <f t="shared" si="127"/>
        <v>20</v>
      </c>
    </row>
    <row r="566" spans="1:21" ht="33">
      <c r="A566" s="61" t="str">
        <f t="shared" ca="1" si="134"/>
        <v>Иные закупки товаров, работ и услуг для обеспечения муниципальных нужд</v>
      </c>
      <c r="B566" s="145">
        <v>804</v>
      </c>
      <c r="C566" s="8" t="s">
        <v>216</v>
      </c>
      <c r="D566" s="8" t="s">
        <v>196</v>
      </c>
      <c r="E566" s="145" t="s">
        <v>306</v>
      </c>
      <c r="F566" s="145">
        <v>240</v>
      </c>
      <c r="G566" s="69">
        <f>G567</f>
        <v>20</v>
      </c>
      <c r="H566" s="69">
        <f>H567</f>
        <v>0</v>
      </c>
      <c r="I566" s="69">
        <f t="shared" si="130"/>
        <v>20</v>
      </c>
      <c r="J566" s="69">
        <f>J567</f>
        <v>0</v>
      </c>
      <c r="K566" s="85">
        <f t="shared" si="128"/>
        <v>20</v>
      </c>
      <c r="L566" s="13">
        <f>L567</f>
        <v>0</v>
      </c>
      <c r="M566" s="85">
        <f t="shared" si="121"/>
        <v>20</v>
      </c>
      <c r="N566" s="13">
        <f>N567</f>
        <v>0</v>
      </c>
      <c r="O566" s="85">
        <f t="shared" si="122"/>
        <v>20</v>
      </c>
      <c r="P566" s="13">
        <f>P567</f>
        <v>0</v>
      </c>
      <c r="Q566" s="85">
        <f t="shared" si="119"/>
        <v>20</v>
      </c>
      <c r="R566" s="13">
        <f>R567</f>
        <v>0</v>
      </c>
      <c r="S566" s="85">
        <f t="shared" si="135"/>
        <v>20</v>
      </c>
      <c r="T566" s="13">
        <f>T567</f>
        <v>0</v>
      </c>
      <c r="U566" s="85">
        <f t="shared" si="127"/>
        <v>20</v>
      </c>
    </row>
    <row r="567" spans="1:21" ht="33">
      <c r="A567" s="61" t="str">
        <f t="shared" ca="1" si="134"/>
        <v xml:space="preserve">Прочая закупка товаров, работ и услуг для обеспечения муниципальных нужд         </v>
      </c>
      <c r="B567" s="145">
        <v>804</v>
      </c>
      <c r="C567" s="8" t="s">
        <v>216</v>
      </c>
      <c r="D567" s="8" t="s">
        <v>196</v>
      </c>
      <c r="E567" s="145" t="s">
        <v>306</v>
      </c>
      <c r="F567" s="145">
        <v>244</v>
      </c>
      <c r="G567" s="69">
        <v>20</v>
      </c>
      <c r="H567" s="64"/>
      <c r="I567" s="69">
        <f t="shared" si="130"/>
        <v>20</v>
      </c>
      <c r="J567" s="64"/>
      <c r="K567" s="85">
        <f t="shared" si="128"/>
        <v>20</v>
      </c>
      <c r="L567" s="85"/>
      <c r="M567" s="85">
        <f t="shared" si="121"/>
        <v>20</v>
      </c>
      <c r="N567" s="85"/>
      <c r="O567" s="85">
        <f t="shared" si="122"/>
        <v>20</v>
      </c>
      <c r="P567" s="85"/>
      <c r="Q567" s="85">
        <f t="shared" si="119"/>
        <v>20</v>
      </c>
      <c r="R567" s="85"/>
      <c r="S567" s="85">
        <f t="shared" si="135"/>
        <v>20</v>
      </c>
      <c r="T567" s="85"/>
      <c r="U567" s="85">
        <f t="shared" si="127"/>
        <v>20</v>
      </c>
    </row>
    <row r="568" spans="1:21">
      <c r="A568" s="61" t="str">
        <f t="shared" ca="1" si="134"/>
        <v>Иные бюджетные ассигнования</v>
      </c>
      <c r="B568" s="145">
        <v>804</v>
      </c>
      <c r="C568" s="8" t="s">
        <v>216</v>
      </c>
      <c r="D568" s="8" t="s">
        <v>196</v>
      </c>
      <c r="E568" s="145" t="s">
        <v>306</v>
      </c>
      <c r="F568" s="145">
        <v>800</v>
      </c>
      <c r="G568" s="69">
        <f>G569</f>
        <v>2</v>
      </c>
      <c r="H568" s="69">
        <f>H569</f>
        <v>0</v>
      </c>
      <c r="I568" s="69">
        <f t="shared" si="130"/>
        <v>2</v>
      </c>
      <c r="J568" s="69">
        <f>J569</f>
        <v>0</v>
      </c>
      <c r="K568" s="85">
        <f t="shared" si="128"/>
        <v>2</v>
      </c>
      <c r="L568" s="13">
        <f>L569</f>
        <v>0</v>
      </c>
      <c r="M568" s="85">
        <f t="shared" si="121"/>
        <v>2</v>
      </c>
      <c r="N568" s="13">
        <f>N569</f>
        <v>0</v>
      </c>
      <c r="O568" s="85">
        <f t="shared" si="122"/>
        <v>2</v>
      </c>
      <c r="P568" s="13">
        <f>P569</f>
        <v>0.1</v>
      </c>
      <c r="Q568" s="85">
        <f t="shared" si="119"/>
        <v>2.1</v>
      </c>
      <c r="R568" s="13">
        <f>R569</f>
        <v>0</v>
      </c>
      <c r="S568" s="85">
        <f t="shared" si="135"/>
        <v>2.1</v>
      </c>
      <c r="T568" s="13">
        <f>T569</f>
        <v>0</v>
      </c>
      <c r="U568" s="85">
        <f t="shared" si="127"/>
        <v>2.1</v>
      </c>
    </row>
    <row r="569" spans="1:21">
      <c r="A569" s="61" t="str">
        <f t="shared" ca="1" si="134"/>
        <v>Уплата налогов, сборов и иных платежей</v>
      </c>
      <c r="B569" s="145">
        <v>804</v>
      </c>
      <c r="C569" s="8" t="s">
        <v>216</v>
      </c>
      <c r="D569" s="8" t="s">
        <v>196</v>
      </c>
      <c r="E569" s="145" t="s">
        <v>306</v>
      </c>
      <c r="F569" s="145">
        <v>850</v>
      </c>
      <c r="G569" s="69">
        <f>G571</f>
        <v>2</v>
      </c>
      <c r="H569" s="69">
        <f>H571</f>
        <v>0</v>
      </c>
      <c r="I569" s="69">
        <f t="shared" si="130"/>
        <v>2</v>
      </c>
      <c r="J569" s="69">
        <f>J571</f>
        <v>0</v>
      </c>
      <c r="K569" s="85">
        <f t="shared" si="128"/>
        <v>2</v>
      </c>
      <c r="L569" s="13">
        <f>L571</f>
        <v>0</v>
      </c>
      <c r="M569" s="85">
        <f t="shared" si="121"/>
        <v>2</v>
      </c>
      <c r="N569" s="13">
        <f>N571</f>
        <v>0</v>
      </c>
      <c r="O569" s="85">
        <f t="shared" si="122"/>
        <v>2</v>
      </c>
      <c r="P569" s="13">
        <f>P571+P570</f>
        <v>0.1</v>
      </c>
      <c r="Q569" s="85">
        <f t="shared" ref="Q569:Q639" si="136">O569+P569</f>
        <v>2.1</v>
      </c>
      <c r="R569" s="13">
        <f>R571+R570</f>
        <v>0</v>
      </c>
      <c r="S569" s="85">
        <f t="shared" si="135"/>
        <v>2.1</v>
      </c>
      <c r="T569" s="13">
        <f>T571+T570</f>
        <v>0</v>
      </c>
      <c r="U569" s="85">
        <f t="shared" si="127"/>
        <v>2.1</v>
      </c>
    </row>
    <row r="570" spans="1:21">
      <c r="A570" s="61" t="str">
        <f ca="1">IF(ISERROR(MATCH(F570,Код_КВР,0)),"",INDIRECT(ADDRESS(MATCH(F570,Код_КВР,0)+1,2,,,"КВР")))</f>
        <v>Уплата налога на имущество организаций и земельного налога</v>
      </c>
      <c r="B570" s="145">
        <v>804</v>
      </c>
      <c r="C570" s="8" t="s">
        <v>216</v>
      </c>
      <c r="D570" s="8" t="s">
        <v>196</v>
      </c>
      <c r="E570" s="145" t="s">
        <v>306</v>
      </c>
      <c r="F570" s="145">
        <v>851</v>
      </c>
      <c r="G570" s="69"/>
      <c r="H570" s="69"/>
      <c r="I570" s="69"/>
      <c r="J570" s="69"/>
      <c r="K570" s="85"/>
      <c r="L570" s="13"/>
      <c r="M570" s="85"/>
      <c r="N570" s="13"/>
      <c r="O570" s="85"/>
      <c r="P570" s="13">
        <v>0.1</v>
      </c>
      <c r="Q570" s="85">
        <f t="shared" si="136"/>
        <v>0.1</v>
      </c>
      <c r="R570" s="13"/>
      <c r="S570" s="85">
        <f t="shared" si="135"/>
        <v>0.1</v>
      </c>
      <c r="T570" s="13"/>
      <c r="U570" s="85">
        <f t="shared" si="127"/>
        <v>0.1</v>
      </c>
    </row>
    <row r="571" spans="1:21">
      <c r="A571" s="61" t="str">
        <f ca="1">IF(ISERROR(MATCH(F571,Код_КВР,0)),"",INDIRECT(ADDRESS(MATCH(F571,Код_КВР,0)+1,2,,,"КВР")))</f>
        <v>Уплата прочих налогов, сборов и иных платежей</v>
      </c>
      <c r="B571" s="145">
        <v>804</v>
      </c>
      <c r="C571" s="8" t="s">
        <v>216</v>
      </c>
      <c r="D571" s="8" t="s">
        <v>196</v>
      </c>
      <c r="E571" s="145" t="s">
        <v>306</v>
      </c>
      <c r="F571" s="145">
        <v>852</v>
      </c>
      <c r="G571" s="69">
        <v>2</v>
      </c>
      <c r="H571" s="64"/>
      <c r="I571" s="69">
        <f t="shared" si="130"/>
        <v>2</v>
      </c>
      <c r="J571" s="64"/>
      <c r="K571" s="85">
        <f t="shared" si="128"/>
        <v>2</v>
      </c>
      <c r="L571" s="85"/>
      <c r="M571" s="85">
        <f t="shared" si="121"/>
        <v>2</v>
      </c>
      <c r="N571" s="85"/>
      <c r="O571" s="85">
        <f t="shared" si="122"/>
        <v>2</v>
      </c>
      <c r="P571" s="85"/>
      <c r="Q571" s="85">
        <f t="shared" si="136"/>
        <v>2</v>
      </c>
      <c r="R571" s="85"/>
      <c r="S571" s="85">
        <f t="shared" si="135"/>
        <v>2</v>
      </c>
      <c r="T571" s="85"/>
      <c r="U571" s="85">
        <f t="shared" si="127"/>
        <v>2</v>
      </c>
    </row>
    <row r="572" spans="1:21">
      <c r="A572" s="61" t="str">
        <f ca="1">IF(ISERROR(MATCH(B572,Код_ППП,0)),"",INDIRECT(ADDRESS(MATCH(B572,Код_ППП,0)+1,2,,,"ППП")))</f>
        <v>УПРАВЛЕНИЕ ОБРАЗОВАНИЯ МЭРИИ ГОРОДА</v>
      </c>
      <c r="B572" s="145">
        <v>805</v>
      </c>
      <c r="C572" s="8"/>
      <c r="D572" s="8"/>
      <c r="E572" s="145"/>
      <c r="F572" s="145"/>
      <c r="G572" s="69">
        <f>G585+G818</f>
        <v>3169541.4</v>
      </c>
      <c r="H572" s="69">
        <f>H585+H818</f>
        <v>0</v>
      </c>
      <c r="I572" s="69">
        <f t="shared" si="130"/>
        <v>3169541.4</v>
      </c>
      <c r="J572" s="69">
        <f>J585+J818</f>
        <v>37566</v>
      </c>
      <c r="K572" s="85">
        <f t="shared" si="128"/>
        <v>3207107.4</v>
      </c>
      <c r="L572" s="13">
        <f>L585+L818</f>
        <v>-505</v>
      </c>
      <c r="M572" s="85">
        <f>K572+L572</f>
        <v>3206602.4</v>
      </c>
      <c r="N572" s="13">
        <f>N573+N585+N818</f>
        <v>1986.4</v>
      </c>
      <c r="O572" s="85">
        <f>M572+N572</f>
        <v>3208588.8</v>
      </c>
      <c r="P572" s="13">
        <f>P573+P585+P818</f>
        <v>0</v>
      </c>
      <c r="Q572" s="85">
        <f t="shared" si="136"/>
        <v>3208588.8</v>
      </c>
      <c r="R572" s="13">
        <f>R573+R585+R818</f>
        <v>28126.900000000009</v>
      </c>
      <c r="S572" s="85">
        <f t="shared" si="135"/>
        <v>3236715.6999999997</v>
      </c>
      <c r="T572" s="13">
        <f>T573+T585+T818</f>
        <v>32451.300000000003</v>
      </c>
      <c r="U572" s="85">
        <f t="shared" si="127"/>
        <v>3269166.9999999995</v>
      </c>
    </row>
    <row r="573" spans="1:21">
      <c r="A573" s="61" t="str">
        <f ca="1">IF(ISERROR(MATCH(C573,Код_Раздел,0)),"",INDIRECT(ADDRESS(MATCH(C573,Код_Раздел,0)+1,2,,,"Раздел")))</f>
        <v>Национальная экономика</v>
      </c>
      <c r="B573" s="145">
        <v>805</v>
      </c>
      <c r="C573" s="8" t="s">
        <v>216</v>
      </c>
      <c r="D573" s="8"/>
      <c r="E573" s="145"/>
      <c r="F573" s="145"/>
      <c r="G573" s="69"/>
      <c r="H573" s="69"/>
      <c r="I573" s="69"/>
      <c r="J573" s="69"/>
      <c r="K573" s="85"/>
      <c r="L573" s="13"/>
      <c r="M573" s="85"/>
      <c r="N573" s="13">
        <f>N574</f>
        <v>68.900000000000006</v>
      </c>
      <c r="O573" s="85">
        <f t="shared" si="122"/>
        <v>68.900000000000006</v>
      </c>
      <c r="P573" s="13">
        <f>P574</f>
        <v>0</v>
      </c>
      <c r="Q573" s="85">
        <f t="shared" si="136"/>
        <v>68.900000000000006</v>
      </c>
      <c r="R573" s="13">
        <f>R574</f>
        <v>0</v>
      </c>
      <c r="S573" s="85">
        <f t="shared" si="135"/>
        <v>68.900000000000006</v>
      </c>
      <c r="T573" s="13">
        <f>T574</f>
        <v>0</v>
      </c>
      <c r="U573" s="85">
        <f t="shared" si="127"/>
        <v>68.900000000000006</v>
      </c>
    </row>
    <row r="574" spans="1:21">
      <c r="A574" s="76" t="s">
        <v>203</v>
      </c>
      <c r="B574" s="145">
        <v>805</v>
      </c>
      <c r="C574" s="8" t="s">
        <v>216</v>
      </c>
      <c r="D574" s="8" t="s">
        <v>213</v>
      </c>
      <c r="E574" s="145"/>
      <c r="F574" s="145"/>
      <c r="G574" s="69"/>
      <c r="H574" s="69"/>
      <c r="I574" s="69"/>
      <c r="J574" s="69"/>
      <c r="K574" s="85"/>
      <c r="L574" s="13"/>
      <c r="M574" s="85"/>
      <c r="N574" s="13">
        <f>N575</f>
        <v>68.900000000000006</v>
      </c>
      <c r="O574" s="85">
        <f t="shared" si="122"/>
        <v>68.900000000000006</v>
      </c>
      <c r="P574" s="13">
        <f>P575</f>
        <v>0</v>
      </c>
      <c r="Q574" s="85">
        <f t="shared" si="136"/>
        <v>68.900000000000006</v>
      </c>
      <c r="R574" s="13">
        <f>R575</f>
        <v>0</v>
      </c>
      <c r="S574" s="85">
        <f t="shared" si="135"/>
        <v>68.900000000000006</v>
      </c>
      <c r="T574" s="13">
        <f>T575</f>
        <v>0</v>
      </c>
      <c r="U574" s="85">
        <f t="shared" si="127"/>
        <v>68.900000000000006</v>
      </c>
    </row>
    <row r="575" spans="1:21" ht="33">
      <c r="A575" s="61" t="str">
        <f ca="1">IF(ISERROR(MATCH(E575,Код_КЦСР,0)),"",INDIRECT(ADDRESS(MATCH(E575,Код_КЦСР,0)+1,2,,,"КЦСР")))</f>
        <v>Непрограммные направления деятельности органов местного самоуправления</v>
      </c>
      <c r="B575" s="145">
        <v>805</v>
      </c>
      <c r="C575" s="8" t="s">
        <v>216</v>
      </c>
      <c r="D575" s="8" t="s">
        <v>213</v>
      </c>
      <c r="E575" s="145" t="s">
        <v>299</v>
      </c>
      <c r="F575" s="145"/>
      <c r="G575" s="69"/>
      <c r="H575" s="69"/>
      <c r="I575" s="69"/>
      <c r="J575" s="69"/>
      <c r="K575" s="85"/>
      <c r="L575" s="13"/>
      <c r="M575" s="85"/>
      <c r="N575" s="13">
        <f>N576</f>
        <v>68.900000000000006</v>
      </c>
      <c r="O575" s="85">
        <f t="shared" si="122"/>
        <v>68.900000000000006</v>
      </c>
      <c r="P575" s="13">
        <f>P576</f>
        <v>0</v>
      </c>
      <c r="Q575" s="85">
        <f t="shared" si="136"/>
        <v>68.900000000000006</v>
      </c>
      <c r="R575" s="13">
        <f>R576</f>
        <v>0</v>
      </c>
      <c r="S575" s="85">
        <f t="shared" si="135"/>
        <v>68.900000000000006</v>
      </c>
      <c r="T575" s="13">
        <f>T576</f>
        <v>0</v>
      </c>
      <c r="U575" s="85">
        <f t="shared" si="127"/>
        <v>68.900000000000006</v>
      </c>
    </row>
    <row r="576" spans="1:21">
      <c r="A576" s="61" t="str">
        <f ca="1">IF(ISERROR(MATCH(E576,Код_КЦСР,0)),"",INDIRECT(ADDRESS(MATCH(E576,Код_КЦСР,0)+1,2,,,"КЦСР")))</f>
        <v>Расходы, не включенные в муниципальные программы города Череповца</v>
      </c>
      <c r="B576" s="145">
        <v>805</v>
      </c>
      <c r="C576" s="8" t="s">
        <v>216</v>
      </c>
      <c r="D576" s="8" t="s">
        <v>213</v>
      </c>
      <c r="E576" s="145" t="s">
        <v>301</v>
      </c>
      <c r="F576" s="145"/>
      <c r="G576" s="69"/>
      <c r="H576" s="69"/>
      <c r="I576" s="69"/>
      <c r="J576" s="69"/>
      <c r="K576" s="85"/>
      <c r="L576" s="13"/>
      <c r="M576" s="85"/>
      <c r="N576" s="13">
        <f>N577+N581</f>
        <v>68.900000000000006</v>
      </c>
      <c r="O576" s="85">
        <f t="shared" si="122"/>
        <v>68.900000000000006</v>
      </c>
      <c r="P576" s="13">
        <f>P577+P581</f>
        <v>0</v>
      </c>
      <c r="Q576" s="85">
        <f t="shared" si="136"/>
        <v>68.900000000000006</v>
      </c>
      <c r="R576" s="13">
        <f>R577+R581</f>
        <v>0</v>
      </c>
      <c r="S576" s="85">
        <f t="shared" si="135"/>
        <v>68.900000000000006</v>
      </c>
      <c r="T576" s="13"/>
      <c r="U576" s="85">
        <f t="shared" si="127"/>
        <v>68.900000000000006</v>
      </c>
    </row>
    <row r="577" spans="1:21" ht="49.5">
      <c r="A577" s="61" t="str">
        <f ca="1">IF(ISERROR(MATCH(E577,Код_КЦСР,0)),"",INDIRECT(ADDRESS(MATCH(E577,Код_КЦСР,0)+1,2,,,"КЦСР")))</f>
        <v>Реализация мероприятий по содействию в трудоустройстве незанятых инвалидов на оборудованные (оснащенные) для них рабочие места за счет иных межбюджетных трансфертов из областного бюджета</v>
      </c>
      <c r="B577" s="145">
        <v>805</v>
      </c>
      <c r="C577" s="8" t="s">
        <v>216</v>
      </c>
      <c r="D577" s="8" t="s">
        <v>213</v>
      </c>
      <c r="E577" s="145" t="s">
        <v>628</v>
      </c>
      <c r="F577" s="145"/>
      <c r="G577" s="69"/>
      <c r="H577" s="69"/>
      <c r="I577" s="69"/>
      <c r="J577" s="69"/>
      <c r="K577" s="85"/>
      <c r="L577" s="13"/>
      <c r="M577" s="85"/>
      <c r="N577" s="13">
        <f>N578</f>
        <v>3.4</v>
      </c>
      <c r="O577" s="85">
        <f t="shared" si="122"/>
        <v>3.4</v>
      </c>
      <c r="P577" s="13">
        <f>P578</f>
        <v>0</v>
      </c>
      <c r="Q577" s="85">
        <f t="shared" si="136"/>
        <v>3.4</v>
      </c>
      <c r="R577" s="13">
        <f>R578</f>
        <v>0</v>
      </c>
      <c r="S577" s="85">
        <f t="shared" si="135"/>
        <v>3.4</v>
      </c>
      <c r="T577" s="13">
        <f>T578</f>
        <v>0</v>
      </c>
      <c r="U577" s="85">
        <f t="shared" si="127"/>
        <v>3.4</v>
      </c>
    </row>
    <row r="578" spans="1:21" ht="33">
      <c r="A578" s="61" t="str">
        <f ca="1">IF(ISERROR(MATCH(F578,Код_КВР,0)),"",INDIRECT(ADDRESS(MATCH(F578,Код_КВР,0)+1,2,,,"КВР")))</f>
        <v>Предоставление субсидий бюджетным, автономным учреждениям и иным некоммерческим организациям</v>
      </c>
      <c r="B578" s="145">
        <v>805</v>
      </c>
      <c r="C578" s="8" t="s">
        <v>216</v>
      </c>
      <c r="D578" s="8" t="s">
        <v>213</v>
      </c>
      <c r="E578" s="145" t="s">
        <v>628</v>
      </c>
      <c r="F578" s="145">
        <v>600</v>
      </c>
      <c r="G578" s="69"/>
      <c r="H578" s="69"/>
      <c r="I578" s="69"/>
      <c r="J578" s="69"/>
      <c r="K578" s="85"/>
      <c r="L578" s="13"/>
      <c r="M578" s="85"/>
      <c r="N578" s="13">
        <f>N579</f>
        <v>3.4</v>
      </c>
      <c r="O578" s="85">
        <f t="shared" si="122"/>
        <v>3.4</v>
      </c>
      <c r="P578" s="13">
        <f>P579</f>
        <v>0</v>
      </c>
      <c r="Q578" s="85">
        <f t="shared" si="136"/>
        <v>3.4</v>
      </c>
      <c r="R578" s="13">
        <f>R579</f>
        <v>0</v>
      </c>
      <c r="S578" s="85">
        <f t="shared" si="135"/>
        <v>3.4</v>
      </c>
      <c r="T578" s="13">
        <f>T579</f>
        <v>0</v>
      </c>
      <c r="U578" s="85">
        <f t="shared" si="127"/>
        <v>3.4</v>
      </c>
    </row>
    <row r="579" spans="1:21">
      <c r="A579" s="61" t="str">
        <f ca="1">IF(ISERROR(MATCH(F579,Код_КВР,0)),"",INDIRECT(ADDRESS(MATCH(F579,Код_КВР,0)+1,2,,,"КВР")))</f>
        <v>Субсидии бюджетным учреждениям</v>
      </c>
      <c r="B579" s="145">
        <v>805</v>
      </c>
      <c r="C579" s="8" t="s">
        <v>216</v>
      </c>
      <c r="D579" s="8" t="s">
        <v>213</v>
      </c>
      <c r="E579" s="145" t="s">
        <v>628</v>
      </c>
      <c r="F579" s="145">
        <v>610</v>
      </c>
      <c r="G579" s="69"/>
      <c r="H579" s="69"/>
      <c r="I579" s="69"/>
      <c r="J579" s="69"/>
      <c r="K579" s="85"/>
      <c r="L579" s="13"/>
      <c r="M579" s="85"/>
      <c r="N579" s="13">
        <f>N580</f>
        <v>3.4</v>
      </c>
      <c r="O579" s="85">
        <f t="shared" si="122"/>
        <v>3.4</v>
      </c>
      <c r="P579" s="13">
        <f>P580</f>
        <v>0</v>
      </c>
      <c r="Q579" s="85">
        <f t="shared" si="136"/>
        <v>3.4</v>
      </c>
      <c r="R579" s="13">
        <f>R580</f>
        <v>0</v>
      </c>
      <c r="S579" s="85">
        <f t="shared" si="135"/>
        <v>3.4</v>
      </c>
      <c r="T579" s="13">
        <f>T580</f>
        <v>0</v>
      </c>
      <c r="U579" s="85">
        <f t="shared" si="127"/>
        <v>3.4</v>
      </c>
    </row>
    <row r="580" spans="1:21">
      <c r="A580" s="61" t="str">
        <f ca="1">IF(ISERROR(MATCH(F580,Код_КВР,0)),"",INDIRECT(ADDRESS(MATCH(F580,Код_КВР,0)+1,2,,,"КВР")))</f>
        <v>Субсидии бюджетным учреждениям на иные цели</v>
      </c>
      <c r="B580" s="145">
        <v>805</v>
      </c>
      <c r="C580" s="8" t="s">
        <v>216</v>
      </c>
      <c r="D580" s="8" t="s">
        <v>213</v>
      </c>
      <c r="E580" s="145" t="s">
        <v>628</v>
      </c>
      <c r="F580" s="145">
        <v>612</v>
      </c>
      <c r="G580" s="69"/>
      <c r="H580" s="69"/>
      <c r="I580" s="69"/>
      <c r="J580" s="69"/>
      <c r="K580" s="85"/>
      <c r="L580" s="13"/>
      <c r="M580" s="85"/>
      <c r="N580" s="13">
        <v>3.4</v>
      </c>
      <c r="O580" s="85">
        <f t="shared" si="122"/>
        <v>3.4</v>
      </c>
      <c r="P580" s="13"/>
      <c r="Q580" s="85">
        <f t="shared" si="136"/>
        <v>3.4</v>
      </c>
      <c r="R580" s="13"/>
      <c r="S580" s="85">
        <f t="shared" si="135"/>
        <v>3.4</v>
      </c>
      <c r="T580" s="13"/>
      <c r="U580" s="85">
        <f t="shared" si="127"/>
        <v>3.4</v>
      </c>
    </row>
    <row r="581" spans="1:21" ht="33">
      <c r="A581" s="61" t="str">
        <f ca="1">IF(ISERROR(MATCH(E581,Код_КЦСР,0)),"",INDIRECT(ADDRESS(MATCH(E581,Код_КЦСР,0)+1,2,,,"КЦСР")))</f>
        <v>Реализация дополнительных мероприятий в сфере занятости населения за счет иных межбюджетных трансфертов из федерального бюджета</v>
      </c>
      <c r="B581" s="145">
        <v>805</v>
      </c>
      <c r="C581" s="8" t="s">
        <v>216</v>
      </c>
      <c r="D581" s="8" t="s">
        <v>213</v>
      </c>
      <c r="E581" s="145" t="s">
        <v>626</v>
      </c>
      <c r="F581" s="145"/>
      <c r="G581" s="69"/>
      <c r="H581" s="69"/>
      <c r="I581" s="69"/>
      <c r="J581" s="69"/>
      <c r="K581" s="85"/>
      <c r="L581" s="13"/>
      <c r="M581" s="85"/>
      <c r="N581" s="13">
        <f>N582</f>
        <v>65.5</v>
      </c>
      <c r="O581" s="85">
        <f t="shared" si="122"/>
        <v>65.5</v>
      </c>
      <c r="P581" s="13">
        <f>P582</f>
        <v>0</v>
      </c>
      <c r="Q581" s="85">
        <f t="shared" si="136"/>
        <v>65.5</v>
      </c>
      <c r="R581" s="13">
        <f>R582</f>
        <v>0</v>
      </c>
      <c r="S581" s="85">
        <f t="shared" si="135"/>
        <v>65.5</v>
      </c>
      <c r="T581" s="13">
        <f>T582</f>
        <v>0</v>
      </c>
      <c r="U581" s="85">
        <f t="shared" si="127"/>
        <v>65.5</v>
      </c>
    </row>
    <row r="582" spans="1:21" ht="33">
      <c r="A582" s="61" t="str">
        <f ca="1">IF(ISERROR(MATCH(F582,Код_КВР,0)),"",INDIRECT(ADDRESS(MATCH(F582,Код_КВР,0)+1,2,,,"КВР")))</f>
        <v>Предоставление субсидий бюджетным, автономным учреждениям и иным некоммерческим организациям</v>
      </c>
      <c r="B582" s="145">
        <v>805</v>
      </c>
      <c r="C582" s="8" t="s">
        <v>216</v>
      </c>
      <c r="D582" s="8" t="s">
        <v>213</v>
      </c>
      <c r="E582" s="145" t="s">
        <v>626</v>
      </c>
      <c r="F582" s="145">
        <v>600</v>
      </c>
      <c r="G582" s="69"/>
      <c r="H582" s="69"/>
      <c r="I582" s="69"/>
      <c r="J582" s="69"/>
      <c r="K582" s="85"/>
      <c r="L582" s="13"/>
      <c r="M582" s="85"/>
      <c r="N582" s="13">
        <f>N583</f>
        <v>65.5</v>
      </c>
      <c r="O582" s="85">
        <f t="shared" si="122"/>
        <v>65.5</v>
      </c>
      <c r="P582" s="13">
        <f>P583</f>
        <v>0</v>
      </c>
      <c r="Q582" s="85">
        <f t="shared" si="136"/>
        <v>65.5</v>
      </c>
      <c r="R582" s="13">
        <f>R583</f>
        <v>0</v>
      </c>
      <c r="S582" s="85">
        <f t="shared" si="135"/>
        <v>65.5</v>
      </c>
      <c r="T582" s="13">
        <f>T583</f>
        <v>0</v>
      </c>
      <c r="U582" s="85">
        <f t="shared" si="127"/>
        <v>65.5</v>
      </c>
    </row>
    <row r="583" spans="1:21">
      <c r="A583" s="61" t="str">
        <f ca="1">IF(ISERROR(MATCH(F583,Код_КВР,0)),"",INDIRECT(ADDRESS(MATCH(F583,Код_КВР,0)+1,2,,,"КВР")))</f>
        <v>Субсидии бюджетным учреждениям</v>
      </c>
      <c r="B583" s="145">
        <v>805</v>
      </c>
      <c r="C583" s="8" t="s">
        <v>216</v>
      </c>
      <c r="D583" s="8" t="s">
        <v>213</v>
      </c>
      <c r="E583" s="145" t="s">
        <v>626</v>
      </c>
      <c r="F583" s="145">
        <v>610</v>
      </c>
      <c r="G583" s="69"/>
      <c r="H583" s="69"/>
      <c r="I583" s="69"/>
      <c r="J583" s="69"/>
      <c r="K583" s="85"/>
      <c r="L583" s="13"/>
      <c r="M583" s="85"/>
      <c r="N583" s="13">
        <f>N584</f>
        <v>65.5</v>
      </c>
      <c r="O583" s="85">
        <f t="shared" si="122"/>
        <v>65.5</v>
      </c>
      <c r="P583" s="13">
        <f>P584</f>
        <v>0</v>
      </c>
      <c r="Q583" s="85">
        <f t="shared" si="136"/>
        <v>65.5</v>
      </c>
      <c r="R583" s="13">
        <f>R584</f>
        <v>0</v>
      </c>
      <c r="S583" s="85">
        <f t="shared" si="135"/>
        <v>65.5</v>
      </c>
      <c r="T583" s="13">
        <f>T584</f>
        <v>0</v>
      </c>
      <c r="U583" s="85">
        <f t="shared" si="127"/>
        <v>65.5</v>
      </c>
    </row>
    <row r="584" spans="1:21">
      <c r="A584" s="61" t="str">
        <f ca="1">IF(ISERROR(MATCH(F584,Код_КВР,0)),"",INDIRECT(ADDRESS(MATCH(F584,Код_КВР,0)+1,2,,,"КВР")))</f>
        <v>Субсидии бюджетным учреждениям на иные цели</v>
      </c>
      <c r="B584" s="145">
        <v>805</v>
      </c>
      <c r="C584" s="8" t="s">
        <v>216</v>
      </c>
      <c r="D584" s="8" t="s">
        <v>213</v>
      </c>
      <c r="E584" s="145" t="s">
        <v>626</v>
      </c>
      <c r="F584" s="145">
        <v>612</v>
      </c>
      <c r="G584" s="69"/>
      <c r="H584" s="69"/>
      <c r="I584" s="69"/>
      <c r="J584" s="69"/>
      <c r="K584" s="85"/>
      <c r="L584" s="13"/>
      <c r="M584" s="85"/>
      <c r="N584" s="13">
        <v>65.5</v>
      </c>
      <c r="O584" s="85">
        <f t="shared" si="122"/>
        <v>65.5</v>
      </c>
      <c r="P584" s="13"/>
      <c r="Q584" s="85">
        <f t="shared" si="136"/>
        <v>65.5</v>
      </c>
      <c r="R584" s="13"/>
      <c r="S584" s="85">
        <f t="shared" si="135"/>
        <v>65.5</v>
      </c>
      <c r="T584" s="13"/>
      <c r="U584" s="85">
        <f t="shared" si="127"/>
        <v>65.5</v>
      </c>
    </row>
    <row r="585" spans="1:21">
      <c r="A585" s="61" t="str">
        <f ca="1">IF(ISERROR(MATCH(C585,Код_Раздел,0)),"",INDIRECT(ADDRESS(MATCH(C585,Код_Раздел,0)+1,2,,,"Раздел")))</f>
        <v>Образование</v>
      </c>
      <c r="B585" s="145">
        <v>805</v>
      </c>
      <c r="C585" s="8" t="s">
        <v>195</v>
      </c>
      <c r="D585" s="8"/>
      <c r="E585" s="145"/>
      <c r="F585" s="145"/>
      <c r="G585" s="69">
        <f>G586+G626+G691+G707</f>
        <v>3015136.3</v>
      </c>
      <c r="H585" s="69">
        <f>H586+H626+H691+H707</f>
        <v>0</v>
      </c>
      <c r="I585" s="69">
        <f t="shared" si="130"/>
        <v>3015136.3</v>
      </c>
      <c r="J585" s="69">
        <f>J586+J626+J691+J707</f>
        <v>37566</v>
      </c>
      <c r="K585" s="85">
        <f t="shared" si="128"/>
        <v>3052702.3</v>
      </c>
      <c r="L585" s="13">
        <f>L586+L626+L691+L707</f>
        <v>-505</v>
      </c>
      <c r="M585" s="85">
        <f t="shared" si="121"/>
        <v>3052197.3</v>
      </c>
      <c r="N585" s="13">
        <f>N586+N626+N691+N707</f>
        <v>1917.5</v>
      </c>
      <c r="O585" s="85">
        <f t="shared" si="122"/>
        <v>3054114.8</v>
      </c>
      <c r="P585" s="13">
        <f>P586+P626+P691+P707</f>
        <v>10</v>
      </c>
      <c r="Q585" s="85">
        <f t="shared" si="136"/>
        <v>3054124.8</v>
      </c>
      <c r="R585" s="13">
        <f>R586+R626+R691+R707</f>
        <v>37185.000000000007</v>
      </c>
      <c r="S585" s="85">
        <f t="shared" si="135"/>
        <v>3091309.8</v>
      </c>
      <c r="T585" s="13">
        <f>T586+T626+T691+T707</f>
        <v>27766.600000000002</v>
      </c>
      <c r="U585" s="85">
        <f t="shared" si="127"/>
        <v>3119076.4</v>
      </c>
    </row>
    <row r="586" spans="1:21">
      <c r="A586" s="12" t="s">
        <v>258</v>
      </c>
      <c r="B586" s="145">
        <v>805</v>
      </c>
      <c r="C586" s="8" t="s">
        <v>195</v>
      </c>
      <c r="D586" s="8" t="s">
        <v>213</v>
      </c>
      <c r="E586" s="145"/>
      <c r="F586" s="145"/>
      <c r="G586" s="69">
        <f>G587</f>
        <v>1310375.8</v>
      </c>
      <c r="H586" s="69">
        <f>H587</f>
        <v>0</v>
      </c>
      <c r="I586" s="69">
        <f t="shared" si="130"/>
        <v>1310375.8</v>
      </c>
      <c r="J586" s="69">
        <f>J587+J618</f>
        <v>44229.299999999996</v>
      </c>
      <c r="K586" s="85">
        <f>I586+J586</f>
        <v>1354605.1</v>
      </c>
      <c r="L586" s="13">
        <f>L587+L618</f>
        <v>-167.8</v>
      </c>
      <c r="M586" s="85">
        <f t="shared" si="121"/>
        <v>1354437.3</v>
      </c>
      <c r="N586" s="13">
        <f>N587+N618</f>
        <v>-2500</v>
      </c>
      <c r="O586" s="85">
        <f t="shared" si="122"/>
        <v>1351937.3</v>
      </c>
      <c r="P586" s="13">
        <f>P587+P618</f>
        <v>0</v>
      </c>
      <c r="Q586" s="85">
        <f t="shared" si="136"/>
        <v>1351937.3</v>
      </c>
      <c r="R586" s="13">
        <f>R587+R618</f>
        <v>35857.700000000004</v>
      </c>
      <c r="S586" s="85">
        <f t="shared" si="135"/>
        <v>1387795</v>
      </c>
      <c r="T586" s="13">
        <f>T587+T618</f>
        <v>13210.600000000004</v>
      </c>
      <c r="U586" s="85">
        <f t="shared" si="127"/>
        <v>1401005.6</v>
      </c>
    </row>
    <row r="587" spans="1:21">
      <c r="A587" s="61" t="str">
        <f ca="1">IF(ISERROR(MATCH(E587,Код_КЦСР,0)),"",INDIRECT(ADDRESS(MATCH(E587,Код_КЦСР,0)+1,2,,,"КЦСР")))</f>
        <v>Муниципальная программа «Развитие образования» на 2013-2022 годы</v>
      </c>
      <c r="B587" s="145">
        <v>805</v>
      </c>
      <c r="C587" s="8" t="s">
        <v>195</v>
      </c>
      <c r="D587" s="8" t="s">
        <v>213</v>
      </c>
      <c r="E587" s="145" t="s">
        <v>271</v>
      </c>
      <c r="F587" s="145"/>
      <c r="G587" s="69">
        <f>G588+G607</f>
        <v>1310375.8</v>
      </c>
      <c r="H587" s="69">
        <f>H588+H607</f>
        <v>0</v>
      </c>
      <c r="I587" s="69">
        <f t="shared" si="130"/>
        <v>1310375.8</v>
      </c>
      <c r="J587" s="69">
        <f>J588+J607</f>
        <v>0</v>
      </c>
      <c r="K587" s="85">
        <f t="shared" si="128"/>
        <v>1310375.8</v>
      </c>
      <c r="L587" s="13">
        <f>L588+L607</f>
        <v>-167.8</v>
      </c>
      <c r="M587" s="85">
        <f t="shared" si="121"/>
        <v>1310208</v>
      </c>
      <c r="N587" s="13">
        <f>N588+N607</f>
        <v>-2500</v>
      </c>
      <c r="O587" s="85">
        <f t="shared" si="122"/>
        <v>1307708</v>
      </c>
      <c r="P587" s="13">
        <f>P588+P607</f>
        <v>0</v>
      </c>
      <c r="Q587" s="85">
        <f t="shared" si="136"/>
        <v>1307708</v>
      </c>
      <c r="R587" s="13">
        <f>R588+R601+R607</f>
        <v>35857.700000000004</v>
      </c>
      <c r="S587" s="85">
        <f t="shared" si="135"/>
        <v>1343565.7</v>
      </c>
      <c r="T587" s="13">
        <f>T588+T601+T607</f>
        <v>13210.600000000004</v>
      </c>
      <c r="U587" s="85">
        <f t="shared" si="127"/>
        <v>1356776.3</v>
      </c>
    </row>
    <row r="588" spans="1:21">
      <c r="A588" s="61" t="str">
        <f ca="1">IF(ISERROR(MATCH(E588,Код_КЦСР,0)),"",INDIRECT(ADDRESS(MATCH(E588,Код_КЦСР,0)+1,2,,,"КЦСР")))</f>
        <v>Дошкольное образование</v>
      </c>
      <c r="B588" s="145">
        <v>805</v>
      </c>
      <c r="C588" s="8" t="s">
        <v>195</v>
      </c>
      <c r="D588" s="8" t="s">
        <v>213</v>
      </c>
      <c r="E588" s="145" t="s">
        <v>278</v>
      </c>
      <c r="F588" s="145"/>
      <c r="G588" s="69">
        <f>G589+G595</f>
        <v>1304089.6000000001</v>
      </c>
      <c r="H588" s="69">
        <f>H589+H595</f>
        <v>0</v>
      </c>
      <c r="I588" s="69">
        <f t="shared" si="130"/>
        <v>1304089.6000000001</v>
      </c>
      <c r="J588" s="69">
        <f>J589+J595</f>
        <v>0</v>
      </c>
      <c r="K588" s="85">
        <f t="shared" si="128"/>
        <v>1304089.6000000001</v>
      </c>
      <c r="L588" s="13">
        <f>L589+L595</f>
        <v>-167.8</v>
      </c>
      <c r="M588" s="85">
        <f t="shared" ref="M588:M661" si="137">K588+L588</f>
        <v>1303921.8</v>
      </c>
      <c r="N588" s="13">
        <f>N589+N595</f>
        <v>-2500</v>
      </c>
      <c r="O588" s="85">
        <f t="shared" ref="O588:O661" si="138">M588+N588</f>
        <v>1301421.8</v>
      </c>
      <c r="P588" s="13">
        <f>P589+P595</f>
        <v>0</v>
      </c>
      <c r="Q588" s="85">
        <f t="shared" si="136"/>
        <v>1301421.8</v>
      </c>
      <c r="R588" s="13">
        <f>R589+R595</f>
        <v>30649.800000000003</v>
      </c>
      <c r="S588" s="85">
        <f t="shared" si="135"/>
        <v>1332071.6000000001</v>
      </c>
      <c r="T588" s="13">
        <f>T589+T595</f>
        <v>13306.000000000004</v>
      </c>
      <c r="U588" s="85">
        <f t="shared" si="127"/>
        <v>1345377.6</v>
      </c>
    </row>
    <row r="589" spans="1:21" ht="49.5">
      <c r="A589" s="61" t="str">
        <f ca="1">IF(ISERROR(MATCH(E589,Код_КЦСР,0)),"",INDIRECT(ADDRESS(MATCH(E589,Код_КЦСР,0)+1,2,,,"КЦСР")))</f>
        <v>Создание условий для осуществления присмотра и ухода за детьми в муниципальных дошкольных образовательных учреждениях, реализующих основную образовательную программу дошкольного образования</v>
      </c>
      <c r="B589" s="145">
        <v>805</v>
      </c>
      <c r="C589" s="8" t="s">
        <v>195</v>
      </c>
      <c r="D589" s="8" t="s">
        <v>213</v>
      </c>
      <c r="E589" s="145" t="s">
        <v>279</v>
      </c>
      <c r="F589" s="145"/>
      <c r="G589" s="69">
        <f>G590</f>
        <v>242839.90000000002</v>
      </c>
      <c r="H589" s="69">
        <f>H590</f>
        <v>0</v>
      </c>
      <c r="I589" s="69">
        <f t="shared" si="130"/>
        <v>242839.90000000002</v>
      </c>
      <c r="J589" s="69">
        <f>J590</f>
        <v>0</v>
      </c>
      <c r="K589" s="85">
        <f t="shared" si="128"/>
        <v>242839.90000000002</v>
      </c>
      <c r="L589" s="13">
        <f>L590</f>
        <v>-167.8</v>
      </c>
      <c r="M589" s="85">
        <f t="shared" si="137"/>
        <v>242672.10000000003</v>
      </c>
      <c r="N589" s="13">
        <f>N590</f>
        <v>-2500</v>
      </c>
      <c r="O589" s="85">
        <f t="shared" si="138"/>
        <v>240172.10000000003</v>
      </c>
      <c r="P589" s="13">
        <f>P590</f>
        <v>0</v>
      </c>
      <c r="Q589" s="85">
        <f t="shared" si="136"/>
        <v>240172.10000000003</v>
      </c>
      <c r="R589" s="13">
        <f>R590</f>
        <v>0</v>
      </c>
      <c r="S589" s="85">
        <f t="shared" si="135"/>
        <v>240172.10000000003</v>
      </c>
      <c r="T589" s="13">
        <f>T590</f>
        <v>0</v>
      </c>
      <c r="U589" s="85">
        <f t="shared" si="127"/>
        <v>240172.10000000003</v>
      </c>
    </row>
    <row r="590" spans="1:21" ht="33">
      <c r="A590" s="61" t="str">
        <f ca="1">IF(ISERROR(MATCH(F590,Код_КВР,0)),"",INDIRECT(ADDRESS(MATCH(F590,Код_КВР,0)+1,2,,,"КВР")))</f>
        <v>Предоставление субсидий бюджетным, автономным учреждениям и иным некоммерческим организациям</v>
      </c>
      <c r="B590" s="145">
        <v>805</v>
      </c>
      <c r="C590" s="8" t="s">
        <v>195</v>
      </c>
      <c r="D590" s="8" t="s">
        <v>213</v>
      </c>
      <c r="E590" s="145" t="s">
        <v>279</v>
      </c>
      <c r="F590" s="145">
        <v>600</v>
      </c>
      <c r="G590" s="69">
        <f>G591+G593</f>
        <v>242839.90000000002</v>
      </c>
      <c r="H590" s="69">
        <f>H591+H593</f>
        <v>0</v>
      </c>
      <c r="I590" s="69">
        <f t="shared" si="130"/>
        <v>242839.90000000002</v>
      </c>
      <c r="J590" s="69">
        <f>J591+J593</f>
        <v>0</v>
      </c>
      <c r="K590" s="85">
        <f t="shared" si="128"/>
        <v>242839.90000000002</v>
      </c>
      <c r="L590" s="13">
        <f>L591+L593</f>
        <v>-167.8</v>
      </c>
      <c r="M590" s="85">
        <f t="shared" si="137"/>
        <v>242672.10000000003</v>
      </c>
      <c r="N590" s="13">
        <f>N591+N593</f>
        <v>-2500</v>
      </c>
      <c r="O590" s="85">
        <f t="shared" si="138"/>
        <v>240172.10000000003</v>
      </c>
      <c r="P590" s="13">
        <f>P591+P593</f>
        <v>0</v>
      </c>
      <c r="Q590" s="85">
        <f t="shared" si="136"/>
        <v>240172.10000000003</v>
      </c>
      <c r="R590" s="13">
        <f>R591+R593</f>
        <v>0</v>
      </c>
      <c r="S590" s="85">
        <f t="shared" si="135"/>
        <v>240172.10000000003</v>
      </c>
      <c r="T590" s="13">
        <f>T591+T593</f>
        <v>0</v>
      </c>
      <c r="U590" s="85">
        <f t="shared" si="127"/>
        <v>240172.10000000003</v>
      </c>
    </row>
    <row r="591" spans="1:21">
      <c r="A591" s="61" t="str">
        <f ca="1">IF(ISERROR(MATCH(F591,Код_КВР,0)),"",INDIRECT(ADDRESS(MATCH(F591,Код_КВР,0)+1,2,,,"КВР")))</f>
        <v>Субсидии бюджетным учреждениям</v>
      </c>
      <c r="B591" s="145">
        <v>805</v>
      </c>
      <c r="C591" s="8" t="s">
        <v>195</v>
      </c>
      <c r="D591" s="8" t="s">
        <v>213</v>
      </c>
      <c r="E591" s="145" t="s">
        <v>279</v>
      </c>
      <c r="F591" s="145">
        <v>610</v>
      </c>
      <c r="G591" s="69">
        <f>G592</f>
        <v>221390.7</v>
      </c>
      <c r="H591" s="69">
        <f>H592</f>
        <v>0</v>
      </c>
      <c r="I591" s="69">
        <f t="shared" si="130"/>
        <v>221390.7</v>
      </c>
      <c r="J591" s="69">
        <f>J592</f>
        <v>0</v>
      </c>
      <c r="K591" s="85">
        <f t="shared" si="128"/>
        <v>221390.7</v>
      </c>
      <c r="L591" s="13">
        <f>L592</f>
        <v>0</v>
      </c>
      <c r="M591" s="85">
        <f t="shared" si="137"/>
        <v>221390.7</v>
      </c>
      <c r="N591" s="13">
        <f>N592</f>
        <v>-2500</v>
      </c>
      <c r="O591" s="85">
        <f t="shared" si="138"/>
        <v>218890.7</v>
      </c>
      <c r="P591" s="13">
        <f>P592</f>
        <v>0</v>
      </c>
      <c r="Q591" s="85">
        <f t="shared" si="136"/>
        <v>218890.7</v>
      </c>
      <c r="R591" s="13">
        <f>R592</f>
        <v>0</v>
      </c>
      <c r="S591" s="85">
        <f t="shared" si="135"/>
        <v>218890.7</v>
      </c>
      <c r="T591" s="13">
        <f>T592</f>
        <v>0</v>
      </c>
      <c r="U591" s="85">
        <f t="shared" si="127"/>
        <v>218890.7</v>
      </c>
    </row>
    <row r="592" spans="1:21" ht="49.5">
      <c r="A592" s="61" t="str">
        <f ca="1">IF(ISERROR(MATCH(F592,Код_КВР,0)),"",INDIRECT(ADDRESS(MATCH(F592,Код_КВР,0)+1,2,,,"КВР")))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592" s="145">
        <v>805</v>
      </c>
      <c r="C592" s="8" t="s">
        <v>195</v>
      </c>
      <c r="D592" s="8" t="s">
        <v>213</v>
      </c>
      <c r="E592" s="145" t="s">
        <v>279</v>
      </c>
      <c r="F592" s="145">
        <v>611</v>
      </c>
      <c r="G592" s="69">
        <v>221390.7</v>
      </c>
      <c r="H592" s="64"/>
      <c r="I592" s="69">
        <f t="shared" si="130"/>
        <v>221390.7</v>
      </c>
      <c r="J592" s="64"/>
      <c r="K592" s="85">
        <f t="shared" si="128"/>
        <v>221390.7</v>
      </c>
      <c r="L592" s="85"/>
      <c r="M592" s="85">
        <f t="shared" si="137"/>
        <v>221390.7</v>
      </c>
      <c r="N592" s="85">
        <v>-2500</v>
      </c>
      <c r="O592" s="85">
        <f t="shared" si="138"/>
        <v>218890.7</v>
      </c>
      <c r="P592" s="85"/>
      <c r="Q592" s="85">
        <f t="shared" si="136"/>
        <v>218890.7</v>
      </c>
      <c r="R592" s="85"/>
      <c r="S592" s="85">
        <f t="shared" si="135"/>
        <v>218890.7</v>
      </c>
      <c r="T592" s="85"/>
      <c r="U592" s="85">
        <f t="shared" si="127"/>
        <v>218890.7</v>
      </c>
    </row>
    <row r="593" spans="1:23">
      <c r="A593" s="61" t="str">
        <f ca="1">IF(ISERROR(MATCH(F593,Код_КВР,0)),"",INDIRECT(ADDRESS(MATCH(F593,Код_КВР,0)+1,2,,,"КВР")))</f>
        <v>Субсидии автономным учреждениям</v>
      </c>
      <c r="B593" s="145">
        <v>805</v>
      </c>
      <c r="C593" s="8" t="s">
        <v>195</v>
      </c>
      <c r="D593" s="8" t="s">
        <v>213</v>
      </c>
      <c r="E593" s="145" t="s">
        <v>279</v>
      </c>
      <c r="F593" s="145">
        <v>620</v>
      </c>
      <c r="G593" s="69">
        <f>G594</f>
        <v>21449.200000000001</v>
      </c>
      <c r="H593" s="69">
        <f>H594</f>
        <v>0</v>
      </c>
      <c r="I593" s="69">
        <f t="shared" si="130"/>
        <v>21449.200000000001</v>
      </c>
      <c r="J593" s="69">
        <f>J594</f>
        <v>0</v>
      </c>
      <c r="K593" s="85">
        <f t="shared" si="128"/>
        <v>21449.200000000001</v>
      </c>
      <c r="L593" s="13">
        <f>L594</f>
        <v>-167.8</v>
      </c>
      <c r="M593" s="85">
        <f t="shared" si="137"/>
        <v>21281.4</v>
      </c>
      <c r="N593" s="13">
        <f>N594</f>
        <v>0</v>
      </c>
      <c r="O593" s="85">
        <f t="shared" si="138"/>
        <v>21281.4</v>
      </c>
      <c r="P593" s="13">
        <f>P594</f>
        <v>0</v>
      </c>
      <c r="Q593" s="85">
        <f t="shared" si="136"/>
        <v>21281.4</v>
      </c>
      <c r="R593" s="13">
        <f>R594</f>
        <v>0</v>
      </c>
      <c r="S593" s="85">
        <f t="shared" si="135"/>
        <v>21281.4</v>
      </c>
      <c r="T593" s="13">
        <f>T594</f>
        <v>0</v>
      </c>
      <c r="U593" s="85">
        <f t="shared" si="127"/>
        <v>21281.4</v>
      </c>
    </row>
    <row r="594" spans="1:23" ht="49.5">
      <c r="A594" s="61" t="str">
        <f ca="1">IF(ISERROR(MATCH(F594,Код_КВР,0)),"",INDIRECT(ADDRESS(MATCH(F594,Код_КВР,0)+1,2,,,"КВР")))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594" s="145">
        <v>805</v>
      </c>
      <c r="C594" s="8" t="s">
        <v>195</v>
      </c>
      <c r="D594" s="8" t="s">
        <v>213</v>
      </c>
      <c r="E594" s="145" t="s">
        <v>279</v>
      </c>
      <c r="F594" s="145">
        <v>621</v>
      </c>
      <c r="G594" s="69">
        <v>21449.200000000001</v>
      </c>
      <c r="H594" s="64"/>
      <c r="I594" s="69">
        <f t="shared" si="130"/>
        <v>21449.200000000001</v>
      </c>
      <c r="J594" s="64"/>
      <c r="K594" s="85">
        <f t="shared" si="128"/>
        <v>21449.200000000001</v>
      </c>
      <c r="L594" s="85">
        <v>-167.8</v>
      </c>
      <c r="M594" s="85">
        <f t="shared" si="137"/>
        <v>21281.4</v>
      </c>
      <c r="N594" s="85"/>
      <c r="O594" s="85">
        <f t="shared" si="138"/>
        <v>21281.4</v>
      </c>
      <c r="P594" s="85"/>
      <c r="Q594" s="85">
        <f t="shared" si="136"/>
        <v>21281.4</v>
      </c>
      <c r="R594" s="85"/>
      <c r="S594" s="85">
        <f t="shared" si="135"/>
        <v>21281.4</v>
      </c>
      <c r="T594" s="85"/>
      <c r="U594" s="85">
        <f t="shared" si="127"/>
        <v>21281.4</v>
      </c>
    </row>
    <row r="595" spans="1:23" ht="49.5">
      <c r="A595" s="61" t="str">
        <f ca="1">IF(ISERROR(MATCH(E595,Код_КЦСР,0)),"",INDIRECT(ADDRESS(MATCH(E595,Код_КЦСР,0)+1,2,,,"КЦСР")))</f>
        <v>Организация предоставления общедоступного и бесплатного дошкольного образования в муниципальных дошкольных образовательных учреждениях за счет субвенций из областного бюджета</v>
      </c>
      <c r="B595" s="145">
        <v>805</v>
      </c>
      <c r="C595" s="8" t="s">
        <v>195</v>
      </c>
      <c r="D595" s="8" t="s">
        <v>213</v>
      </c>
      <c r="E595" s="145" t="s">
        <v>427</v>
      </c>
      <c r="F595" s="145"/>
      <c r="G595" s="69">
        <f>G596</f>
        <v>1061249.7</v>
      </c>
      <c r="H595" s="69">
        <f>H596</f>
        <v>0</v>
      </c>
      <c r="I595" s="69">
        <f t="shared" si="130"/>
        <v>1061249.7</v>
      </c>
      <c r="J595" s="69">
        <f>J596</f>
        <v>0</v>
      </c>
      <c r="K595" s="85">
        <f t="shared" si="128"/>
        <v>1061249.7</v>
      </c>
      <c r="L595" s="13">
        <f>L596</f>
        <v>0</v>
      </c>
      <c r="M595" s="85">
        <f t="shared" si="137"/>
        <v>1061249.7</v>
      </c>
      <c r="N595" s="13">
        <f>N596</f>
        <v>0</v>
      </c>
      <c r="O595" s="85">
        <f t="shared" si="138"/>
        <v>1061249.7</v>
      </c>
      <c r="P595" s="13">
        <f>P596</f>
        <v>0</v>
      </c>
      <c r="Q595" s="85">
        <f t="shared" si="136"/>
        <v>1061249.7</v>
      </c>
      <c r="R595" s="13">
        <f>R596</f>
        <v>30649.800000000003</v>
      </c>
      <c r="S595" s="85">
        <f t="shared" si="135"/>
        <v>1091899.5</v>
      </c>
      <c r="T595" s="13">
        <f>T596</f>
        <v>13306.000000000004</v>
      </c>
      <c r="U595" s="85">
        <f t="shared" si="127"/>
        <v>1105205.5</v>
      </c>
    </row>
    <row r="596" spans="1:23" ht="33">
      <c r="A596" s="61" t="str">
        <f ca="1">IF(ISERROR(MATCH(F596,Код_КВР,0)),"",INDIRECT(ADDRESS(MATCH(F596,Код_КВР,0)+1,2,,,"КВР")))</f>
        <v>Предоставление субсидий бюджетным, автономным учреждениям и иным некоммерческим организациям</v>
      </c>
      <c r="B596" s="145">
        <v>805</v>
      </c>
      <c r="C596" s="8" t="s">
        <v>195</v>
      </c>
      <c r="D596" s="8" t="s">
        <v>213</v>
      </c>
      <c r="E596" s="145" t="s">
        <v>427</v>
      </c>
      <c r="F596" s="145">
        <v>600</v>
      </c>
      <c r="G596" s="69">
        <f>G597+G599</f>
        <v>1061249.7</v>
      </c>
      <c r="H596" s="69">
        <f>H597+H599</f>
        <v>0</v>
      </c>
      <c r="I596" s="69">
        <f t="shared" si="130"/>
        <v>1061249.7</v>
      </c>
      <c r="J596" s="69">
        <f>J597+J599</f>
        <v>0</v>
      </c>
      <c r="K596" s="85">
        <f t="shared" si="128"/>
        <v>1061249.7</v>
      </c>
      <c r="L596" s="13">
        <f>L597+L599</f>
        <v>0</v>
      </c>
      <c r="M596" s="85">
        <f t="shared" si="137"/>
        <v>1061249.7</v>
      </c>
      <c r="N596" s="13">
        <f>N597+N599</f>
        <v>0</v>
      </c>
      <c r="O596" s="85">
        <f t="shared" si="138"/>
        <v>1061249.7</v>
      </c>
      <c r="P596" s="13">
        <f>P597+P599</f>
        <v>0</v>
      </c>
      <c r="Q596" s="85">
        <f t="shared" si="136"/>
        <v>1061249.7</v>
      </c>
      <c r="R596" s="13">
        <f>R597+R599</f>
        <v>30649.800000000003</v>
      </c>
      <c r="S596" s="85">
        <f t="shared" si="135"/>
        <v>1091899.5</v>
      </c>
      <c r="T596" s="13">
        <f>T597+T599</f>
        <v>13306.000000000004</v>
      </c>
      <c r="U596" s="85">
        <f t="shared" si="127"/>
        <v>1105205.5</v>
      </c>
    </row>
    <row r="597" spans="1:23">
      <c r="A597" s="61" t="str">
        <f ca="1">IF(ISERROR(MATCH(F597,Код_КВР,0)),"",INDIRECT(ADDRESS(MATCH(F597,Код_КВР,0)+1,2,,,"КВР")))</f>
        <v>Субсидии бюджетным учреждениям</v>
      </c>
      <c r="B597" s="145">
        <v>805</v>
      </c>
      <c r="C597" s="8" t="s">
        <v>195</v>
      </c>
      <c r="D597" s="8" t="s">
        <v>213</v>
      </c>
      <c r="E597" s="145" t="s">
        <v>427</v>
      </c>
      <c r="F597" s="145">
        <v>610</v>
      </c>
      <c r="G597" s="69">
        <f>G598</f>
        <v>997794.8</v>
      </c>
      <c r="H597" s="69">
        <f>H598</f>
        <v>0</v>
      </c>
      <c r="I597" s="69">
        <f t="shared" si="130"/>
        <v>997794.8</v>
      </c>
      <c r="J597" s="69">
        <f>J598</f>
        <v>0</v>
      </c>
      <c r="K597" s="85">
        <f t="shared" si="128"/>
        <v>997794.8</v>
      </c>
      <c r="L597" s="13">
        <f>L598</f>
        <v>0</v>
      </c>
      <c r="M597" s="85">
        <f t="shared" si="137"/>
        <v>997794.8</v>
      </c>
      <c r="N597" s="13">
        <f>N598</f>
        <v>0</v>
      </c>
      <c r="O597" s="85">
        <f t="shared" si="138"/>
        <v>997794.8</v>
      </c>
      <c r="P597" s="13">
        <f>P598</f>
        <v>0</v>
      </c>
      <c r="Q597" s="85">
        <f t="shared" si="136"/>
        <v>997794.8</v>
      </c>
      <c r="R597" s="13">
        <f>R598</f>
        <v>28969.300000000003</v>
      </c>
      <c r="S597" s="85">
        <f t="shared" si="135"/>
        <v>1026764.1000000001</v>
      </c>
      <c r="T597" s="13">
        <f>T598</f>
        <v>16536.800000000003</v>
      </c>
      <c r="U597" s="85">
        <f t="shared" si="127"/>
        <v>1043300.9000000001</v>
      </c>
    </row>
    <row r="598" spans="1:23" ht="49.5">
      <c r="A598" s="61" t="str">
        <f ca="1">IF(ISERROR(MATCH(F598,Код_КВР,0)),"",INDIRECT(ADDRESS(MATCH(F598,Код_КВР,0)+1,2,,,"КВР")))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598" s="145">
        <v>805</v>
      </c>
      <c r="C598" s="8" t="s">
        <v>195</v>
      </c>
      <c r="D598" s="8" t="s">
        <v>213</v>
      </c>
      <c r="E598" s="145" t="s">
        <v>427</v>
      </c>
      <c r="F598" s="145">
        <v>611</v>
      </c>
      <c r="G598" s="69">
        <v>997794.8</v>
      </c>
      <c r="H598" s="64"/>
      <c r="I598" s="69">
        <f t="shared" si="130"/>
        <v>997794.8</v>
      </c>
      <c r="J598" s="64"/>
      <c r="K598" s="85">
        <f t="shared" si="128"/>
        <v>997794.8</v>
      </c>
      <c r="L598" s="85"/>
      <c r="M598" s="85">
        <f t="shared" si="137"/>
        <v>997794.8</v>
      </c>
      <c r="N598" s="85"/>
      <c r="O598" s="85">
        <f t="shared" si="138"/>
        <v>997794.8</v>
      </c>
      <c r="P598" s="85"/>
      <c r="Q598" s="85">
        <f t="shared" si="136"/>
        <v>997794.8</v>
      </c>
      <c r="R598" s="85">
        <f>28410.9+558.4</f>
        <v>28969.300000000003</v>
      </c>
      <c r="S598" s="85">
        <f t="shared" si="135"/>
        <v>1026764.1000000001</v>
      </c>
      <c r="T598" s="85">
        <f>1076.2-4459.5+16828.4-53.3+3145</f>
        <v>16536.800000000003</v>
      </c>
      <c r="U598" s="85">
        <f t="shared" si="127"/>
        <v>1043300.9000000001</v>
      </c>
      <c r="W598" s="67"/>
    </row>
    <row r="599" spans="1:23">
      <c r="A599" s="61" t="str">
        <f ca="1">IF(ISERROR(MATCH(F599,Код_КВР,0)),"",INDIRECT(ADDRESS(MATCH(F599,Код_КВР,0)+1,2,,,"КВР")))</f>
        <v>Субсидии автономным учреждениям</v>
      </c>
      <c r="B599" s="145">
        <v>805</v>
      </c>
      <c r="C599" s="8" t="s">
        <v>195</v>
      </c>
      <c r="D599" s="8" t="s">
        <v>213</v>
      </c>
      <c r="E599" s="145" t="s">
        <v>427</v>
      </c>
      <c r="F599" s="145">
        <v>620</v>
      </c>
      <c r="G599" s="69">
        <f>G600</f>
        <v>63454.9</v>
      </c>
      <c r="H599" s="69">
        <f>H600</f>
        <v>0</v>
      </c>
      <c r="I599" s="69">
        <f t="shared" si="130"/>
        <v>63454.9</v>
      </c>
      <c r="J599" s="69">
        <f>J600</f>
        <v>0</v>
      </c>
      <c r="K599" s="85">
        <f t="shared" si="128"/>
        <v>63454.9</v>
      </c>
      <c r="L599" s="13">
        <f>L600</f>
        <v>0</v>
      </c>
      <c r="M599" s="85">
        <f t="shared" si="137"/>
        <v>63454.9</v>
      </c>
      <c r="N599" s="13">
        <f>N600</f>
        <v>0</v>
      </c>
      <c r="O599" s="85">
        <f t="shared" si="138"/>
        <v>63454.9</v>
      </c>
      <c r="P599" s="13">
        <f>P600</f>
        <v>0</v>
      </c>
      <c r="Q599" s="85">
        <f t="shared" si="136"/>
        <v>63454.9</v>
      </c>
      <c r="R599" s="13">
        <f>R600</f>
        <v>1680.5</v>
      </c>
      <c r="S599" s="85">
        <f t="shared" si="135"/>
        <v>65135.4</v>
      </c>
      <c r="T599" s="13">
        <f>T600</f>
        <v>-3230.8</v>
      </c>
      <c r="U599" s="85">
        <f t="shared" si="127"/>
        <v>61904.6</v>
      </c>
    </row>
    <row r="600" spans="1:23" ht="49.5">
      <c r="A600" s="61" t="str">
        <f ca="1">IF(ISERROR(MATCH(F600,Код_КВР,0)),"",INDIRECT(ADDRESS(MATCH(F600,Код_КВР,0)+1,2,,,"КВР")))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00" s="145">
        <v>805</v>
      </c>
      <c r="C600" s="8" t="s">
        <v>195</v>
      </c>
      <c r="D600" s="8" t="s">
        <v>213</v>
      </c>
      <c r="E600" s="145" t="s">
        <v>427</v>
      </c>
      <c r="F600" s="145">
        <v>621</v>
      </c>
      <c r="G600" s="69">
        <v>63454.9</v>
      </c>
      <c r="H600" s="64"/>
      <c r="I600" s="69">
        <f t="shared" si="130"/>
        <v>63454.9</v>
      </c>
      <c r="J600" s="64"/>
      <c r="K600" s="85">
        <f t="shared" si="128"/>
        <v>63454.9</v>
      </c>
      <c r="L600" s="85"/>
      <c r="M600" s="85">
        <f t="shared" si="137"/>
        <v>63454.9</v>
      </c>
      <c r="N600" s="85"/>
      <c r="O600" s="85">
        <f t="shared" si="138"/>
        <v>63454.9</v>
      </c>
      <c r="P600" s="85"/>
      <c r="Q600" s="85">
        <f t="shared" si="136"/>
        <v>63454.9</v>
      </c>
      <c r="R600" s="85">
        <v>1680.5</v>
      </c>
      <c r="S600" s="85">
        <f t="shared" si="135"/>
        <v>65135.4</v>
      </c>
      <c r="T600" s="85">
        <f>-1076.2+990.4-3145</f>
        <v>-3230.8</v>
      </c>
      <c r="U600" s="85">
        <f t="shared" si="127"/>
        <v>61904.6</v>
      </c>
      <c r="W600" s="67"/>
    </row>
    <row r="601" spans="1:23" ht="99">
      <c r="A601" s="61" t="str">
        <f ca="1">IF(ISERROR(MATCH(E601,Код_КЦСР,0)),"",INDIRECT(ADDRESS(MATCH(E601,Код_КЦСР,0)+1,2,,,"КЦСР")))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 за счет субвенций из областного бюджета</v>
      </c>
      <c r="B601" s="145">
        <v>805</v>
      </c>
      <c r="C601" s="8" t="s">
        <v>195</v>
      </c>
      <c r="D601" s="8" t="s">
        <v>213</v>
      </c>
      <c r="E601" s="145" t="s">
        <v>437</v>
      </c>
      <c r="F601" s="145"/>
      <c r="G601" s="69"/>
      <c r="H601" s="64"/>
      <c r="I601" s="69"/>
      <c r="J601" s="64"/>
      <c r="K601" s="85"/>
      <c r="L601" s="85"/>
      <c r="M601" s="85"/>
      <c r="N601" s="85"/>
      <c r="O601" s="85"/>
      <c r="P601" s="85"/>
      <c r="Q601" s="85"/>
      <c r="R601" s="85">
        <f>R602</f>
        <v>2943.8999999999996</v>
      </c>
      <c r="S601" s="85">
        <f t="shared" ref="S601:S606" si="139">Q601+R601</f>
        <v>2943.8999999999996</v>
      </c>
      <c r="T601" s="85">
        <f>T602</f>
        <v>-95.4</v>
      </c>
      <c r="U601" s="85">
        <f t="shared" si="127"/>
        <v>2848.4999999999995</v>
      </c>
    </row>
    <row r="602" spans="1:23" ht="33">
      <c r="A602" s="61" t="str">
        <f t="shared" ref="A602:A606" ca="1" si="140">IF(ISERROR(MATCH(F602,Код_КВР,0)),"",INDIRECT(ADDRESS(MATCH(F602,Код_КВР,0)+1,2,,,"КВР")))</f>
        <v>Предоставление субсидий бюджетным, автономным учреждениям и иным некоммерческим организациям</v>
      </c>
      <c r="B602" s="145">
        <v>805</v>
      </c>
      <c r="C602" s="8" t="s">
        <v>195</v>
      </c>
      <c r="D602" s="8" t="s">
        <v>213</v>
      </c>
      <c r="E602" s="145" t="s">
        <v>437</v>
      </c>
      <c r="F602" s="145">
        <v>600</v>
      </c>
      <c r="G602" s="69"/>
      <c r="H602" s="64"/>
      <c r="I602" s="69"/>
      <c r="J602" s="64"/>
      <c r="K602" s="85"/>
      <c r="L602" s="85"/>
      <c r="M602" s="85"/>
      <c r="N602" s="85"/>
      <c r="O602" s="85"/>
      <c r="P602" s="85"/>
      <c r="Q602" s="85"/>
      <c r="R602" s="85">
        <f>R603+R605</f>
        <v>2943.8999999999996</v>
      </c>
      <c r="S602" s="85">
        <f t="shared" si="139"/>
        <v>2943.8999999999996</v>
      </c>
      <c r="T602" s="85">
        <f>T603+T605</f>
        <v>-95.4</v>
      </c>
      <c r="U602" s="85">
        <f t="shared" ref="U602:U665" si="141">S602+T602</f>
        <v>2848.4999999999995</v>
      </c>
    </row>
    <row r="603" spans="1:23">
      <c r="A603" s="61" t="str">
        <f t="shared" ca="1" si="140"/>
        <v>Субсидии бюджетным учреждениям</v>
      </c>
      <c r="B603" s="145">
        <v>805</v>
      </c>
      <c r="C603" s="8" t="s">
        <v>195</v>
      </c>
      <c r="D603" s="8" t="s">
        <v>213</v>
      </c>
      <c r="E603" s="145" t="s">
        <v>437</v>
      </c>
      <c r="F603" s="145">
        <v>610</v>
      </c>
      <c r="G603" s="69"/>
      <c r="H603" s="64"/>
      <c r="I603" s="69"/>
      <c r="J603" s="64"/>
      <c r="K603" s="85"/>
      <c r="L603" s="85"/>
      <c r="M603" s="85"/>
      <c r="N603" s="85"/>
      <c r="O603" s="85"/>
      <c r="P603" s="85"/>
      <c r="Q603" s="85"/>
      <c r="R603" s="85">
        <f>R604</f>
        <v>2843.8999999999996</v>
      </c>
      <c r="S603" s="85">
        <f t="shared" si="139"/>
        <v>2843.8999999999996</v>
      </c>
      <c r="T603" s="85">
        <f>T604</f>
        <v>0</v>
      </c>
      <c r="U603" s="85">
        <f t="shared" si="141"/>
        <v>2843.8999999999996</v>
      </c>
    </row>
    <row r="604" spans="1:23" ht="49.5">
      <c r="A604" s="61" t="str">
        <f t="shared" ca="1" si="140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04" s="145">
        <v>805</v>
      </c>
      <c r="C604" s="8" t="s">
        <v>195</v>
      </c>
      <c r="D604" s="8" t="s">
        <v>213</v>
      </c>
      <c r="E604" s="145" t="s">
        <v>437</v>
      </c>
      <c r="F604" s="145">
        <v>611</v>
      </c>
      <c r="G604" s="69"/>
      <c r="H604" s="64"/>
      <c r="I604" s="69"/>
      <c r="J604" s="64"/>
      <c r="K604" s="85"/>
      <c r="L604" s="85"/>
      <c r="M604" s="85"/>
      <c r="N604" s="85"/>
      <c r="O604" s="85"/>
      <c r="P604" s="85"/>
      <c r="Q604" s="85"/>
      <c r="R604" s="85">
        <f>2315.1+528.8</f>
        <v>2843.8999999999996</v>
      </c>
      <c r="S604" s="85">
        <f t="shared" si="139"/>
        <v>2843.8999999999996</v>
      </c>
      <c r="T604" s="85"/>
      <c r="U604" s="85">
        <f t="shared" si="141"/>
        <v>2843.8999999999996</v>
      </c>
    </row>
    <row r="605" spans="1:23">
      <c r="A605" s="61" t="str">
        <f t="shared" ca="1" si="140"/>
        <v>Субсидии автономным учреждениям</v>
      </c>
      <c r="B605" s="145">
        <v>805</v>
      </c>
      <c r="C605" s="8" t="s">
        <v>195</v>
      </c>
      <c r="D605" s="8" t="s">
        <v>213</v>
      </c>
      <c r="E605" s="145" t="s">
        <v>437</v>
      </c>
      <c r="F605" s="145">
        <v>620</v>
      </c>
      <c r="G605" s="69"/>
      <c r="H605" s="64"/>
      <c r="I605" s="69"/>
      <c r="J605" s="64"/>
      <c r="K605" s="85"/>
      <c r="L605" s="85"/>
      <c r="M605" s="85"/>
      <c r="N605" s="85"/>
      <c r="O605" s="85"/>
      <c r="P605" s="85"/>
      <c r="Q605" s="85"/>
      <c r="R605" s="85">
        <f>R606</f>
        <v>100</v>
      </c>
      <c r="S605" s="85">
        <f t="shared" si="139"/>
        <v>100</v>
      </c>
      <c r="T605" s="85">
        <f>T606</f>
        <v>-95.4</v>
      </c>
      <c r="U605" s="85">
        <f t="shared" si="141"/>
        <v>4.5999999999999943</v>
      </c>
    </row>
    <row r="606" spans="1:23" ht="49.5">
      <c r="A606" s="61" t="str">
        <f t="shared" ca="1" si="140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06" s="145">
        <v>805</v>
      </c>
      <c r="C606" s="8" t="s">
        <v>195</v>
      </c>
      <c r="D606" s="8" t="s">
        <v>213</v>
      </c>
      <c r="E606" s="145" t="s">
        <v>437</v>
      </c>
      <c r="F606" s="145">
        <v>621</v>
      </c>
      <c r="G606" s="69"/>
      <c r="H606" s="64"/>
      <c r="I606" s="69"/>
      <c r="J606" s="64"/>
      <c r="K606" s="85"/>
      <c r="L606" s="85"/>
      <c r="M606" s="85"/>
      <c r="N606" s="85"/>
      <c r="O606" s="85"/>
      <c r="P606" s="85"/>
      <c r="Q606" s="85"/>
      <c r="R606" s="85">
        <f>100</f>
        <v>100</v>
      </c>
      <c r="S606" s="85">
        <f t="shared" si="139"/>
        <v>100</v>
      </c>
      <c r="T606" s="85">
        <f>-95.4</f>
        <v>-95.4</v>
      </c>
      <c r="U606" s="85">
        <f t="shared" si="141"/>
        <v>4.5999999999999943</v>
      </c>
    </row>
    <row r="607" spans="1:23">
      <c r="A607" s="61" t="str">
        <f ca="1">IF(ISERROR(MATCH(E607,Код_КЦСР,0)),"",INDIRECT(ADDRESS(MATCH(E607,Код_КЦСР,0)+1,2,,,"КЦСР")))</f>
        <v>Кадровое обеспечение муниципальной системы образования</v>
      </c>
      <c r="B607" s="145">
        <v>805</v>
      </c>
      <c r="C607" s="8" t="s">
        <v>195</v>
      </c>
      <c r="D607" s="8" t="s">
        <v>213</v>
      </c>
      <c r="E607" s="145" t="s">
        <v>291</v>
      </c>
      <c r="F607" s="145"/>
      <c r="G607" s="69">
        <f>G608+G613</f>
        <v>6286.2</v>
      </c>
      <c r="H607" s="69">
        <f>H608+H613</f>
        <v>0</v>
      </c>
      <c r="I607" s="69">
        <f t="shared" si="130"/>
        <v>6286.2</v>
      </c>
      <c r="J607" s="69">
        <f>J608+J613</f>
        <v>0</v>
      </c>
      <c r="K607" s="85">
        <f t="shared" si="128"/>
        <v>6286.2</v>
      </c>
      <c r="L607" s="13">
        <f>L608+L613</f>
        <v>0</v>
      </c>
      <c r="M607" s="85">
        <f t="shared" si="137"/>
        <v>6286.2</v>
      </c>
      <c r="N607" s="13">
        <f>N608+N613</f>
        <v>0</v>
      </c>
      <c r="O607" s="85">
        <f t="shared" si="138"/>
        <v>6286.2</v>
      </c>
      <c r="P607" s="13">
        <f>P608+P613</f>
        <v>0</v>
      </c>
      <c r="Q607" s="85">
        <f t="shared" si="136"/>
        <v>6286.2</v>
      </c>
      <c r="R607" s="13">
        <f>R608+R613</f>
        <v>2264</v>
      </c>
      <c r="S607" s="85">
        <f t="shared" si="135"/>
        <v>8550.2000000000007</v>
      </c>
      <c r="T607" s="13">
        <f>T608+T613</f>
        <v>0</v>
      </c>
      <c r="U607" s="85">
        <f t="shared" si="141"/>
        <v>8550.2000000000007</v>
      </c>
    </row>
    <row r="608" spans="1:23" ht="33">
      <c r="A608" s="61" t="str">
        <f ca="1">IF(ISERROR(MATCH(E608,Код_КЦСР,0)),"",INDIRECT(ADDRESS(MATCH(E608,Код_КЦСР,0)+1,2,,,"КЦСР")))</f>
        <v xml:space="preserve">Осуществление выплат городских премий работникам муниципальных образовательных учреждений     </v>
      </c>
      <c r="B608" s="145">
        <v>805</v>
      </c>
      <c r="C608" s="8" t="s">
        <v>195</v>
      </c>
      <c r="D608" s="8" t="s">
        <v>213</v>
      </c>
      <c r="E608" s="145" t="s">
        <v>293</v>
      </c>
      <c r="F608" s="145"/>
      <c r="G608" s="69">
        <f t="shared" ref="G608:T611" si="142">G609</f>
        <v>130.19999999999999</v>
      </c>
      <c r="H608" s="69">
        <f t="shared" si="142"/>
        <v>0</v>
      </c>
      <c r="I608" s="69">
        <f t="shared" si="130"/>
        <v>130.19999999999999</v>
      </c>
      <c r="J608" s="69">
        <f t="shared" si="142"/>
        <v>0</v>
      </c>
      <c r="K608" s="85">
        <f t="shared" si="128"/>
        <v>130.19999999999999</v>
      </c>
      <c r="L608" s="13">
        <f t="shared" si="142"/>
        <v>0</v>
      </c>
      <c r="M608" s="85">
        <f t="shared" si="137"/>
        <v>130.19999999999999</v>
      </c>
      <c r="N608" s="13">
        <f t="shared" si="142"/>
        <v>0</v>
      </c>
      <c r="O608" s="85">
        <f t="shared" si="138"/>
        <v>130.19999999999999</v>
      </c>
      <c r="P608" s="13">
        <f t="shared" si="142"/>
        <v>0</v>
      </c>
      <c r="Q608" s="85">
        <f t="shared" si="136"/>
        <v>130.19999999999999</v>
      </c>
      <c r="R608" s="13">
        <f t="shared" si="142"/>
        <v>0</v>
      </c>
      <c r="S608" s="85">
        <f t="shared" si="135"/>
        <v>130.19999999999999</v>
      </c>
      <c r="T608" s="13">
        <f t="shared" si="142"/>
        <v>0</v>
      </c>
      <c r="U608" s="85">
        <f t="shared" si="141"/>
        <v>130.19999999999999</v>
      </c>
    </row>
    <row r="609" spans="1:21" ht="49.5">
      <c r="A609" s="61" t="str">
        <f ca="1">IF(ISERROR(MATCH(E609,Код_КЦСР,0)),"",INDIRECT(ADDRESS(MATCH(E609,Код_КЦСР,0)+1,2,,,"КЦСР")))</f>
        <v>Городские премии имени И.А. Милютина в области образования в соответствии с постановлением Череповецкой городской Думы от 23.09.2003 № 120</v>
      </c>
      <c r="B609" s="145">
        <v>805</v>
      </c>
      <c r="C609" s="8" t="s">
        <v>195</v>
      </c>
      <c r="D609" s="8" t="s">
        <v>213</v>
      </c>
      <c r="E609" s="145" t="s">
        <v>295</v>
      </c>
      <c r="F609" s="145"/>
      <c r="G609" s="69">
        <f t="shared" si="142"/>
        <v>130.19999999999999</v>
      </c>
      <c r="H609" s="69">
        <f t="shared" si="142"/>
        <v>0</v>
      </c>
      <c r="I609" s="69">
        <f t="shared" si="130"/>
        <v>130.19999999999999</v>
      </c>
      <c r="J609" s="69">
        <f t="shared" si="142"/>
        <v>0</v>
      </c>
      <c r="K609" s="85">
        <f t="shared" si="128"/>
        <v>130.19999999999999</v>
      </c>
      <c r="L609" s="13">
        <f t="shared" si="142"/>
        <v>0</v>
      </c>
      <c r="M609" s="85">
        <f t="shared" si="137"/>
        <v>130.19999999999999</v>
      </c>
      <c r="N609" s="13">
        <f t="shared" si="142"/>
        <v>0</v>
      </c>
      <c r="O609" s="85">
        <f t="shared" si="138"/>
        <v>130.19999999999999</v>
      </c>
      <c r="P609" s="13">
        <f t="shared" si="142"/>
        <v>0</v>
      </c>
      <c r="Q609" s="85">
        <f t="shared" si="136"/>
        <v>130.19999999999999</v>
      </c>
      <c r="R609" s="13">
        <f t="shared" si="142"/>
        <v>0</v>
      </c>
      <c r="S609" s="85">
        <f t="shared" si="135"/>
        <v>130.19999999999999</v>
      </c>
      <c r="T609" s="13">
        <f t="shared" si="142"/>
        <v>0</v>
      </c>
      <c r="U609" s="85">
        <f t="shared" si="141"/>
        <v>130.19999999999999</v>
      </c>
    </row>
    <row r="610" spans="1:21">
      <c r="A610" s="61" t="str">
        <f ca="1">IF(ISERROR(MATCH(F610,Код_КВР,0)),"",INDIRECT(ADDRESS(MATCH(F610,Код_КВР,0)+1,2,,,"КВР")))</f>
        <v>Социальное обеспечение и иные выплаты населению</v>
      </c>
      <c r="B610" s="145">
        <v>805</v>
      </c>
      <c r="C610" s="8" t="s">
        <v>195</v>
      </c>
      <c r="D610" s="8" t="s">
        <v>213</v>
      </c>
      <c r="E610" s="145" t="s">
        <v>295</v>
      </c>
      <c r="F610" s="145">
        <v>300</v>
      </c>
      <c r="G610" s="69">
        <f t="shared" si="142"/>
        <v>130.19999999999999</v>
      </c>
      <c r="H610" s="69">
        <f t="shared" si="142"/>
        <v>0</v>
      </c>
      <c r="I610" s="69">
        <f t="shared" si="130"/>
        <v>130.19999999999999</v>
      </c>
      <c r="J610" s="69">
        <f t="shared" si="142"/>
        <v>0</v>
      </c>
      <c r="K610" s="85">
        <f t="shared" si="128"/>
        <v>130.19999999999999</v>
      </c>
      <c r="L610" s="13">
        <f t="shared" si="142"/>
        <v>0</v>
      </c>
      <c r="M610" s="85">
        <f t="shared" si="137"/>
        <v>130.19999999999999</v>
      </c>
      <c r="N610" s="13">
        <f t="shared" si="142"/>
        <v>0</v>
      </c>
      <c r="O610" s="85">
        <f t="shared" si="138"/>
        <v>130.19999999999999</v>
      </c>
      <c r="P610" s="13">
        <f t="shared" si="142"/>
        <v>0</v>
      </c>
      <c r="Q610" s="85">
        <f t="shared" si="136"/>
        <v>130.19999999999999</v>
      </c>
      <c r="R610" s="13">
        <f t="shared" si="142"/>
        <v>0</v>
      </c>
      <c r="S610" s="85">
        <f t="shared" si="135"/>
        <v>130.19999999999999</v>
      </c>
      <c r="T610" s="13">
        <f t="shared" si="142"/>
        <v>0</v>
      </c>
      <c r="U610" s="85">
        <f t="shared" si="141"/>
        <v>130.19999999999999</v>
      </c>
    </row>
    <row r="611" spans="1:21">
      <c r="A611" s="61" t="str">
        <f ca="1">IF(ISERROR(MATCH(F611,Код_КВР,0)),"",INDIRECT(ADDRESS(MATCH(F611,Код_КВР,0)+1,2,,,"КВР")))</f>
        <v>Публичные нормативные социальные выплаты гражданам</v>
      </c>
      <c r="B611" s="145">
        <v>805</v>
      </c>
      <c r="C611" s="8" t="s">
        <v>195</v>
      </c>
      <c r="D611" s="8" t="s">
        <v>213</v>
      </c>
      <c r="E611" s="145" t="s">
        <v>295</v>
      </c>
      <c r="F611" s="145">
        <v>310</v>
      </c>
      <c r="G611" s="69">
        <f t="shared" si="142"/>
        <v>130.19999999999999</v>
      </c>
      <c r="H611" s="69">
        <f t="shared" si="142"/>
        <v>0</v>
      </c>
      <c r="I611" s="69">
        <f t="shared" si="130"/>
        <v>130.19999999999999</v>
      </c>
      <c r="J611" s="69">
        <f t="shared" si="142"/>
        <v>0</v>
      </c>
      <c r="K611" s="85">
        <f t="shared" si="128"/>
        <v>130.19999999999999</v>
      </c>
      <c r="L611" s="13">
        <f t="shared" si="142"/>
        <v>0</v>
      </c>
      <c r="M611" s="85">
        <f t="shared" si="137"/>
        <v>130.19999999999999</v>
      </c>
      <c r="N611" s="13">
        <f t="shared" si="142"/>
        <v>0</v>
      </c>
      <c r="O611" s="85">
        <f t="shared" si="138"/>
        <v>130.19999999999999</v>
      </c>
      <c r="P611" s="13">
        <f t="shared" si="142"/>
        <v>0</v>
      </c>
      <c r="Q611" s="85">
        <f t="shared" si="136"/>
        <v>130.19999999999999</v>
      </c>
      <c r="R611" s="13">
        <f t="shared" si="142"/>
        <v>0</v>
      </c>
      <c r="S611" s="85">
        <f t="shared" si="135"/>
        <v>130.19999999999999</v>
      </c>
      <c r="T611" s="13">
        <f t="shared" si="142"/>
        <v>0</v>
      </c>
      <c r="U611" s="85">
        <f t="shared" si="141"/>
        <v>130.19999999999999</v>
      </c>
    </row>
    <row r="612" spans="1:21" ht="33">
      <c r="A612" s="61" t="str">
        <f ca="1">IF(ISERROR(MATCH(F612,Код_КВР,0)),"",INDIRECT(ADDRESS(MATCH(F612,Код_КВР,0)+1,2,,,"КВР")))</f>
        <v>Пособия, компенсации, меры социальной поддержки по публичным нормативным обязательствам</v>
      </c>
      <c r="B612" s="145">
        <v>805</v>
      </c>
      <c r="C612" s="8" t="s">
        <v>195</v>
      </c>
      <c r="D612" s="8" t="s">
        <v>213</v>
      </c>
      <c r="E612" s="145" t="s">
        <v>295</v>
      </c>
      <c r="F612" s="145">
        <v>313</v>
      </c>
      <c r="G612" s="69">
        <v>130.19999999999999</v>
      </c>
      <c r="H612" s="64"/>
      <c r="I612" s="69">
        <f t="shared" si="130"/>
        <v>130.19999999999999</v>
      </c>
      <c r="J612" s="64"/>
      <c r="K612" s="85">
        <f t="shared" si="128"/>
        <v>130.19999999999999</v>
      </c>
      <c r="L612" s="85"/>
      <c r="M612" s="85">
        <f t="shared" si="137"/>
        <v>130.19999999999999</v>
      </c>
      <c r="N612" s="85"/>
      <c r="O612" s="85">
        <f t="shared" si="138"/>
        <v>130.19999999999999</v>
      </c>
      <c r="P612" s="85"/>
      <c r="Q612" s="85">
        <f t="shared" si="136"/>
        <v>130.19999999999999</v>
      </c>
      <c r="R612" s="85"/>
      <c r="S612" s="85">
        <f t="shared" si="135"/>
        <v>130.19999999999999</v>
      </c>
      <c r="T612" s="85"/>
      <c r="U612" s="85">
        <f t="shared" si="141"/>
        <v>130.19999999999999</v>
      </c>
    </row>
    <row r="613" spans="1:21" ht="33">
      <c r="A613" s="61" t="str">
        <f ca="1">IF(ISERROR(MATCH(E613,Код_КЦСР,0)),"",INDIRECT(ADDRESS(MATCH(E613,Код_КЦСР,0)+1,2,,,"КЦСР")))</f>
        <v xml:space="preserve">Осуществление денежных выплат работникам муниципальных образовательных учреждений     </v>
      </c>
      <c r="B613" s="145">
        <v>805</v>
      </c>
      <c r="C613" s="8" t="s">
        <v>195</v>
      </c>
      <c r="D613" s="8" t="s">
        <v>213</v>
      </c>
      <c r="E613" s="145" t="s">
        <v>296</v>
      </c>
      <c r="F613" s="145"/>
      <c r="G613" s="69">
        <f t="shared" ref="G613:T616" si="143">G614</f>
        <v>6156</v>
      </c>
      <c r="H613" s="69">
        <f t="shared" si="143"/>
        <v>0</v>
      </c>
      <c r="I613" s="69">
        <f t="shared" si="130"/>
        <v>6156</v>
      </c>
      <c r="J613" s="69">
        <f t="shared" si="143"/>
        <v>0</v>
      </c>
      <c r="K613" s="85">
        <f t="shared" si="128"/>
        <v>6156</v>
      </c>
      <c r="L613" s="13">
        <f t="shared" si="143"/>
        <v>0</v>
      </c>
      <c r="M613" s="85">
        <f t="shared" si="137"/>
        <v>6156</v>
      </c>
      <c r="N613" s="13">
        <f t="shared" si="143"/>
        <v>0</v>
      </c>
      <c r="O613" s="85">
        <f t="shared" si="138"/>
        <v>6156</v>
      </c>
      <c r="P613" s="13">
        <f t="shared" si="143"/>
        <v>0</v>
      </c>
      <c r="Q613" s="85">
        <f t="shared" si="136"/>
        <v>6156</v>
      </c>
      <c r="R613" s="13">
        <f t="shared" si="143"/>
        <v>2264</v>
      </c>
      <c r="S613" s="85">
        <f t="shared" si="135"/>
        <v>8420</v>
      </c>
      <c r="T613" s="13">
        <f t="shared" si="143"/>
        <v>0</v>
      </c>
      <c r="U613" s="85">
        <f t="shared" si="141"/>
        <v>8420</v>
      </c>
    </row>
    <row r="614" spans="1:21" ht="82.5">
      <c r="A614" s="61" t="str">
        <f ca="1">IF(ISERROR(MATCH(E614,Код_КЦСР,0)),"",INDIRECT(ADDRESS(MATCH(E614,Код_КЦСР,0)+1,2,,,"КЦСР")))</f>
        <v>Денежная компенсация на оплату расходов по найму (поднайму) жилых помещений лицам, работающим в должности «воспитатель» в муниципальных дошкольных образовательных учреждениях в соответствии с решением Череповецкой городской Думы от 29.05.2012 № 97</v>
      </c>
      <c r="B614" s="145">
        <v>805</v>
      </c>
      <c r="C614" s="8" t="s">
        <v>195</v>
      </c>
      <c r="D614" s="8" t="s">
        <v>213</v>
      </c>
      <c r="E614" s="145" t="s">
        <v>298</v>
      </c>
      <c r="F614" s="145"/>
      <c r="G614" s="69">
        <f t="shared" si="143"/>
        <v>6156</v>
      </c>
      <c r="H614" s="69">
        <f t="shared" si="143"/>
        <v>0</v>
      </c>
      <c r="I614" s="69">
        <f t="shared" si="130"/>
        <v>6156</v>
      </c>
      <c r="J614" s="69">
        <f t="shared" si="143"/>
        <v>0</v>
      </c>
      <c r="K614" s="85">
        <f t="shared" si="128"/>
        <v>6156</v>
      </c>
      <c r="L614" s="13">
        <f t="shared" si="143"/>
        <v>0</v>
      </c>
      <c r="M614" s="85">
        <f t="shared" si="137"/>
        <v>6156</v>
      </c>
      <c r="N614" s="13">
        <f t="shared" si="143"/>
        <v>0</v>
      </c>
      <c r="O614" s="85">
        <f t="shared" si="138"/>
        <v>6156</v>
      </c>
      <c r="P614" s="13">
        <f t="shared" si="143"/>
        <v>0</v>
      </c>
      <c r="Q614" s="85">
        <f t="shared" si="136"/>
        <v>6156</v>
      </c>
      <c r="R614" s="13">
        <f t="shared" si="143"/>
        <v>2264</v>
      </c>
      <c r="S614" s="85">
        <f t="shared" si="135"/>
        <v>8420</v>
      </c>
      <c r="T614" s="13">
        <f t="shared" si="143"/>
        <v>0</v>
      </c>
      <c r="U614" s="85">
        <f t="shared" si="141"/>
        <v>8420</v>
      </c>
    </row>
    <row r="615" spans="1:21">
      <c r="A615" s="61" t="str">
        <f ca="1">IF(ISERROR(MATCH(F615,Код_КВР,0)),"",INDIRECT(ADDRESS(MATCH(F615,Код_КВР,0)+1,2,,,"КВР")))</f>
        <v>Социальное обеспечение и иные выплаты населению</v>
      </c>
      <c r="B615" s="145">
        <v>805</v>
      </c>
      <c r="C615" s="8" t="s">
        <v>195</v>
      </c>
      <c r="D615" s="8" t="s">
        <v>213</v>
      </c>
      <c r="E615" s="145" t="s">
        <v>298</v>
      </c>
      <c r="F615" s="145">
        <v>300</v>
      </c>
      <c r="G615" s="69">
        <f t="shared" si="143"/>
        <v>6156</v>
      </c>
      <c r="H615" s="69">
        <f t="shared" si="143"/>
        <v>0</v>
      </c>
      <c r="I615" s="69">
        <f t="shared" si="130"/>
        <v>6156</v>
      </c>
      <c r="J615" s="69">
        <f t="shared" si="143"/>
        <v>0</v>
      </c>
      <c r="K615" s="85">
        <f t="shared" si="128"/>
        <v>6156</v>
      </c>
      <c r="L615" s="13">
        <f t="shared" si="143"/>
        <v>0</v>
      </c>
      <c r="M615" s="85">
        <f t="shared" si="137"/>
        <v>6156</v>
      </c>
      <c r="N615" s="13">
        <f t="shared" si="143"/>
        <v>0</v>
      </c>
      <c r="O615" s="85">
        <f t="shared" si="138"/>
        <v>6156</v>
      </c>
      <c r="P615" s="13">
        <f t="shared" si="143"/>
        <v>0</v>
      </c>
      <c r="Q615" s="85">
        <f t="shared" si="136"/>
        <v>6156</v>
      </c>
      <c r="R615" s="13">
        <f t="shared" si="143"/>
        <v>2264</v>
      </c>
      <c r="S615" s="85">
        <f t="shared" si="135"/>
        <v>8420</v>
      </c>
      <c r="T615" s="13">
        <f t="shared" si="143"/>
        <v>0</v>
      </c>
      <c r="U615" s="85">
        <f t="shared" si="141"/>
        <v>8420</v>
      </c>
    </row>
    <row r="616" spans="1:21">
      <c r="A616" s="61" t="str">
        <f ca="1">IF(ISERROR(MATCH(F616,Код_КВР,0)),"",INDIRECT(ADDRESS(MATCH(F616,Код_КВР,0)+1,2,,,"КВР")))</f>
        <v>Публичные нормативные социальные выплаты гражданам</v>
      </c>
      <c r="B616" s="145">
        <v>805</v>
      </c>
      <c r="C616" s="8" t="s">
        <v>195</v>
      </c>
      <c r="D616" s="8" t="s">
        <v>213</v>
      </c>
      <c r="E616" s="145" t="s">
        <v>298</v>
      </c>
      <c r="F616" s="145">
        <v>310</v>
      </c>
      <c r="G616" s="69">
        <f t="shared" si="143"/>
        <v>6156</v>
      </c>
      <c r="H616" s="69">
        <f t="shared" si="143"/>
        <v>0</v>
      </c>
      <c r="I616" s="69">
        <f t="shared" si="130"/>
        <v>6156</v>
      </c>
      <c r="J616" s="69">
        <f t="shared" si="143"/>
        <v>0</v>
      </c>
      <c r="K616" s="85">
        <f t="shared" si="128"/>
        <v>6156</v>
      </c>
      <c r="L616" s="13">
        <f t="shared" si="143"/>
        <v>0</v>
      </c>
      <c r="M616" s="85">
        <f t="shared" si="137"/>
        <v>6156</v>
      </c>
      <c r="N616" s="13">
        <f t="shared" si="143"/>
        <v>0</v>
      </c>
      <c r="O616" s="85">
        <f t="shared" si="138"/>
        <v>6156</v>
      </c>
      <c r="P616" s="13">
        <f t="shared" si="143"/>
        <v>0</v>
      </c>
      <c r="Q616" s="85">
        <f t="shared" si="136"/>
        <v>6156</v>
      </c>
      <c r="R616" s="13">
        <f t="shared" si="143"/>
        <v>2264</v>
      </c>
      <c r="S616" s="85">
        <f t="shared" si="135"/>
        <v>8420</v>
      </c>
      <c r="T616" s="13">
        <f t="shared" si="143"/>
        <v>0</v>
      </c>
      <c r="U616" s="85">
        <f t="shared" si="141"/>
        <v>8420</v>
      </c>
    </row>
    <row r="617" spans="1:21" ht="33">
      <c r="A617" s="61" t="str">
        <f ca="1">IF(ISERROR(MATCH(F617,Код_КВР,0)),"",INDIRECT(ADDRESS(MATCH(F617,Код_КВР,0)+1,2,,,"КВР")))</f>
        <v>Пособия, компенсации, меры социальной поддержки по публичным нормативным обязательствам</v>
      </c>
      <c r="B617" s="145">
        <v>805</v>
      </c>
      <c r="C617" s="8" t="s">
        <v>195</v>
      </c>
      <c r="D617" s="8" t="s">
        <v>213</v>
      </c>
      <c r="E617" s="145" t="s">
        <v>298</v>
      </c>
      <c r="F617" s="145">
        <v>313</v>
      </c>
      <c r="G617" s="69">
        <v>6156</v>
      </c>
      <c r="H617" s="64"/>
      <c r="I617" s="69">
        <f t="shared" si="130"/>
        <v>6156</v>
      </c>
      <c r="J617" s="64"/>
      <c r="K617" s="85">
        <f t="shared" si="128"/>
        <v>6156</v>
      </c>
      <c r="L617" s="85"/>
      <c r="M617" s="85">
        <f t="shared" si="137"/>
        <v>6156</v>
      </c>
      <c r="N617" s="85"/>
      <c r="O617" s="85">
        <f t="shared" si="138"/>
        <v>6156</v>
      </c>
      <c r="P617" s="85"/>
      <c r="Q617" s="85">
        <f t="shared" si="136"/>
        <v>6156</v>
      </c>
      <c r="R617" s="85">
        <v>2264</v>
      </c>
      <c r="S617" s="85">
        <f t="shared" si="135"/>
        <v>8420</v>
      </c>
      <c r="T617" s="85"/>
      <c r="U617" s="85">
        <f t="shared" si="141"/>
        <v>8420</v>
      </c>
    </row>
    <row r="618" spans="1:21" ht="33">
      <c r="A618" s="61" t="str">
        <f ca="1">IF(ISERROR(MATCH(E618,Код_КЦСР,0)),"",INDIRECT(ADDRESS(MATCH(E618,Код_КЦСР,0)+1,2,,,"КЦСР")))</f>
        <v>Непрограммные направления деятельности органов местного самоуправления</v>
      </c>
      <c r="B618" s="145">
        <v>805</v>
      </c>
      <c r="C618" s="8" t="s">
        <v>195</v>
      </c>
      <c r="D618" s="8" t="s">
        <v>213</v>
      </c>
      <c r="E618" s="145" t="s">
        <v>299</v>
      </c>
      <c r="F618" s="145"/>
      <c r="G618" s="69"/>
      <c r="H618" s="64"/>
      <c r="I618" s="69"/>
      <c r="J618" s="64">
        <f>J619</f>
        <v>44229.299999999996</v>
      </c>
      <c r="K618" s="85">
        <f t="shared" si="128"/>
        <v>44229.299999999996</v>
      </c>
      <c r="L618" s="85">
        <f>L619</f>
        <v>0</v>
      </c>
      <c r="M618" s="85">
        <f t="shared" si="137"/>
        <v>44229.299999999996</v>
      </c>
      <c r="N618" s="85">
        <f>N619</f>
        <v>0</v>
      </c>
      <c r="O618" s="85">
        <f t="shared" si="138"/>
        <v>44229.299999999996</v>
      </c>
      <c r="P618" s="85">
        <f>P619</f>
        <v>0</v>
      </c>
      <c r="Q618" s="85">
        <f t="shared" si="136"/>
        <v>44229.299999999996</v>
      </c>
      <c r="R618" s="85">
        <f>R619</f>
        <v>0</v>
      </c>
      <c r="S618" s="85">
        <f t="shared" si="135"/>
        <v>44229.299999999996</v>
      </c>
      <c r="T618" s="85">
        <f>T619</f>
        <v>0</v>
      </c>
      <c r="U618" s="85">
        <f t="shared" si="141"/>
        <v>44229.299999999996</v>
      </c>
    </row>
    <row r="619" spans="1:21">
      <c r="A619" s="61" t="str">
        <f ca="1">IF(ISERROR(MATCH(E619,Код_КЦСР,0)),"",INDIRECT(ADDRESS(MATCH(E619,Код_КЦСР,0)+1,2,,,"КЦСР")))</f>
        <v>Расходы, не включенные в муниципальные программы города Череповца</v>
      </c>
      <c r="B619" s="145">
        <v>805</v>
      </c>
      <c r="C619" s="8" t="s">
        <v>195</v>
      </c>
      <c r="D619" s="8" t="s">
        <v>213</v>
      </c>
      <c r="E619" s="145" t="s">
        <v>301</v>
      </c>
      <c r="F619" s="145"/>
      <c r="G619" s="69"/>
      <c r="H619" s="64"/>
      <c r="I619" s="69"/>
      <c r="J619" s="64">
        <f>J620</f>
        <v>44229.299999999996</v>
      </c>
      <c r="K619" s="85">
        <f t="shared" si="128"/>
        <v>44229.299999999996</v>
      </c>
      <c r="L619" s="85">
        <f>L620</f>
        <v>0</v>
      </c>
      <c r="M619" s="85">
        <f t="shared" si="137"/>
        <v>44229.299999999996</v>
      </c>
      <c r="N619" s="85">
        <f>N620</f>
        <v>0</v>
      </c>
      <c r="O619" s="85">
        <f t="shared" si="138"/>
        <v>44229.299999999996</v>
      </c>
      <c r="P619" s="85">
        <f>P620</f>
        <v>0</v>
      </c>
      <c r="Q619" s="85">
        <f t="shared" si="136"/>
        <v>44229.299999999996</v>
      </c>
      <c r="R619" s="85">
        <f>R620</f>
        <v>0</v>
      </c>
      <c r="S619" s="85">
        <f t="shared" si="135"/>
        <v>44229.299999999996</v>
      </c>
      <c r="T619" s="85">
        <f>T620</f>
        <v>0</v>
      </c>
      <c r="U619" s="85">
        <f t="shared" si="141"/>
        <v>44229.299999999996</v>
      </c>
    </row>
    <row r="620" spans="1:21">
      <c r="A620" s="61" t="str">
        <f ca="1">IF(ISERROR(MATCH(E620,Код_КЦСР,0)),"",INDIRECT(ADDRESS(MATCH(E620,Код_КЦСР,0)+1,2,,,"КЦСР")))</f>
        <v>Кредиторская задолженность, сложившаяся по итогам 2013 года</v>
      </c>
      <c r="B620" s="145">
        <v>805</v>
      </c>
      <c r="C620" s="8" t="s">
        <v>195</v>
      </c>
      <c r="D620" s="8" t="s">
        <v>213</v>
      </c>
      <c r="E620" s="145" t="s">
        <v>371</v>
      </c>
      <c r="F620" s="145"/>
      <c r="G620" s="69"/>
      <c r="H620" s="64"/>
      <c r="I620" s="69"/>
      <c r="J620" s="64">
        <f>J621</f>
        <v>44229.299999999996</v>
      </c>
      <c r="K620" s="85">
        <f t="shared" si="128"/>
        <v>44229.299999999996</v>
      </c>
      <c r="L620" s="85">
        <f>L621</f>
        <v>0</v>
      </c>
      <c r="M620" s="85">
        <f t="shared" si="137"/>
        <v>44229.299999999996</v>
      </c>
      <c r="N620" s="85">
        <f>N621</f>
        <v>0</v>
      </c>
      <c r="O620" s="85">
        <f t="shared" si="138"/>
        <v>44229.299999999996</v>
      </c>
      <c r="P620" s="85">
        <f>P621</f>
        <v>0</v>
      </c>
      <c r="Q620" s="85">
        <f t="shared" si="136"/>
        <v>44229.299999999996</v>
      </c>
      <c r="R620" s="85">
        <f>R621</f>
        <v>0</v>
      </c>
      <c r="S620" s="85">
        <f t="shared" si="135"/>
        <v>44229.299999999996</v>
      </c>
      <c r="T620" s="85">
        <f>T621</f>
        <v>0</v>
      </c>
      <c r="U620" s="85">
        <f t="shared" si="141"/>
        <v>44229.299999999996</v>
      </c>
    </row>
    <row r="621" spans="1:21" ht="33">
      <c r="A621" s="61" t="str">
        <f ca="1">IF(ISERROR(MATCH(F621,Код_КВР,0)),"",INDIRECT(ADDRESS(MATCH(F621,Код_КВР,0)+1,2,,,"КВР")))</f>
        <v>Предоставление субсидий бюджетным, автономным учреждениям и иным некоммерческим организациям</v>
      </c>
      <c r="B621" s="145">
        <v>805</v>
      </c>
      <c r="C621" s="8" t="s">
        <v>195</v>
      </c>
      <c r="D621" s="8" t="s">
        <v>213</v>
      </c>
      <c r="E621" s="145" t="s">
        <v>371</v>
      </c>
      <c r="F621" s="145">
        <v>600</v>
      </c>
      <c r="G621" s="69"/>
      <c r="H621" s="64"/>
      <c r="I621" s="69"/>
      <c r="J621" s="64">
        <f>J622+J624</f>
        <v>44229.299999999996</v>
      </c>
      <c r="K621" s="85">
        <f t="shared" si="128"/>
        <v>44229.299999999996</v>
      </c>
      <c r="L621" s="85">
        <f>L622+L624</f>
        <v>0</v>
      </c>
      <c r="M621" s="85">
        <f t="shared" si="137"/>
        <v>44229.299999999996</v>
      </c>
      <c r="N621" s="85">
        <f>N622+N624</f>
        <v>0</v>
      </c>
      <c r="O621" s="85">
        <f t="shared" si="138"/>
        <v>44229.299999999996</v>
      </c>
      <c r="P621" s="85">
        <f>P622+P624</f>
        <v>0</v>
      </c>
      <c r="Q621" s="85">
        <f t="shared" si="136"/>
        <v>44229.299999999996</v>
      </c>
      <c r="R621" s="85">
        <f>R622+R624</f>
        <v>0</v>
      </c>
      <c r="S621" s="85">
        <f t="shared" si="135"/>
        <v>44229.299999999996</v>
      </c>
      <c r="T621" s="85">
        <f>T622+T624</f>
        <v>0</v>
      </c>
      <c r="U621" s="85">
        <f t="shared" si="141"/>
        <v>44229.299999999996</v>
      </c>
    </row>
    <row r="622" spans="1:21">
      <c r="A622" s="61" t="str">
        <f ca="1">IF(ISERROR(MATCH(F622,Код_КВР,0)),"",INDIRECT(ADDRESS(MATCH(F622,Код_КВР,0)+1,2,,,"КВР")))</f>
        <v>Субсидии бюджетным учреждениям</v>
      </c>
      <c r="B622" s="145">
        <v>805</v>
      </c>
      <c r="C622" s="8" t="s">
        <v>195</v>
      </c>
      <c r="D622" s="8" t="s">
        <v>213</v>
      </c>
      <c r="E622" s="145" t="s">
        <v>371</v>
      </c>
      <c r="F622" s="145">
        <v>610</v>
      </c>
      <c r="G622" s="69"/>
      <c r="H622" s="64"/>
      <c r="I622" s="69"/>
      <c r="J622" s="64">
        <f>J623</f>
        <v>42345.1</v>
      </c>
      <c r="K622" s="85">
        <f t="shared" si="128"/>
        <v>42345.1</v>
      </c>
      <c r="L622" s="85">
        <f>L623</f>
        <v>0</v>
      </c>
      <c r="M622" s="85">
        <f t="shared" si="137"/>
        <v>42345.1</v>
      </c>
      <c r="N622" s="85">
        <f>N623</f>
        <v>0</v>
      </c>
      <c r="O622" s="85">
        <f t="shared" si="138"/>
        <v>42345.1</v>
      </c>
      <c r="P622" s="85">
        <f>P623</f>
        <v>0</v>
      </c>
      <c r="Q622" s="85">
        <f t="shared" si="136"/>
        <v>42345.1</v>
      </c>
      <c r="R622" s="85">
        <f>R623</f>
        <v>0</v>
      </c>
      <c r="S622" s="85">
        <f t="shared" si="135"/>
        <v>42345.1</v>
      </c>
      <c r="T622" s="85">
        <f>T623</f>
        <v>0</v>
      </c>
      <c r="U622" s="85">
        <f t="shared" si="141"/>
        <v>42345.1</v>
      </c>
    </row>
    <row r="623" spans="1:21">
      <c r="A623" s="61" t="str">
        <f ca="1">IF(ISERROR(MATCH(F623,Код_КВР,0)),"",INDIRECT(ADDRESS(MATCH(F623,Код_КВР,0)+1,2,,,"КВР")))</f>
        <v>Субсидии бюджетным учреждениям на иные цели</v>
      </c>
      <c r="B623" s="145">
        <v>805</v>
      </c>
      <c r="C623" s="8" t="s">
        <v>195</v>
      </c>
      <c r="D623" s="8" t="s">
        <v>213</v>
      </c>
      <c r="E623" s="145" t="s">
        <v>371</v>
      </c>
      <c r="F623" s="145">
        <v>612</v>
      </c>
      <c r="G623" s="69"/>
      <c r="H623" s="64"/>
      <c r="I623" s="69"/>
      <c r="J623" s="64">
        <f>45091.1-2746</f>
        <v>42345.1</v>
      </c>
      <c r="K623" s="85">
        <f t="shared" si="128"/>
        <v>42345.1</v>
      </c>
      <c r="L623" s="85"/>
      <c r="M623" s="85">
        <f t="shared" si="137"/>
        <v>42345.1</v>
      </c>
      <c r="N623" s="85"/>
      <c r="O623" s="85">
        <f t="shared" si="138"/>
        <v>42345.1</v>
      </c>
      <c r="P623" s="85"/>
      <c r="Q623" s="85">
        <f t="shared" si="136"/>
        <v>42345.1</v>
      </c>
      <c r="R623" s="85"/>
      <c r="S623" s="85">
        <f t="shared" si="135"/>
        <v>42345.1</v>
      </c>
      <c r="T623" s="85"/>
      <c r="U623" s="85">
        <f t="shared" si="141"/>
        <v>42345.1</v>
      </c>
    </row>
    <row r="624" spans="1:21">
      <c r="A624" s="61" t="str">
        <f ca="1">IF(ISERROR(MATCH(F624,Код_КВР,0)),"",INDIRECT(ADDRESS(MATCH(F624,Код_КВР,0)+1,2,,,"КВР")))</f>
        <v>Субсидии автономным учреждениям</v>
      </c>
      <c r="B624" s="145">
        <v>805</v>
      </c>
      <c r="C624" s="8" t="s">
        <v>195</v>
      </c>
      <c r="D624" s="8" t="s">
        <v>213</v>
      </c>
      <c r="E624" s="145" t="s">
        <v>371</v>
      </c>
      <c r="F624" s="145">
        <v>620</v>
      </c>
      <c r="G624" s="69"/>
      <c r="H624" s="64"/>
      <c r="I624" s="69"/>
      <c r="J624" s="64">
        <f>J625</f>
        <v>1884.2</v>
      </c>
      <c r="K624" s="85">
        <f t="shared" si="128"/>
        <v>1884.2</v>
      </c>
      <c r="L624" s="85">
        <f>L625</f>
        <v>0</v>
      </c>
      <c r="M624" s="85">
        <f t="shared" si="137"/>
        <v>1884.2</v>
      </c>
      <c r="N624" s="85">
        <f>N625</f>
        <v>0</v>
      </c>
      <c r="O624" s="85">
        <f t="shared" si="138"/>
        <v>1884.2</v>
      </c>
      <c r="P624" s="85">
        <f>P625</f>
        <v>0</v>
      </c>
      <c r="Q624" s="85">
        <f t="shared" si="136"/>
        <v>1884.2</v>
      </c>
      <c r="R624" s="85">
        <f>R625</f>
        <v>0</v>
      </c>
      <c r="S624" s="85">
        <f t="shared" si="135"/>
        <v>1884.2</v>
      </c>
      <c r="T624" s="85">
        <f>T625</f>
        <v>0</v>
      </c>
      <c r="U624" s="85">
        <f t="shared" si="141"/>
        <v>1884.2</v>
      </c>
    </row>
    <row r="625" spans="1:21">
      <c r="A625" s="61" t="str">
        <f ca="1">IF(ISERROR(MATCH(F625,Код_КВР,0)),"",INDIRECT(ADDRESS(MATCH(F625,Код_КВР,0)+1,2,,,"КВР")))</f>
        <v>Субсидии автономным учреждениям на иные цели</v>
      </c>
      <c r="B625" s="145">
        <v>805</v>
      </c>
      <c r="C625" s="8" t="s">
        <v>195</v>
      </c>
      <c r="D625" s="8" t="s">
        <v>213</v>
      </c>
      <c r="E625" s="145" t="s">
        <v>371</v>
      </c>
      <c r="F625" s="145">
        <v>622</v>
      </c>
      <c r="G625" s="69"/>
      <c r="H625" s="64"/>
      <c r="I625" s="69"/>
      <c r="J625" s="64">
        <v>1884.2</v>
      </c>
      <c r="K625" s="85">
        <f t="shared" si="128"/>
        <v>1884.2</v>
      </c>
      <c r="L625" s="85"/>
      <c r="M625" s="85">
        <f t="shared" si="137"/>
        <v>1884.2</v>
      </c>
      <c r="N625" s="85"/>
      <c r="O625" s="85">
        <f t="shared" si="138"/>
        <v>1884.2</v>
      </c>
      <c r="P625" s="85"/>
      <c r="Q625" s="85">
        <f t="shared" si="136"/>
        <v>1884.2</v>
      </c>
      <c r="R625" s="85"/>
      <c r="S625" s="85">
        <f t="shared" si="135"/>
        <v>1884.2</v>
      </c>
      <c r="T625" s="85"/>
      <c r="U625" s="85">
        <f t="shared" si="141"/>
        <v>1884.2</v>
      </c>
    </row>
    <row r="626" spans="1:21">
      <c r="A626" s="12" t="s">
        <v>250</v>
      </c>
      <c r="B626" s="145">
        <v>805</v>
      </c>
      <c r="C626" s="8" t="s">
        <v>195</v>
      </c>
      <c r="D626" s="8" t="s">
        <v>214</v>
      </c>
      <c r="E626" s="145"/>
      <c r="F626" s="145"/>
      <c r="G626" s="69">
        <f>G627</f>
        <v>1549087.7999999998</v>
      </c>
      <c r="H626" s="69">
        <f>H627</f>
        <v>0</v>
      </c>
      <c r="I626" s="69">
        <f t="shared" si="130"/>
        <v>1549087.7999999998</v>
      </c>
      <c r="J626" s="69">
        <f>J627</f>
        <v>-7173</v>
      </c>
      <c r="K626" s="85">
        <f t="shared" si="128"/>
        <v>1541914.7999999998</v>
      </c>
      <c r="L626" s="13">
        <f>L627</f>
        <v>-77</v>
      </c>
      <c r="M626" s="85">
        <f t="shared" si="137"/>
        <v>1541837.7999999998</v>
      </c>
      <c r="N626" s="13">
        <f>N627</f>
        <v>-2877.3</v>
      </c>
      <c r="O626" s="85">
        <f t="shared" si="138"/>
        <v>1538960.4999999998</v>
      </c>
      <c r="P626" s="13">
        <f>P627</f>
        <v>10</v>
      </c>
      <c r="Q626" s="85">
        <f t="shared" si="136"/>
        <v>1538970.4999999998</v>
      </c>
      <c r="R626" s="13">
        <f>R627</f>
        <v>3515.5000000000009</v>
      </c>
      <c r="S626" s="85">
        <f t="shared" si="135"/>
        <v>1542485.9999999998</v>
      </c>
      <c r="T626" s="13">
        <f>T627+T687</f>
        <v>12911.7</v>
      </c>
      <c r="U626" s="85">
        <f t="shared" si="141"/>
        <v>1555397.6999999997</v>
      </c>
    </row>
    <row r="627" spans="1:21">
      <c r="A627" s="61" t="str">
        <f ca="1">IF(ISERROR(MATCH(E627,Код_КЦСР,0)),"",INDIRECT(ADDRESS(MATCH(E627,Код_КЦСР,0)+1,2,,,"КЦСР")))</f>
        <v>Муниципальная программа «Развитие образования» на 2013-2022 годы</v>
      </c>
      <c r="B627" s="145">
        <v>805</v>
      </c>
      <c r="C627" s="8" t="s">
        <v>195</v>
      </c>
      <c r="D627" s="8" t="s">
        <v>214</v>
      </c>
      <c r="E627" s="145" t="s">
        <v>271</v>
      </c>
      <c r="F627" s="145"/>
      <c r="G627" s="69">
        <f>G628+G657+G666+G677</f>
        <v>1549087.7999999998</v>
      </c>
      <c r="H627" s="69">
        <f>H628+H657+H666+H677</f>
        <v>0</v>
      </c>
      <c r="I627" s="69">
        <f t="shared" si="130"/>
        <v>1549087.7999999998</v>
      </c>
      <c r="J627" s="69">
        <f>J628+J657+J666+J677</f>
        <v>-7173</v>
      </c>
      <c r="K627" s="85">
        <f t="shared" si="128"/>
        <v>1541914.7999999998</v>
      </c>
      <c r="L627" s="13">
        <f>L628+L657+L666+L677</f>
        <v>-77</v>
      </c>
      <c r="M627" s="85">
        <f t="shared" si="137"/>
        <v>1541837.7999999998</v>
      </c>
      <c r="N627" s="13">
        <f>N628+N657+N666+N677</f>
        <v>-2877.3</v>
      </c>
      <c r="O627" s="85">
        <f t="shared" si="138"/>
        <v>1538960.4999999998</v>
      </c>
      <c r="P627" s="13">
        <f>P628+P657+P666+P677</f>
        <v>10</v>
      </c>
      <c r="Q627" s="85">
        <f t="shared" si="136"/>
        <v>1538970.4999999998</v>
      </c>
      <c r="R627" s="13">
        <f>R628+R657+R666+R677</f>
        <v>3515.5000000000009</v>
      </c>
      <c r="S627" s="85">
        <f t="shared" si="135"/>
        <v>1542485.9999999998</v>
      </c>
      <c r="T627" s="13">
        <f>T628+T657+T666+T677</f>
        <v>12161.7</v>
      </c>
      <c r="U627" s="85">
        <f t="shared" si="141"/>
        <v>1554647.6999999997</v>
      </c>
    </row>
    <row r="628" spans="1:21">
      <c r="A628" s="61" t="str">
        <f ca="1">IF(ISERROR(MATCH(E628,Код_КЦСР,0)),"",INDIRECT(ADDRESS(MATCH(E628,Код_КЦСР,0)+1,2,,,"КЦСР")))</f>
        <v>Общее образование</v>
      </c>
      <c r="B628" s="145">
        <v>805</v>
      </c>
      <c r="C628" s="8" t="s">
        <v>195</v>
      </c>
      <c r="D628" s="8" t="s">
        <v>214</v>
      </c>
      <c r="E628" s="145" t="s">
        <v>280</v>
      </c>
      <c r="F628" s="145"/>
      <c r="G628" s="69">
        <f>G629+G635+G639+G643+G651</f>
        <v>1341601.8999999999</v>
      </c>
      <c r="H628" s="69">
        <f>H629+H635+H639+H643+H651</f>
        <v>0</v>
      </c>
      <c r="I628" s="69">
        <f>G628+H628</f>
        <v>1341601.8999999999</v>
      </c>
      <c r="J628" s="69">
        <f>J629+J635+J639+J643+J651</f>
        <v>-7173</v>
      </c>
      <c r="K628" s="85">
        <f t="shared" si="128"/>
        <v>1334428.8999999999</v>
      </c>
      <c r="L628" s="13">
        <f>L629+L635+L639+L643+L651</f>
        <v>0</v>
      </c>
      <c r="M628" s="85">
        <f t="shared" si="137"/>
        <v>1334428.8999999999</v>
      </c>
      <c r="N628" s="13">
        <f>N629+N635+N639+N643+N651</f>
        <v>-2877.3</v>
      </c>
      <c r="O628" s="85">
        <f t="shared" si="138"/>
        <v>1331551.5999999999</v>
      </c>
      <c r="P628" s="13">
        <f>P629+P635+P639+P643+P651</f>
        <v>10</v>
      </c>
      <c r="Q628" s="85">
        <f t="shared" si="136"/>
        <v>1331561.5999999999</v>
      </c>
      <c r="R628" s="13">
        <f>R629+R635+R639+R643+R651</f>
        <v>4006.7000000000007</v>
      </c>
      <c r="S628" s="85">
        <f t="shared" si="135"/>
        <v>1335568.2999999998</v>
      </c>
      <c r="T628" s="13">
        <f>T629+T635+T639+T643+T651</f>
        <v>2861.2000000000007</v>
      </c>
      <c r="U628" s="85">
        <f t="shared" si="141"/>
        <v>1338429.4999999998</v>
      </c>
    </row>
    <row r="629" spans="1:21" ht="49.5">
      <c r="A629" s="61" t="str">
        <f ca="1">IF(ISERROR(MATCH(E629,Код_КЦСР,0)),"",INDIRECT(ADDRESS(MATCH(E629,Код_КЦСР,0)+1,2,,,"КЦСР")))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</v>
      </c>
      <c r="B629" s="145">
        <v>805</v>
      </c>
      <c r="C629" s="8" t="s">
        <v>195</v>
      </c>
      <c r="D629" s="8" t="s">
        <v>214</v>
      </c>
      <c r="E629" s="145" t="s">
        <v>281</v>
      </c>
      <c r="F629" s="145"/>
      <c r="G629" s="69">
        <f>G630</f>
        <v>159038.20000000001</v>
      </c>
      <c r="H629" s="69">
        <f>H630</f>
        <v>0</v>
      </c>
      <c r="I629" s="69">
        <f t="shared" si="130"/>
        <v>159038.20000000001</v>
      </c>
      <c r="J629" s="69">
        <f>J630</f>
        <v>0</v>
      </c>
      <c r="K629" s="85">
        <f t="shared" si="128"/>
        <v>159038.20000000001</v>
      </c>
      <c r="L629" s="13">
        <f>L630</f>
        <v>0</v>
      </c>
      <c r="M629" s="85">
        <f t="shared" si="137"/>
        <v>159038.20000000001</v>
      </c>
      <c r="N629" s="13">
        <f>N630</f>
        <v>-2877.3</v>
      </c>
      <c r="O629" s="85">
        <f t="shared" si="138"/>
        <v>156160.90000000002</v>
      </c>
      <c r="P629" s="13">
        <f>P630</f>
        <v>0</v>
      </c>
      <c r="Q629" s="85">
        <f t="shared" si="136"/>
        <v>156160.90000000002</v>
      </c>
      <c r="R629" s="13">
        <f>R630</f>
        <v>0</v>
      </c>
      <c r="S629" s="85">
        <f t="shared" si="135"/>
        <v>156160.90000000002</v>
      </c>
      <c r="T629" s="13">
        <f>T630</f>
        <v>0</v>
      </c>
      <c r="U629" s="85">
        <f t="shared" si="141"/>
        <v>156160.90000000002</v>
      </c>
    </row>
    <row r="630" spans="1:21" ht="33">
      <c r="A630" s="61" t="str">
        <f ca="1">IF(ISERROR(MATCH(F630,Код_КВР,0)),"",INDIRECT(ADDRESS(MATCH(F630,Код_КВР,0)+1,2,,,"КВР")))</f>
        <v>Предоставление субсидий бюджетным, автономным учреждениям и иным некоммерческим организациям</v>
      </c>
      <c r="B630" s="145">
        <v>805</v>
      </c>
      <c r="C630" s="8" t="s">
        <v>195</v>
      </c>
      <c r="D630" s="8" t="s">
        <v>214</v>
      </c>
      <c r="E630" s="145" t="s">
        <v>281</v>
      </c>
      <c r="F630" s="145">
        <v>600</v>
      </c>
      <c r="G630" s="69">
        <f>G631+G633</f>
        <v>159038.20000000001</v>
      </c>
      <c r="H630" s="69">
        <f>H631+H633</f>
        <v>0</v>
      </c>
      <c r="I630" s="69">
        <f t="shared" si="130"/>
        <v>159038.20000000001</v>
      </c>
      <c r="J630" s="69">
        <f>J631+J633</f>
        <v>0</v>
      </c>
      <c r="K630" s="85">
        <f t="shared" ref="K630:K712" si="144">I630+J630</f>
        <v>159038.20000000001</v>
      </c>
      <c r="L630" s="13">
        <f>L631+L633</f>
        <v>0</v>
      </c>
      <c r="M630" s="85">
        <f t="shared" si="137"/>
        <v>159038.20000000001</v>
      </c>
      <c r="N630" s="13">
        <f>N631+N633</f>
        <v>-2877.3</v>
      </c>
      <c r="O630" s="85">
        <f t="shared" si="138"/>
        <v>156160.90000000002</v>
      </c>
      <c r="P630" s="13">
        <f>P631+P633</f>
        <v>0</v>
      </c>
      <c r="Q630" s="85">
        <f t="shared" si="136"/>
        <v>156160.90000000002</v>
      </c>
      <c r="R630" s="13">
        <f>R631+R633</f>
        <v>0</v>
      </c>
      <c r="S630" s="85">
        <f t="shared" si="135"/>
        <v>156160.90000000002</v>
      </c>
      <c r="T630" s="13">
        <f>T631+T633</f>
        <v>0</v>
      </c>
      <c r="U630" s="85">
        <f t="shared" si="141"/>
        <v>156160.90000000002</v>
      </c>
    </row>
    <row r="631" spans="1:21">
      <c r="A631" s="61" t="str">
        <f ca="1">IF(ISERROR(MATCH(F631,Код_КВР,0)),"",INDIRECT(ADDRESS(MATCH(F631,Код_КВР,0)+1,2,,,"КВР")))</f>
        <v>Субсидии бюджетным учреждениям</v>
      </c>
      <c r="B631" s="145">
        <v>805</v>
      </c>
      <c r="C631" s="8" t="s">
        <v>195</v>
      </c>
      <c r="D631" s="8" t="s">
        <v>214</v>
      </c>
      <c r="E631" s="145" t="s">
        <v>281</v>
      </c>
      <c r="F631" s="145">
        <v>610</v>
      </c>
      <c r="G631" s="69">
        <f>G632</f>
        <v>155778.5</v>
      </c>
      <c r="H631" s="69">
        <f>H632</f>
        <v>0</v>
      </c>
      <c r="I631" s="69">
        <f t="shared" si="130"/>
        <v>155778.5</v>
      </c>
      <c r="J631" s="69">
        <f>J632</f>
        <v>0</v>
      </c>
      <c r="K631" s="85">
        <f t="shared" si="144"/>
        <v>155778.5</v>
      </c>
      <c r="L631" s="13">
        <f>L632</f>
        <v>0</v>
      </c>
      <c r="M631" s="85">
        <f t="shared" si="137"/>
        <v>155778.5</v>
      </c>
      <c r="N631" s="13">
        <f>N632</f>
        <v>-2877.3</v>
      </c>
      <c r="O631" s="85">
        <f t="shared" si="138"/>
        <v>152901.20000000001</v>
      </c>
      <c r="P631" s="13">
        <f>P632</f>
        <v>0</v>
      </c>
      <c r="Q631" s="85">
        <f t="shared" si="136"/>
        <v>152901.20000000001</v>
      </c>
      <c r="R631" s="13">
        <f>R632</f>
        <v>0</v>
      </c>
      <c r="S631" s="85">
        <f t="shared" si="135"/>
        <v>152901.20000000001</v>
      </c>
      <c r="T631" s="13">
        <f>T632</f>
        <v>0</v>
      </c>
      <c r="U631" s="85">
        <f t="shared" si="141"/>
        <v>152901.20000000001</v>
      </c>
    </row>
    <row r="632" spans="1:21" ht="49.5">
      <c r="A632" s="61" t="str">
        <f ca="1">IF(ISERROR(MATCH(F632,Код_КВР,0)),"",INDIRECT(ADDRESS(MATCH(F632,Код_КВР,0)+1,2,,,"КВР")))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32" s="145">
        <v>805</v>
      </c>
      <c r="C632" s="8" t="s">
        <v>195</v>
      </c>
      <c r="D632" s="8" t="s">
        <v>214</v>
      </c>
      <c r="E632" s="145" t="s">
        <v>281</v>
      </c>
      <c r="F632" s="145">
        <v>611</v>
      </c>
      <c r="G632" s="69">
        <v>155778.5</v>
      </c>
      <c r="H632" s="64"/>
      <c r="I632" s="69">
        <f t="shared" si="130"/>
        <v>155778.5</v>
      </c>
      <c r="J632" s="64"/>
      <c r="K632" s="85">
        <f t="shared" si="144"/>
        <v>155778.5</v>
      </c>
      <c r="L632" s="85"/>
      <c r="M632" s="85">
        <f t="shared" si="137"/>
        <v>155778.5</v>
      </c>
      <c r="N632" s="85">
        <f>-2500-377.3</f>
        <v>-2877.3</v>
      </c>
      <c r="O632" s="85">
        <f t="shared" si="138"/>
        <v>152901.20000000001</v>
      </c>
      <c r="P632" s="85"/>
      <c r="Q632" s="85">
        <f t="shared" si="136"/>
        <v>152901.20000000001</v>
      </c>
      <c r="R632" s="85"/>
      <c r="S632" s="85">
        <f t="shared" si="135"/>
        <v>152901.20000000001</v>
      </c>
      <c r="T632" s="85"/>
      <c r="U632" s="85">
        <f t="shared" si="141"/>
        <v>152901.20000000001</v>
      </c>
    </row>
    <row r="633" spans="1:21">
      <c r="A633" s="61" t="str">
        <f ca="1">IF(ISERROR(MATCH(F633,Код_КВР,0)),"",INDIRECT(ADDRESS(MATCH(F633,Код_КВР,0)+1,2,,,"КВР")))</f>
        <v>Субсидии автономным учреждениям</v>
      </c>
      <c r="B633" s="145">
        <v>805</v>
      </c>
      <c r="C633" s="8" t="s">
        <v>195</v>
      </c>
      <c r="D633" s="8" t="s">
        <v>214</v>
      </c>
      <c r="E633" s="145" t="s">
        <v>281</v>
      </c>
      <c r="F633" s="145">
        <v>620</v>
      </c>
      <c r="G633" s="69">
        <f>G634</f>
        <v>3259.7</v>
      </c>
      <c r="H633" s="69">
        <f>H634</f>
        <v>0</v>
      </c>
      <c r="I633" s="69">
        <f t="shared" si="130"/>
        <v>3259.7</v>
      </c>
      <c r="J633" s="69">
        <f>J634</f>
        <v>0</v>
      </c>
      <c r="K633" s="85">
        <f t="shared" si="144"/>
        <v>3259.7</v>
      </c>
      <c r="L633" s="13">
        <f>L634</f>
        <v>0</v>
      </c>
      <c r="M633" s="85">
        <f t="shared" si="137"/>
        <v>3259.7</v>
      </c>
      <c r="N633" s="13">
        <f>N634</f>
        <v>0</v>
      </c>
      <c r="O633" s="85">
        <f t="shared" si="138"/>
        <v>3259.7</v>
      </c>
      <c r="P633" s="13">
        <f>P634</f>
        <v>0</v>
      </c>
      <c r="Q633" s="85">
        <f t="shared" si="136"/>
        <v>3259.7</v>
      </c>
      <c r="R633" s="13">
        <f>R634</f>
        <v>0</v>
      </c>
      <c r="S633" s="85">
        <f t="shared" si="135"/>
        <v>3259.7</v>
      </c>
      <c r="T633" s="13">
        <f>T634</f>
        <v>0</v>
      </c>
      <c r="U633" s="85">
        <f t="shared" si="141"/>
        <v>3259.7</v>
      </c>
    </row>
    <row r="634" spans="1:21" ht="49.5">
      <c r="A634" s="61" t="str">
        <f ca="1">IF(ISERROR(MATCH(F634,Код_КВР,0)),"",INDIRECT(ADDRESS(MATCH(F634,Код_КВР,0)+1,2,,,"КВР")))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34" s="145">
        <v>805</v>
      </c>
      <c r="C634" s="8" t="s">
        <v>195</v>
      </c>
      <c r="D634" s="8" t="s">
        <v>214</v>
      </c>
      <c r="E634" s="145" t="s">
        <v>281</v>
      </c>
      <c r="F634" s="145">
        <v>621</v>
      </c>
      <c r="G634" s="69">
        <v>3259.7</v>
      </c>
      <c r="H634" s="64"/>
      <c r="I634" s="69">
        <f t="shared" si="130"/>
        <v>3259.7</v>
      </c>
      <c r="J634" s="64"/>
      <c r="K634" s="85">
        <f t="shared" si="144"/>
        <v>3259.7</v>
      </c>
      <c r="L634" s="85"/>
      <c r="M634" s="85">
        <f t="shared" si="137"/>
        <v>3259.7</v>
      </c>
      <c r="N634" s="85"/>
      <c r="O634" s="85">
        <f t="shared" si="138"/>
        <v>3259.7</v>
      </c>
      <c r="P634" s="85"/>
      <c r="Q634" s="85">
        <f t="shared" si="136"/>
        <v>3259.7</v>
      </c>
      <c r="R634" s="85"/>
      <c r="S634" s="85">
        <f t="shared" ref="S634:S707" si="145">Q634+R634</f>
        <v>3259.7</v>
      </c>
      <c r="T634" s="85"/>
      <c r="U634" s="85">
        <f t="shared" si="141"/>
        <v>3259.7</v>
      </c>
    </row>
    <row r="635" spans="1:21" ht="82.5">
      <c r="A635" s="61" t="str">
        <f ca="1">IF(ISERROR(MATCH(E635,Код_КЦСР,0)),"",INDIRECT(ADDRESS(MATCH(E635,Код_КЦСР,0)+1,2,,,"КЦСР")))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</v>
      </c>
      <c r="B635" s="145">
        <v>805</v>
      </c>
      <c r="C635" s="8" t="s">
        <v>195</v>
      </c>
      <c r="D635" s="8" t="s">
        <v>214</v>
      </c>
      <c r="E635" s="145" t="s">
        <v>282</v>
      </c>
      <c r="F635" s="145"/>
      <c r="G635" s="69">
        <f t="shared" ref="G635:T637" si="146">G636</f>
        <v>8367.7000000000007</v>
      </c>
      <c r="H635" s="69">
        <f t="shared" si="146"/>
        <v>0</v>
      </c>
      <c r="I635" s="69">
        <f t="shared" si="130"/>
        <v>8367.7000000000007</v>
      </c>
      <c r="J635" s="69">
        <f t="shared" si="146"/>
        <v>0</v>
      </c>
      <c r="K635" s="85">
        <f t="shared" si="144"/>
        <v>8367.7000000000007</v>
      </c>
      <c r="L635" s="13">
        <f t="shared" si="146"/>
        <v>0</v>
      </c>
      <c r="M635" s="85">
        <f t="shared" si="137"/>
        <v>8367.7000000000007</v>
      </c>
      <c r="N635" s="13">
        <f t="shared" si="146"/>
        <v>0</v>
      </c>
      <c r="O635" s="85">
        <f t="shared" si="138"/>
        <v>8367.7000000000007</v>
      </c>
      <c r="P635" s="13">
        <f t="shared" si="146"/>
        <v>0</v>
      </c>
      <c r="Q635" s="85">
        <f t="shared" si="136"/>
        <v>8367.7000000000007</v>
      </c>
      <c r="R635" s="13">
        <f t="shared" si="146"/>
        <v>0</v>
      </c>
      <c r="S635" s="85">
        <f t="shared" si="145"/>
        <v>8367.7000000000007</v>
      </c>
      <c r="T635" s="13">
        <f t="shared" si="146"/>
        <v>-373.2</v>
      </c>
      <c r="U635" s="85">
        <f t="shared" si="141"/>
        <v>7994.5000000000009</v>
      </c>
    </row>
    <row r="636" spans="1:21" ht="33">
      <c r="A636" s="61" t="str">
        <f ca="1">IF(ISERROR(MATCH(F636,Код_КВР,0)),"",INDIRECT(ADDRESS(MATCH(F636,Код_КВР,0)+1,2,,,"КВР")))</f>
        <v>Предоставление субсидий бюджетным, автономным учреждениям и иным некоммерческим организациям</v>
      </c>
      <c r="B636" s="145">
        <v>805</v>
      </c>
      <c r="C636" s="8" t="s">
        <v>195</v>
      </c>
      <c r="D636" s="8" t="s">
        <v>214</v>
      </c>
      <c r="E636" s="145" t="s">
        <v>282</v>
      </c>
      <c r="F636" s="145">
        <v>600</v>
      </c>
      <c r="G636" s="69">
        <f t="shared" si="146"/>
        <v>8367.7000000000007</v>
      </c>
      <c r="H636" s="69">
        <f t="shared" si="146"/>
        <v>0</v>
      </c>
      <c r="I636" s="69">
        <f t="shared" ref="I636:I721" si="147">G636+H636</f>
        <v>8367.7000000000007</v>
      </c>
      <c r="J636" s="69">
        <f t="shared" si="146"/>
        <v>0</v>
      </c>
      <c r="K636" s="85">
        <f t="shared" si="144"/>
        <v>8367.7000000000007</v>
      </c>
      <c r="L636" s="13">
        <f t="shared" si="146"/>
        <v>0</v>
      </c>
      <c r="M636" s="85">
        <f t="shared" si="137"/>
        <v>8367.7000000000007</v>
      </c>
      <c r="N636" s="13">
        <f t="shared" si="146"/>
        <v>0</v>
      </c>
      <c r="O636" s="85">
        <f t="shared" si="138"/>
        <v>8367.7000000000007</v>
      </c>
      <c r="P636" s="13">
        <f t="shared" si="146"/>
        <v>0</v>
      </c>
      <c r="Q636" s="85">
        <f t="shared" si="136"/>
        <v>8367.7000000000007</v>
      </c>
      <c r="R636" s="13">
        <f t="shared" si="146"/>
        <v>0</v>
      </c>
      <c r="S636" s="85">
        <f t="shared" si="145"/>
        <v>8367.7000000000007</v>
      </c>
      <c r="T636" s="13">
        <f t="shared" si="146"/>
        <v>-373.2</v>
      </c>
      <c r="U636" s="85">
        <f t="shared" si="141"/>
        <v>7994.5000000000009</v>
      </c>
    </row>
    <row r="637" spans="1:21">
      <c r="A637" s="61" t="str">
        <f ca="1">IF(ISERROR(MATCH(F637,Код_КВР,0)),"",INDIRECT(ADDRESS(MATCH(F637,Код_КВР,0)+1,2,,,"КВР")))</f>
        <v>Субсидии бюджетным учреждениям</v>
      </c>
      <c r="B637" s="145">
        <v>805</v>
      </c>
      <c r="C637" s="8" t="s">
        <v>195</v>
      </c>
      <c r="D637" s="8" t="s">
        <v>214</v>
      </c>
      <c r="E637" s="145" t="s">
        <v>282</v>
      </c>
      <c r="F637" s="145">
        <v>610</v>
      </c>
      <c r="G637" s="69">
        <f t="shared" si="146"/>
        <v>8367.7000000000007</v>
      </c>
      <c r="H637" s="69">
        <f t="shared" si="146"/>
        <v>0</v>
      </c>
      <c r="I637" s="69">
        <f t="shared" si="147"/>
        <v>8367.7000000000007</v>
      </c>
      <c r="J637" s="69">
        <f t="shared" si="146"/>
        <v>0</v>
      </c>
      <c r="K637" s="85">
        <f t="shared" si="144"/>
        <v>8367.7000000000007</v>
      </c>
      <c r="L637" s="13">
        <f t="shared" si="146"/>
        <v>0</v>
      </c>
      <c r="M637" s="85">
        <f t="shared" si="137"/>
        <v>8367.7000000000007</v>
      </c>
      <c r="N637" s="13">
        <f t="shared" si="146"/>
        <v>0</v>
      </c>
      <c r="O637" s="85">
        <f t="shared" si="138"/>
        <v>8367.7000000000007</v>
      </c>
      <c r="P637" s="13">
        <f t="shared" si="146"/>
        <v>0</v>
      </c>
      <c r="Q637" s="85">
        <f t="shared" si="136"/>
        <v>8367.7000000000007</v>
      </c>
      <c r="R637" s="13">
        <f t="shared" si="146"/>
        <v>0</v>
      </c>
      <c r="S637" s="85">
        <f t="shared" si="145"/>
        <v>8367.7000000000007</v>
      </c>
      <c r="T637" s="13">
        <f t="shared" si="146"/>
        <v>-373.2</v>
      </c>
      <c r="U637" s="85">
        <f t="shared" si="141"/>
        <v>7994.5000000000009</v>
      </c>
    </row>
    <row r="638" spans="1:21" ht="49.5">
      <c r="A638" s="61" t="str">
        <f ca="1">IF(ISERROR(MATCH(F638,Код_КВР,0)),"",INDIRECT(ADDRESS(MATCH(F638,Код_КВР,0)+1,2,,,"КВР")))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38" s="145">
        <v>805</v>
      </c>
      <c r="C638" s="8" t="s">
        <v>195</v>
      </c>
      <c r="D638" s="8" t="s">
        <v>214</v>
      </c>
      <c r="E638" s="145" t="s">
        <v>282</v>
      </c>
      <c r="F638" s="145">
        <v>611</v>
      </c>
      <c r="G638" s="69">
        <v>8367.7000000000007</v>
      </c>
      <c r="H638" s="64"/>
      <c r="I638" s="69">
        <f t="shared" si="147"/>
        <v>8367.7000000000007</v>
      </c>
      <c r="J638" s="64"/>
      <c r="K638" s="85">
        <f t="shared" si="144"/>
        <v>8367.7000000000007</v>
      </c>
      <c r="L638" s="85"/>
      <c r="M638" s="85">
        <f t="shared" si="137"/>
        <v>8367.7000000000007</v>
      </c>
      <c r="N638" s="85"/>
      <c r="O638" s="85">
        <f t="shared" si="138"/>
        <v>8367.7000000000007</v>
      </c>
      <c r="P638" s="85"/>
      <c r="Q638" s="85">
        <f t="shared" si="136"/>
        <v>8367.7000000000007</v>
      </c>
      <c r="R638" s="85"/>
      <c r="S638" s="85">
        <f t="shared" si="145"/>
        <v>8367.7000000000007</v>
      </c>
      <c r="T638" s="85">
        <v>-373.2</v>
      </c>
      <c r="U638" s="85">
        <f t="shared" si="141"/>
        <v>7994.5000000000009</v>
      </c>
    </row>
    <row r="639" spans="1:21" ht="33">
      <c r="A639" s="61" t="str">
        <f ca="1">IF(ISERROR(MATCH(E639,Код_КЦСР,0)),"",INDIRECT(ADDRESS(MATCH(E639,Код_КЦСР,0)+1,2,,,"КЦСР")))</f>
        <v>Формирование комплексной системы выявления, развития и поддержки одаренных детей и молодых талантов</v>
      </c>
      <c r="B639" s="145">
        <v>805</v>
      </c>
      <c r="C639" s="8" t="s">
        <v>195</v>
      </c>
      <c r="D639" s="8" t="s">
        <v>214</v>
      </c>
      <c r="E639" s="145" t="s">
        <v>283</v>
      </c>
      <c r="F639" s="145"/>
      <c r="G639" s="69">
        <f>G640</f>
        <v>458</v>
      </c>
      <c r="H639" s="69">
        <f>H640</f>
        <v>0</v>
      </c>
      <c r="I639" s="69">
        <f t="shared" si="147"/>
        <v>458</v>
      </c>
      <c r="J639" s="69">
        <f>J640</f>
        <v>0</v>
      </c>
      <c r="K639" s="85">
        <f t="shared" si="144"/>
        <v>458</v>
      </c>
      <c r="L639" s="13">
        <f>L640</f>
        <v>0</v>
      </c>
      <c r="M639" s="85">
        <f t="shared" si="137"/>
        <v>458</v>
      </c>
      <c r="N639" s="13">
        <f>N640</f>
        <v>0</v>
      </c>
      <c r="O639" s="85">
        <f t="shared" si="138"/>
        <v>458</v>
      </c>
      <c r="P639" s="13">
        <f>P640</f>
        <v>10</v>
      </c>
      <c r="Q639" s="85">
        <f t="shared" si="136"/>
        <v>468</v>
      </c>
      <c r="R639" s="13">
        <f>R640</f>
        <v>0</v>
      </c>
      <c r="S639" s="85">
        <f t="shared" si="145"/>
        <v>468</v>
      </c>
      <c r="T639" s="13">
        <f>T640</f>
        <v>0</v>
      </c>
      <c r="U639" s="85">
        <f t="shared" si="141"/>
        <v>468</v>
      </c>
    </row>
    <row r="640" spans="1:21">
      <c r="A640" s="61" t="str">
        <f ca="1">IF(ISERROR(MATCH(F640,Код_КВР,0)),"",INDIRECT(ADDRESS(MATCH(F640,Код_КВР,0)+1,2,,,"КВР")))</f>
        <v>Социальное обеспечение и иные выплаты населению</v>
      </c>
      <c r="B640" s="145">
        <v>805</v>
      </c>
      <c r="C640" s="8" t="s">
        <v>195</v>
      </c>
      <c r="D640" s="8" t="s">
        <v>214</v>
      </c>
      <c r="E640" s="145" t="s">
        <v>283</v>
      </c>
      <c r="F640" s="145">
        <v>300</v>
      </c>
      <c r="G640" s="69">
        <f>SUM(G641:G642)</f>
        <v>458</v>
      </c>
      <c r="H640" s="69">
        <f>SUM(H641:H642)</f>
        <v>0</v>
      </c>
      <c r="I640" s="69">
        <f t="shared" si="147"/>
        <v>458</v>
      </c>
      <c r="J640" s="69">
        <f>SUM(J641:J642)</f>
        <v>0</v>
      </c>
      <c r="K640" s="85">
        <f t="shared" si="144"/>
        <v>458</v>
      </c>
      <c r="L640" s="13">
        <f>SUM(L641:L642)</f>
        <v>0</v>
      </c>
      <c r="M640" s="85">
        <f t="shared" si="137"/>
        <v>458</v>
      </c>
      <c r="N640" s="13">
        <f>SUM(N641:N642)</f>
        <v>0</v>
      </c>
      <c r="O640" s="85">
        <f t="shared" si="138"/>
        <v>458</v>
      </c>
      <c r="P640" s="13">
        <f>SUM(P641:P642)</f>
        <v>10</v>
      </c>
      <c r="Q640" s="85">
        <f t="shared" ref="Q640:Q713" si="148">O640+P640</f>
        <v>468</v>
      </c>
      <c r="R640" s="13">
        <f>SUM(R641:R642)</f>
        <v>0</v>
      </c>
      <c r="S640" s="85">
        <f t="shared" si="145"/>
        <v>468</v>
      </c>
      <c r="T640" s="13">
        <f>SUM(T641:T642)</f>
        <v>0</v>
      </c>
      <c r="U640" s="85">
        <f t="shared" si="141"/>
        <v>468</v>
      </c>
    </row>
    <row r="641" spans="1:22">
      <c r="A641" s="61" t="str">
        <f ca="1">IF(ISERROR(MATCH(F641,Код_КВР,0)),"",INDIRECT(ADDRESS(MATCH(F641,Код_КВР,0)+1,2,,,"КВР")))</f>
        <v>Стипендии</v>
      </c>
      <c r="B641" s="145">
        <v>805</v>
      </c>
      <c r="C641" s="8" t="s">
        <v>195</v>
      </c>
      <c r="D641" s="8" t="s">
        <v>214</v>
      </c>
      <c r="E641" s="145" t="s">
        <v>283</v>
      </c>
      <c r="F641" s="145">
        <v>340</v>
      </c>
      <c r="G641" s="69">
        <v>200</v>
      </c>
      <c r="H641" s="64"/>
      <c r="I641" s="69">
        <f t="shared" si="147"/>
        <v>200</v>
      </c>
      <c r="J641" s="64"/>
      <c r="K641" s="85">
        <f t="shared" si="144"/>
        <v>200</v>
      </c>
      <c r="L641" s="85"/>
      <c r="M641" s="85">
        <f t="shared" si="137"/>
        <v>200</v>
      </c>
      <c r="N641" s="85"/>
      <c r="O641" s="85">
        <f t="shared" si="138"/>
        <v>200</v>
      </c>
      <c r="P641" s="85"/>
      <c r="Q641" s="85">
        <f t="shared" si="148"/>
        <v>200</v>
      </c>
      <c r="R641" s="85"/>
      <c r="S641" s="85">
        <f t="shared" si="145"/>
        <v>200</v>
      </c>
      <c r="T641" s="85"/>
      <c r="U641" s="85">
        <f t="shared" si="141"/>
        <v>200</v>
      </c>
    </row>
    <row r="642" spans="1:22">
      <c r="A642" s="61" t="str">
        <f ca="1">IF(ISERROR(MATCH(F642,Код_КВР,0)),"",INDIRECT(ADDRESS(MATCH(F642,Код_КВР,0)+1,2,,,"КВР")))</f>
        <v>Премии и гранты</v>
      </c>
      <c r="B642" s="145">
        <v>805</v>
      </c>
      <c r="C642" s="8" t="s">
        <v>195</v>
      </c>
      <c r="D642" s="8" t="s">
        <v>214</v>
      </c>
      <c r="E642" s="145" t="s">
        <v>283</v>
      </c>
      <c r="F642" s="145">
        <v>350</v>
      </c>
      <c r="G642" s="69">
        <v>258</v>
      </c>
      <c r="H642" s="64"/>
      <c r="I642" s="69">
        <f t="shared" si="147"/>
        <v>258</v>
      </c>
      <c r="J642" s="64"/>
      <c r="K642" s="85">
        <f t="shared" si="144"/>
        <v>258</v>
      </c>
      <c r="L642" s="85"/>
      <c r="M642" s="85">
        <f t="shared" si="137"/>
        <v>258</v>
      </c>
      <c r="N642" s="85"/>
      <c r="O642" s="85">
        <f t="shared" si="138"/>
        <v>258</v>
      </c>
      <c r="P642" s="85">
        <v>10</v>
      </c>
      <c r="Q642" s="85">
        <f t="shared" si="148"/>
        <v>268</v>
      </c>
      <c r="R642" s="85"/>
      <c r="S642" s="85">
        <f t="shared" si="145"/>
        <v>268</v>
      </c>
      <c r="T642" s="85"/>
      <c r="U642" s="85">
        <f t="shared" si="141"/>
        <v>268</v>
      </c>
    </row>
    <row r="643" spans="1:22" ht="66">
      <c r="A643" s="61" t="str">
        <f ca="1">IF(ISERROR(MATCH(E643,Код_КЦСР,0)),"",INDIRECT(ADDRESS(MATCH(E643,Код_КЦСР,0)+1,2,,,"КЦСР")))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общеобразовательных учреждениях за счет субвенций из областного бюджета</v>
      </c>
      <c r="B643" s="145">
        <v>805</v>
      </c>
      <c r="C643" s="8" t="s">
        <v>195</v>
      </c>
      <c r="D643" s="8" t="s">
        <v>214</v>
      </c>
      <c r="E643" s="145" t="s">
        <v>438</v>
      </c>
      <c r="F643" s="145"/>
      <c r="G643" s="69">
        <f>G644</f>
        <v>1155626.6000000001</v>
      </c>
      <c r="H643" s="69">
        <f>H644</f>
        <v>0</v>
      </c>
      <c r="I643" s="69">
        <f t="shared" si="147"/>
        <v>1155626.6000000001</v>
      </c>
      <c r="J643" s="69">
        <f>J644</f>
        <v>0</v>
      </c>
      <c r="K643" s="85">
        <f t="shared" si="144"/>
        <v>1155626.6000000001</v>
      </c>
      <c r="L643" s="13">
        <f>L644</f>
        <v>0</v>
      </c>
      <c r="M643" s="85">
        <f t="shared" si="137"/>
        <v>1155626.6000000001</v>
      </c>
      <c r="N643" s="13">
        <f>N644</f>
        <v>0</v>
      </c>
      <c r="O643" s="85">
        <f t="shared" si="138"/>
        <v>1155626.6000000001</v>
      </c>
      <c r="P643" s="13">
        <f>P644</f>
        <v>0</v>
      </c>
      <c r="Q643" s="85">
        <f t="shared" si="148"/>
        <v>1155626.6000000001</v>
      </c>
      <c r="R643" s="13">
        <f>R644</f>
        <v>4006.7000000000007</v>
      </c>
      <c r="S643" s="85">
        <f t="shared" si="145"/>
        <v>1159633.3</v>
      </c>
      <c r="T643" s="13">
        <f>T644</f>
        <v>7434.9000000000005</v>
      </c>
      <c r="U643" s="85">
        <f t="shared" si="141"/>
        <v>1167068.2</v>
      </c>
    </row>
    <row r="644" spans="1:22" ht="33">
      <c r="A644" s="61" t="str">
        <f t="shared" ref="A644:A650" ca="1" si="149">IF(ISERROR(MATCH(F644,Код_КВР,0)),"",INDIRECT(ADDRESS(MATCH(F644,Код_КВР,0)+1,2,,,"КВР")))</f>
        <v>Предоставление субсидий бюджетным, автономным учреждениям и иным некоммерческим организациям</v>
      </c>
      <c r="B644" s="145">
        <v>805</v>
      </c>
      <c r="C644" s="8" t="s">
        <v>195</v>
      </c>
      <c r="D644" s="8" t="s">
        <v>214</v>
      </c>
      <c r="E644" s="145" t="s">
        <v>438</v>
      </c>
      <c r="F644" s="145">
        <v>600</v>
      </c>
      <c r="G644" s="69">
        <f>G645+G648</f>
        <v>1155626.6000000001</v>
      </c>
      <c r="H644" s="69">
        <f>H645+H648</f>
        <v>0</v>
      </c>
      <c r="I644" s="69">
        <f t="shared" si="147"/>
        <v>1155626.6000000001</v>
      </c>
      <c r="J644" s="69">
        <f>J645+J648</f>
        <v>0</v>
      </c>
      <c r="K644" s="85">
        <f t="shared" si="144"/>
        <v>1155626.6000000001</v>
      </c>
      <c r="L644" s="13">
        <f>L645+L648</f>
        <v>0</v>
      </c>
      <c r="M644" s="85">
        <f t="shared" si="137"/>
        <v>1155626.6000000001</v>
      </c>
      <c r="N644" s="13">
        <f>N645+N648</f>
        <v>0</v>
      </c>
      <c r="O644" s="85">
        <f t="shared" si="138"/>
        <v>1155626.6000000001</v>
      </c>
      <c r="P644" s="13">
        <f>P645+P648</f>
        <v>0</v>
      </c>
      <c r="Q644" s="85">
        <f t="shared" si="148"/>
        <v>1155626.6000000001</v>
      </c>
      <c r="R644" s="13">
        <f>R645+R648</f>
        <v>4006.7000000000007</v>
      </c>
      <c r="S644" s="85">
        <f t="shared" si="145"/>
        <v>1159633.3</v>
      </c>
      <c r="T644" s="13">
        <f>T645+T648</f>
        <v>7434.9000000000005</v>
      </c>
      <c r="U644" s="85">
        <f t="shared" si="141"/>
        <v>1167068.2</v>
      </c>
    </row>
    <row r="645" spans="1:22">
      <c r="A645" s="61" t="str">
        <f t="shared" ca="1" si="149"/>
        <v>Субсидии бюджетным учреждениям</v>
      </c>
      <c r="B645" s="145">
        <v>805</v>
      </c>
      <c r="C645" s="8" t="s">
        <v>195</v>
      </c>
      <c r="D645" s="8" t="s">
        <v>214</v>
      </c>
      <c r="E645" s="145" t="s">
        <v>438</v>
      </c>
      <c r="F645" s="145">
        <v>610</v>
      </c>
      <c r="G645" s="69">
        <f>G646</f>
        <v>1133628.3</v>
      </c>
      <c r="H645" s="69">
        <f>H646</f>
        <v>0</v>
      </c>
      <c r="I645" s="69">
        <f t="shared" si="147"/>
        <v>1133628.3</v>
      </c>
      <c r="J645" s="69">
        <f>J646</f>
        <v>0</v>
      </c>
      <c r="K645" s="85">
        <f t="shared" si="144"/>
        <v>1133628.3</v>
      </c>
      <c r="L645" s="13">
        <f>L646</f>
        <v>0</v>
      </c>
      <c r="M645" s="85">
        <f t="shared" si="137"/>
        <v>1133628.3</v>
      </c>
      <c r="N645" s="13">
        <f>N646</f>
        <v>0</v>
      </c>
      <c r="O645" s="85">
        <f t="shared" si="138"/>
        <v>1133628.3</v>
      </c>
      <c r="P645" s="13">
        <f>P646</f>
        <v>0</v>
      </c>
      <c r="Q645" s="85">
        <f t="shared" si="148"/>
        <v>1133628.3</v>
      </c>
      <c r="R645" s="13">
        <f>R646+R647</f>
        <v>4006.7000000000007</v>
      </c>
      <c r="S645" s="85">
        <f t="shared" si="145"/>
        <v>1137635</v>
      </c>
      <c r="T645" s="13">
        <f>T646+T647</f>
        <v>7434.9000000000005</v>
      </c>
      <c r="U645" s="85">
        <f t="shared" si="141"/>
        <v>1145069.8999999999</v>
      </c>
    </row>
    <row r="646" spans="1:22" ht="49.5">
      <c r="A646" s="61" t="str">
        <f t="shared" ca="1" si="149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46" s="145">
        <v>805</v>
      </c>
      <c r="C646" s="8" t="s">
        <v>195</v>
      </c>
      <c r="D646" s="8" t="s">
        <v>214</v>
      </c>
      <c r="E646" s="145" t="s">
        <v>438</v>
      </c>
      <c r="F646" s="145">
        <v>611</v>
      </c>
      <c r="G646" s="69">
        <f>1055697.5+77930.8</f>
        <v>1133628.3</v>
      </c>
      <c r="H646" s="64"/>
      <c r="I646" s="69">
        <f t="shared" si="147"/>
        <v>1133628.3</v>
      </c>
      <c r="J646" s="64"/>
      <c r="K646" s="85">
        <f t="shared" si="144"/>
        <v>1133628.3</v>
      </c>
      <c r="L646" s="85"/>
      <c r="M646" s="85">
        <f t="shared" si="137"/>
        <v>1133628.3</v>
      </c>
      <c r="N646" s="85"/>
      <c r="O646" s="85">
        <f t="shared" si="138"/>
        <v>1133628.3</v>
      </c>
      <c r="P646" s="85"/>
      <c r="Q646" s="85">
        <f t="shared" si="148"/>
        <v>1133628.3</v>
      </c>
      <c r="R646" s="85">
        <f>-16910.8+4006.7</f>
        <v>-12904.099999999999</v>
      </c>
      <c r="S646" s="85">
        <f t="shared" si="145"/>
        <v>1120724.2</v>
      </c>
      <c r="T646" s="85">
        <f>7935.8-500.9</f>
        <v>7434.9000000000005</v>
      </c>
      <c r="U646" s="85">
        <f t="shared" si="141"/>
        <v>1128159.0999999999</v>
      </c>
    </row>
    <row r="647" spans="1:22">
      <c r="A647" s="61" t="str">
        <f t="shared" ca="1" si="149"/>
        <v>Субсидии бюджетным учреждениям на иные цели</v>
      </c>
      <c r="B647" s="145">
        <v>805</v>
      </c>
      <c r="C647" s="8" t="s">
        <v>195</v>
      </c>
      <c r="D647" s="8" t="s">
        <v>214</v>
      </c>
      <c r="E647" s="145" t="s">
        <v>438</v>
      </c>
      <c r="F647" s="145">
        <v>612</v>
      </c>
      <c r="G647" s="69"/>
      <c r="H647" s="64"/>
      <c r="I647" s="69"/>
      <c r="J647" s="64"/>
      <c r="K647" s="85"/>
      <c r="L647" s="85"/>
      <c r="M647" s="85"/>
      <c r="N647" s="85"/>
      <c r="O647" s="85"/>
      <c r="P647" s="85"/>
      <c r="Q647" s="85">
        <f t="shared" si="148"/>
        <v>0</v>
      </c>
      <c r="R647" s="85">
        <v>16910.8</v>
      </c>
      <c r="S647" s="85">
        <f t="shared" si="145"/>
        <v>16910.8</v>
      </c>
      <c r="T647" s="85"/>
      <c r="U647" s="85">
        <f t="shared" si="141"/>
        <v>16910.8</v>
      </c>
    </row>
    <row r="648" spans="1:22">
      <c r="A648" s="61" t="str">
        <f t="shared" ca="1" si="149"/>
        <v>Субсидии автономным учреждениям</v>
      </c>
      <c r="B648" s="145">
        <v>805</v>
      </c>
      <c r="C648" s="8" t="s">
        <v>195</v>
      </c>
      <c r="D648" s="8" t="s">
        <v>214</v>
      </c>
      <c r="E648" s="145" t="s">
        <v>438</v>
      </c>
      <c r="F648" s="145">
        <v>620</v>
      </c>
      <c r="G648" s="69">
        <f>G649</f>
        <v>21998.3</v>
      </c>
      <c r="H648" s="69">
        <f>H649</f>
        <v>0</v>
      </c>
      <c r="I648" s="69">
        <f t="shared" si="147"/>
        <v>21998.3</v>
      </c>
      <c r="J648" s="69">
        <f>J649</f>
        <v>0</v>
      </c>
      <c r="K648" s="85">
        <f t="shared" si="144"/>
        <v>21998.3</v>
      </c>
      <c r="L648" s="13">
        <f>L649</f>
        <v>0</v>
      </c>
      <c r="M648" s="85">
        <f t="shared" si="137"/>
        <v>21998.3</v>
      </c>
      <c r="N648" s="13">
        <f>N649</f>
        <v>0</v>
      </c>
      <c r="O648" s="85">
        <f t="shared" si="138"/>
        <v>21998.3</v>
      </c>
      <c r="P648" s="13">
        <f>P649</f>
        <v>0</v>
      </c>
      <c r="Q648" s="85">
        <f t="shared" si="148"/>
        <v>21998.3</v>
      </c>
      <c r="R648" s="13">
        <f>R649+R650</f>
        <v>0</v>
      </c>
      <c r="S648" s="85">
        <f t="shared" si="145"/>
        <v>21998.3</v>
      </c>
      <c r="T648" s="13">
        <f>T649+T650</f>
        <v>0</v>
      </c>
      <c r="U648" s="85">
        <f t="shared" si="141"/>
        <v>21998.3</v>
      </c>
    </row>
    <row r="649" spans="1:22" ht="49.5">
      <c r="A649" s="61" t="str">
        <f t="shared" ca="1" si="149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649" s="145">
        <v>805</v>
      </c>
      <c r="C649" s="8" t="s">
        <v>195</v>
      </c>
      <c r="D649" s="8" t="s">
        <v>214</v>
      </c>
      <c r="E649" s="145" t="s">
        <v>438</v>
      </c>
      <c r="F649" s="145">
        <v>621</v>
      </c>
      <c r="G649" s="69">
        <v>21998.3</v>
      </c>
      <c r="H649" s="64"/>
      <c r="I649" s="69">
        <f t="shared" si="147"/>
        <v>21998.3</v>
      </c>
      <c r="J649" s="64"/>
      <c r="K649" s="85">
        <f t="shared" si="144"/>
        <v>21998.3</v>
      </c>
      <c r="L649" s="85"/>
      <c r="M649" s="85">
        <f t="shared" si="137"/>
        <v>21998.3</v>
      </c>
      <c r="N649" s="85"/>
      <c r="O649" s="85">
        <f t="shared" si="138"/>
        <v>21998.3</v>
      </c>
      <c r="P649" s="85"/>
      <c r="Q649" s="85">
        <f t="shared" si="148"/>
        <v>21998.3</v>
      </c>
      <c r="R649" s="85">
        <v>-400.8</v>
      </c>
      <c r="S649" s="85">
        <f t="shared" si="145"/>
        <v>21597.5</v>
      </c>
      <c r="T649" s="85"/>
      <c r="U649" s="85">
        <f t="shared" si="141"/>
        <v>21597.5</v>
      </c>
    </row>
    <row r="650" spans="1:22">
      <c r="A650" s="61" t="str">
        <f t="shared" ca="1" si="149"/>
        <v>Субсидии автономным учреждениям на иные цели</v>
      </c>
      <c r="B650" s="145">
        <v>805</v>
      </c>
      <c r="C650" s="8" t="s">
        <v>195</v>
      </c>
      <c r="D650" s="8" t="s">
        <v>214</v>
      </c>
      <c r="E650" s="145" t="s">
        <v>438</v>
      </c>
      <c r="F650" s="145">
        <v>622</v>
      </c>
      <c r="G650" s="69"/>
      <c r="H650" s="64"/>
      <c r="I650" s="69"/>
      <c r="J650" s="64"/>
      <c r="K650" s="85"/>
      <c r="L650" s="85"/>
      <c r="M650" s="85"/>
      <c r="N650" s="85"/>
      <c r="O650" s="85"/>
      <c r="P650" s="85"/>
      <c r="Q650" s="85">
        <f t="shared" si="148"/>
        <v>0</v>
      </c>
      <c r="R650" s="85">
        <v>400.8</v>
      </c>
      <c r="S650" s="85">
        <f t="shared" si="145"/>
        <v>400.8</v>
      </c>
      <c r="T650" s="85"/>
      <c r="U650" s="85">
        <f t="shared" si="141"/>
        <v>400.8</v>
      </c>
    </row>
    <row r="651" spans="1:22" ht="99">
      <c r="A651" s="61" t="str">
        <f ca="1">IF(ISERROR(MATCH(E651,Код_КЦСР,0)),"",INDIRECT(ADDRESS(MATCH(E651,Код_КЦСР,0)+1,2,,,"КЦСР")))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 за счет субвенций из областного бюджета</v>
      </c>
      <c r="B651" s="145">
        <v>805</v>
      </c>
      <c r="C651" s="8" t="s">
        <v>195</v>
      </c>
      <c r="D651" s="8" t="s">
        <v>214</v>
      </c>
      <c r="E651" s="145" t="s">
        <v>437</v>
      </c>
      <c r="F651" s="145"/>
      <c r="G651" s="69">
        <f>G652</f>
        <v>18111.400000000001</v>
      </c>
      <c r="H651" s="69">
        <f>H652</f>
        <v>0</v>
      </c>
      <c r="I651" s="69">
        <f>G651+H651</f>
        <v>18111.400000000001</v>
      </c>
      <c r="J651" s="69">
        <f>J652</f>
        <v>-7173</v>
      </c>
      <c r="K651" s="85">
        <f>I651+J651</f>
        <v>10938.400000000001</v>
      </c>
      <c r="L651" s="13">
        <f>L652</f>
        <v>0</v>
      </c>
      <c r="M651" s="85">
        <f t="shared" si="137"/>
        <v>10938.400000000001</v>
      </c>
      <c r="N651" s="13">
        <f>N652</f>
        <v>0</v>
      </c>
      <c r="O651" s="85">
        <f t="shared" si="138"/>
        <v>10938.400000000001</v>
      </c>
      <c r="P651" s="13">
        <f>P652</f>
        <v>0</v>
      </c>
      <c r="Q651" s="85">
        <f t="shared" si="148"/>
        <v>10938.400000000001</v>
      </c>
      <c r="R651" s="13">
        <f>R652</f>
        <v>0</v>
      </c>
      <c r="S651" s="85">
        <f t="shared" si="145"/>
        <v>10938.400000000001</v>
      </c>
      <c r="T651" s="13">
        <f>T652</f>
        <v>-4200.5</v>
      </c>
      <c r="U651" s="85">
        <f t="shared" si="141"/>
        <v>6737.9000000000015</v>
      </c>
    </row>
    <row r="652" spans="1:22" ht="33">
      <c r="A652" s="61" t="str">
        <f ca="1">IF(ISERROR(MATCH(F652,Код_КВР,0)),"",INDIRECT(ADDRESS(MATCH(F652,Код_КВР,0)+1,2,,,"КВР")))</f>
        <v>Предоставление субсидий бюджетным, автономным учреждениям и иным некоммерческим организациям</v>
      </c>
      <c r="B652" s="145">
        <v>805</v>
      </c>
      <c r="C652" s="8" t="s">
        <v>195</v>
      </c>
      <c r="D652" s="8" t="s">
        <v>214</v>
      </c>
      <c r="E652" s="145" t="s">
        <v>437</v>
      </c>
      <c r="F652" s="145">
        <v>600</v>
      </c>
      <c r="G652" s="69">
        <f>G653</f>
        <v>18111.400000000001</v>
      </c>
      <c r="H652" s="69">
        <f>H653</f>
        <v>0</v>
      </c>
      <c r="I652" s="69">
        <f t="shared" si="147"/>
        <v>18111.400000000001</v>
      </c>
      <c r="J652" s="69">
        <f>J653</f>
        <v>-7173</v>
      </c>
      <c r="K652" s="85">
        <f t="shared" si="144"/>
        <v>10938.400000000001</v>
      </c>
      <c r="L652" s="13">
        <f>L653</f>
        <v>0</v>
      </c>
      <c r="M652" s="85">
        <f t="shared" si="137"/>
        <v>10938.400000000001</v>
      </c>
      <c r="N652" s="13">
        <f>N653</f>
        <v>0</v>
      </c>
      <c r="O652" s="85">
        <f t="shared" si="138"/>
        <v>10938.400000000001</v>
      </c>
      <c r="P652" s="13">
        <f>P653</f>
        <v>0</v>
      </c>
      <c r="Q652" s="85">
        <f t="shared" si="148"/>
        <v>10938.400000000001</v>
      </c>
      <c r="R652" s="13">
        <f>R653+R656</f>
        <v>0</v>
      </c>
      <c r="S652" s="85">
        <f t="shared" si="145"/>
        <v>10938.400000000001</v>
      </c>
      <c r="T652" s="13">
        <f>T653+T656</f>
        <v>-4200.5</v>
      </c>
      <c r="U652" s="85">
        <f t="shared" si="141"/>
        <v>6737.9000000000015</v>
      </c>
    </row>
    <row r="653" spans="1:22">
      <c r="A653" s="61" t="str">
        <f ca="1">IF(ISERROR(MATCH(F653,Код_КВР,0)),"",INDIRECT(ADDRESS(MATCH(F653,Код_КВР,0)+1,2,,,"КВР")))</f>
        <v>Субсидии бюджетным учреждениям</v>
      </c>
      <c r="B653" s="145">
        <v>805</v>
      </c>
      <c r="C653" s="8" t="s">
        <v>195</v>
      </c>
      <c r="D653" s="8" t="s">
        <v>214</v>
      </c>
      <c r="E653" s="145" t="s">
        <v>437</v>
      </c>
      <c r="F653" s="145">
        <v>610</v>
      </c>
      <c r="G653" s="69">
        <f>G654</f>
        <v>18111.400000000001</v>
      </c>
      <c r="H653" s="64"/>
      <c r="I653" s="69">
        <f t="shared" si="147"/>
        <v>18111.400000000001</v>
      </c>
      <c r="J653" s="64">
        <f>J654</f>
        <v>-7173</v>
      </c>
      <c r="K653" s="85">
        <f t="shared" si="144"/>
        <v>10938.400000000001</v>
      </c>
      <c r="L653" s="85">
        <f>L654</f>
        <v>0</v>
      </c>
      <c r="M653" s="85">
        <f t="shared" si="137"/>
        <v>10938.400000000001</v>
      </c>
      <c r="N653" s="85">
        <f>N654</f>
        <v>0</v>
      </c>
      <c r="O653" s="85">
        <f t="shared" si="138"/>
        <v>10938.400000000001</v>
      </c>
      <c r="P653" s="85">
        <f>P654</f>
        <v>0</v>
      </c>
      <c r="Q653" s="85">
        <f t="shared" si="148"/>
        <v>10938.400000000001</v>
      </c>
      <c r="R653" s="13">
        <f>R655+R654</f>
        <v>0</v>
      </c>
      <c r="S653" s="85">
        <f>Q653+R653</f>
        <v>10938.400000000001</v>
      </c>
      <c r="T653" s="13">
        <f>T655+T654</f>
        <v>-4200.5</v>
      </c>
      <c r="U653" s="85">
        <f t="shared" si="141"/>
        <v>6737.9000000000015</v>
      </c>
    </row>
    <row r="654" spans="1:22" ht="49.5">
      <c r="A654" s="61" t="str">
        <f ca="1">IF(ISERROR(MATCH(F654,Код_КВР,0)),"",INDIRECT(ADDRESS(MATCH(F654,Код_КВР,0)+1,2,,,"КВР")))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54" s="145">
        <v>805</v>
      </c>
      <c r="C654" s="8" t="s">
        <v>195</v>
      </c>
      <c r="D654" s="8" t="s">
        <v>214</v>
      </c>
      <c r="E654" s="145" t="s">
        <v>437</v>
      </c>
      <c r="F654" s="145">
        <v>611</v>
      </c>
      <c r="G654" s="69">
        <v>18111.400000000001</v>
      </c>
      <c r="H654" s="64"/>
      <c r="I654" s="69">
        <f t="shared" si="147"/>
        <v>18111.400000000001</v>
      </c>
      <c r="J654" s="64">
        <f>-5464.6-1708.4</f>
        <v>-7173</v>
      </c>
      <c r="K654" s="85">
        <f t="shared" si="144"/>
        <v>10938.400000000001</v>
      </c>
      <c r="L654" s="85"/>
      <c r="M654" s="85">
        <f t="shared" si="137"/>
        <v>10938.400000000001</v>
      </c>
      <c r="N654" s="85"/>
      <c r="O654" s="85">
        <f t="shared" si="138"/>
        <v>10938.400000000001</v>
      </c>
      <c r="P654" s="85"/>
      <c r="Q654" s="85">
        <f t="shared" si="148"/>
        <v>10938.400000000001</v>
      </c>
      <c r="R654" s="13"/>
      <c r="S654" s="85">
        <f>Q654+R654</f>
        <v>10938.400000000001</v>
      </c>
      <c r="T654" s="13">
        <f>-3749.3-451.2</f>
        <v>-4200.5</v>
      </c>
      <c r="U654" s="85">
        <f t="shared" si="141"/>
        <v>6737.9000000000015</v>
      </c>
    </row>
    <row r="655" spans="1:22" hidden="1">
      <c r="A655" s="61" t="str">
        <f ca="1">IF(ISERROR(MATCH(F655,Код_КВР,0)),"",INDIRECT(ADDRESS(MATCH(F655,Код_КВР,0)+1,2,,,"КВР")))</f>
        <v>Субсидии бюджетным учреждениям на иные цели</v>
      </c>
      <c r="B655" s="145">
        <v>805</v>
      </c>
      <c r="C655" s="8" t="s">
        <v>195</v>
      </c>
      <c r="D655" s="8" t="s">
        <v>214</v>
      </c>
      <c r="E655" s="145" t="s">
        <v>437</v>
      </c>
      <c r="F655" s="145">
        <v>612</v>
      </c>
      <c r="G655" s="69"/>
      <c r="H655" s="64"/>
      <c r="I655" s="69"/>
      <c r="J655" s="64"/>
      <c r="K655" s="85"/>
      <c r="L655" s="85"/>
      <c r="M655" s="85"/>
      <c r="N655" s="85"/>
      <c r="O655" s="85"/>
      <c r="P655" s="85"/>
      <c r="Q655" s="85">
        <f t="shared" si="148"/>
        <v>0</v>
      </c>
      <c r="R655" s="13"/>
      <c r="S655" s="85">
        <f t="shared" si="145"/>
        <v>0</v>
      </c>
      <c r="T655" s="13"/>
      <c r="U655" s="85">
        <f t="shared" si="141"/>
        <v>0</v>
      </c>
      <c r="V655" s="155" t="s">
        <v>715</v>
      </c>
    </row>
    <row r="656" spans="1:22" hidden="1">
      <c r="A656" s="61" t="str">
        <f ca="1">IF(ISERROR(MATCH(F656,Код_КВР,0)),"",INDIRECT(ADDRESS(MATCH(F656,Код_КВР,0)+1,2,,,"КВР")))</f>
        <v>Субсидии автономным учреждениям на иные цели</v>
      </c>
      <c r="B656" s="145">
        <v>805</v>
      </c>
      <c r="C656" s="8" t="s">
        <v>195</v>
      </c>
      <c r="D656" s="8" t="s">
        <v>214</v>
      </c>
      <c r="E656" s="145" t="s">
        <v>437</v>
      </c>
      <c r="F656" s="145">
        <v>622</v>
      </c>
      <c r="G656" s="69"/>
      <c r="H656" s="64"/>
      <c r="I656" s="69"/>
      <c r="J656" s="64"/>
      <c r="K656" s="85"/>
      <c r="L656" s="85"/>
      <c r="M656" s="85"/>
      <c r="N656" s="85"/>
      <c r="O656" s="85"/>
      <c r="P656" s="85"/>
      <c r="Q656" s="85">
        <f t="shared" si="148"/>
        <v>0</v>
      </c>
      <c r="R656" s="13"/>
      <c r="S656" s="85">
        <f t="shared" si="145"/>
        <v>0</v>
      </c>
      <c r="T656" s="13"/>
      <c r="U656" s="85">
        <f t="shared" si="141"/>
        <v>0</v>
      </c>
      <c r="V656" s="155" t="s">
        <v>715</v>
      </c>
    </row>
    <row r="657" spans="1:21">
      <c r="A657" s="61" t="str">
        <f ca="1">IF(ISERROR(MATCH(E657,Код_КЦСР,0)),"",INDIRECT(ADDRESS(MATCH(E657,Код_КЦСР,0)+1,2,,,"КЦСР")))</f>
        <v>Дополнительное образование</v>
      </c>
      <c r="B657" s="145">
        <v>805</v>
      </c>
      <c r="C657" s="8" t="s">
        <v>195</v>
      </c>
      <c r="D657" s="8" t="s">
        <v>214</v>
      </c>
      <c r="E657" s="145" t="s">
        <v>285</v>
      </c>
      <c r="F657" s="145"/>
      <c r="G657" s="69">
        <f>G658+G662</f>
        <v>90080.2</v>
      </c>
      <c r="H657" s="69">
        <f>H658+H662</f>
        <v>0</v>
      </c>
      <c r="I657" s="69">
        <f t="shared" si="147"/>
        <v>90080.2</v>
      </c>
      <c r="J657" s="69">
        <f>J658+J662</f>
        <v>0</v>
      </c>
      <c r="K657" s="85">
        <f t="shared" si="144"/>
        <v>90080.2</v>
      </c>
      <c r="L657" s="13">
        <f>L658+L662</f>
        <v>-77</v>
      </c>
      <c r="M657" s="85">
        <f t="shared" si="137"/>
        <v>90003.199999999997</v>
      </c>
      <c r="N657" s="13">
        <f>N658+N662</f>
        <v>0</v>
      </c>
      <c r="O657" s="85">
        <f t="shared" si="138"/>
        <v>90003.199999999997</v>
      </c>
      <c r="P657" s="13">
        <f>P658+P662</f>
        <v>0</v>
      </c>
      <c r="Q657" s="85">
        <f t="shared" si="148"/>
        <v>90003.199999999997</v>
      </c>
      <c r="R657" s="13">
        <f>R658+R662</f>
        <v>0</v>
      </c>
      <c r="S657" s="85">
        <f t="shared" si="145"/>
        <v>90003.199999999997</v>
      </c>
      <c r="T657" s="13">
        <f>T658+T662</f>
        <v>373.2</v>
      </c>
      <c r="U657" s="85">
        <f t="shared" si="141"/>
        <v>90376.4</v>
      </c>
    </row>
    <row r="658" spans="1:21">
      <c r="A658" s="61" t="str">
        <f ca="1">IF(ISERROR(MATCH(E658,Код_КЦСР,0)),"",INDIRECT(ADDRESS(MATCH(E658,Код_КЦСР,0)+1,2,,,"КЦСР")))</f>
        <v xml:space="preserve">Организация предоставления дополнительного образования детям </v>
      </c>
      <c r="B658" s="145">
        <v>805</v>
      </c>
      <c r="C658" s="8" t="s">
        <v>195</v>
      </c>
      <c r="D658" s="8" t="s">
        <v>214</v>
      </c>
      <c r="E658" s="145" t="s">
        <v>287</v>
      </c>
      <c r="F658" s="145"/>
      <c r="G658" s="69">
        <f t="shared" ref="G658:T660" si="150">G659</f>
        <v>88222.7</v>
      </c>
      <c r="H658" s="69">
        <f t="shared" si="150"/>
        <v>0</v>
      </c>
      <c r="I658" s="69">
        <f t="shared" si="147"/>
        <v>88222.7</v>
      </c>
      <c r="J658" s="69">
        <f t="shared" si="150"/>
        <v>0</v>
      </c>
      <c r="K658" s="85">
        <f t="shared" si="144"/>
        <v>88222.7</v>
      </c>
      <c r="L658" s="13">
        <f t="shared" si="150"/>
        <v>-77</v>
      </c>
      <c r="M658" s="85">
        <f t="shared" si="137"/>
        <v>88145.7</v>
      </c>
      <c r="N658" s="13">
        <f t="shared" si="150"/>
        <v>0</v>
      </c>
      <c r="O658" s="85">
        <f t="shared" si="138"/>
        <v>88145.7</v>
      </c>
      <c r="P658" s="13">
        <f t="shared" si="150"/>
        <v>0</v>
      </c>
      <c r="Q658" s="85">
        <f t="shared" si="148"/>
        <v>88145.7</v>
      </c>
      <c r="R658" s="13">
        <f t="shared" si="150"/>
        <v>0</v>
      </c>
      <c r="S658" s="85">
        <f t="shared" si="145"/>
        <v>88145.7</v>
      </c>
      <c r="T658" s="13">
        <f t="shared" si="150"/>
        <v>373.2</v>
      </c>
      <c r="U658" s="85">
        <f t="shared" si="141"/>
        <v>88518.9</v>
      </c>
    </row>
    <row r="659" spans="1:21" ht="33">
      <c r="A659" s="61" t="str">
        <f ca="1">IF(ISERROR(MATCH(F659,Код_КВР,0)),"",INDIRECT(ADDRESS(MATCH(F659,Код_КВР,0)+1,2,,,"КВР")))</f>
        <v>Предоставление субсидий бюджетным, автономным учреждениям и иным некоммерческим организациям</v>
      </c>
      <c r="B659" s="145">
        <v>805</v>
      </c>
      <c r="C659" s="8" t="s">
        <v>195</v>
      </c>
      <c r="D659" s="8" t="s">
        <v>214</v>
      </c>
      <c r="E659" s="145" t="s">
        <v>287</v>
      </c>
      <c r="F659" s="145">
        <v>600</v>
      </c>
      <c r="G659" s="69">
        <f t="shared" si="150"/>
        <v>88222.7</v>
      </c>
      <c r="H659" s="69">
        <f t="shared" si="150"/>
        <v>0</v>
      </c>
      <c r="I659" s="69">
        <f t="shared" si="147"/>
        <v>88222.7</v>
      </c>
      <c r="J659" s="69">
        <f t="shared" si="150"/>
        <v>0</v>
      </c>
      <c r="K659" s="85">
        <f t="shared" si="144"/>
        <v>88222.7</v>
      </c>
      <c r="L659" s="13">
        <f t="shared" si="150"/>
        <v>-77</v>
      </c>
      <c r="M659" s="85">
        <f t="shared" si="137"/>
        <v>88145.7</v>
      </c>
      <c r="N659" s="13">
        <f t="shared" si="150"/>
        <v>0</v>
      </c>
      <c r="O659" s="85">
        <f t="shared" si="138"/>
        <v>88145.7</v>
      </c>
      <c r="P659" s="13">
        <f t="shared" si="150"/>
        <v>0</v>
      </c>
      <c r="Q659" s="85">
        <f t="shared" si="148"/>
        <v>88145.7</v>
      </c>
      <c r="R659" s="13">
        <f t="shared" si="150"/>
        <v>0</v>
      </c>
      <c r="S659" s="85">
        <f t="shared" si="145"/>
        <v>88145.7</v>
      </c>
      <c r="T659" s="13">
        <f t="shared" si="150"/>
        <v>373.2</v>
      </c>
      <c r="U659" s="85">
        <f t="shared" si="141"/>
        <v>88518.9</v>
      </c>
    </row>
    <row r="660" spans="1:21">
      <c r="A660" s="61" t="str">
        <f ca="1">IF(ISERROR(MATCH(F660,Код_КВР,0)),"",INDIRECT(ADDRESS(MATCH(F660,Код_КВР,0)+1,2,,,"КВР")))</f>
        <v>Субсидии бюджетным учреждениям</v>
      </c>
      <c r="B660" s="145">
        <v>805</v>
      </c>
      <c r="C660" s="8" t="s">
        <v>195</v>
      </c>
      <c r="D660" s="8" t="s">
        <v>214</v>
      </c>
      <c r="E660" s="145" t="s">
        <v>287</v>
      </c>
      <c r="F660" s="145">
        <v>610</v>
      </c>
      <c r="G660" s="69">
        <f t="shared" si="150"/>
        <v>88222.7</v>
      </c>
      <c r="H660" s="69">
        <f t="shared" si="150"/>
        <v>0</v>
      </c>
      <c r="I660" s="69">
        <f t="shared" si="147"/>
        <v>88222.7</v>
      </c>
      <c r="J660" s="69">
        <f t="shared" si="150"/>
        <v>0</v>
      </c>
      <c r="K660" s="85">
        <f t="shared" si="144"/>
        <v>88222.7</v>
      </c>
      <c r="L660" s="13">
        <f t="shared" si="150"/>
        <v>-77</v>
      </c>
      <c r="M660" s="85">
        <f t="shared" si="137"/>
        <v>88145.7</v>
      </c>
      <c r="N660" s="13">
        <f t="shared" si="150"/>
        <v>0</v>
      </c>
      <c r="O660" s="85">
        <f t="shared" si="138"/>
        <v>88145.7</v>
      </c>
      <c r="P660" s="13">
        <f t="shared" si="150"/>
        <v>0</v>
      </c>
      <c r="Q660" s="85">
        <f t="shared" si="148"/>
        <v>88145.7</v>
      </c>
      <c r="R660" s="13">
        <f t="shared" si="150"/>
        <v>0</v>
      </c>
      <c r="S660" s="85">
        <f t="shared" si="145"/>
        <v>88145.7</v>
      </c>
      <c r="T660" s="13">
        <f t="shared" si="150"/>
        <v>373.2</v>
      </c>
      <c r="U660" s="85">
        <f t="shared" si="141"/>
        <v>88518.9</v>
      </c>
    </row>
    <row r="661" spans="1:21" ht="49.5">
      <c r="A661" s="61" t="str">
        <f ca="1">IF(ISERROR(MATCH(F661,Код_КВР,0)),"",INDIRECT(ADDRESS(MATCH(F661,Код_КВР,0)+1,2,,,"КВР")))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61" s="145">
        <v>805</v>
      </c>
      <c r="C661" s="8" t="s">
        <v>195</v>
      </c>
      <c r="D661" s="8" t="s">
        <v>214</v>
      </c>
      <c r="E661" s="145" t="s">
        <v>287</v>
      </c>
      <c r="F661" s="145">
        <v>611</v>
      </c>
      <c r="G661" s="69">
        <v>88222.7</v>
      </c>
      <c r="H661" s="64"/>
      <c r="I661" s="69">
        <f t="shared" si="147"/>
        <v>88222.7</v>
      </c>
      <c r="J661" s="64"/>
      <c r="K661" s="85">
        <f t="shared" si="144"/>
        <v>88222.7</v>
      </c>
      <c r="L661" s="85">
        <v>-77</v>
      </c>
      <c r="M661" s="85">
        <f t="shared" si="137"/>
        <v>88145.7</v>
      </c>
      <c r="N661" s="85"/>
      <c r="O661" s="85">
        <f t="shared" si="138"/>
        <v>88145.7</v>
      </c>
      <c r="P661" s="85"/>
      <c r="Q661" s="85">
        <f t="shared" si="148"/>
        <v>88145.7</v>
      </c>
      <c r="R661" s="85"/>
      <c r="S661" s="85">
        <f t="shared" si="145"/>
        <v>88145.7</v>
      </c>
      <c r="T661" s="85">
        <v>373.2</v>
      </c>
      <c r="U661" s="85">
        <f t="shared" si="141"/>
        <v>88518.9</v>
      </c>
    </row>
    <row r="662" spans="1:21" ht="63.75" customHeight="1">
      <c r="A662" s="61" t="str">
        <f ca="1">IF(ISERROR(MATCH(E662,Код_КЦСР,0)),"",INDIRECT(ADDRESS(MATCH(E662,Код_КЦСР,0)+1,2,,,"КЦСР")))</f>
        <v>Оказание методической помощи муниципальным общеобразовательным учреждениям, реализующим основные общеобразовательные программы – образовательные программы начального общего, основного общего, среднего общего образования</v>
      </c>
      <c r="B662" s="145">
        <v>805</v>
      </c>
      <c r="C662" s="8" t="s">
        <v>195</v>
      </c>
      <c r="D662" s="8" t="s">
        <v>214</v>
      </c>
      <c r="E662" s="145" t="s">
        <v>109</v>
      </c>
      <c r="F662" s="145"/>
      <c r="G662" s="69">
        <f t="shared" ref="G662:T664" si="151">G663</f>
        <v>1857.5</v>
      </c>
      <c r="H662" s="69">
        <f t="shared" si="151"/>
        <v>0</v>
      </c>
      <c r="I662" s="69">
        <f t="shared" si="147"/>
        <v>1857.5</v>
      </c>
      <c r="J662" s="69">
        <f t="shared" si="151"/>
        <v>0</v>
      </c>
      <c r="K662" s="85">
        <f t="shared" si="144"/>
        <v>1857.5</v>
      </c>
      <c r="L662" s="13">
        <f t="shared" si="151"/>
        <v>0</v>
      </c>
      <c r="M662" s="85">
        <f t="shared" ref="M662:M736" si="152">K662+L662</f>
        <v>1857.5</v>
      </c>
      <c r="N662" s="13">
        <f t="shared" si="151"/>
        <v>0</v>
      </c>
      <c r="O662" s="85">
        <f t="shared" ref="O662:O736" si="153">M662+N662</f>
        <v>1857.5</v>
      </c>
      <c r="P662" s="13">
        <f t="shared" si="151"/>
        <v>0</v>
      </c>
      <c r="Q662" s="85">
        <f t="shared" si="148"/>
        <v>1857.5</v>
      </c>
      <c r="R662" s="13">
        <f t="shared" si="151"/>
        <v>0</v>
      </c>
      <c r="S662" s="85">
        <f t="shared" si="145"/>
        <v>1857.5</v>
      </c>
      <c r="T662" s="13">
        <f t="shared" si="151"/>
        <v>0</v>
      </c>
      <c r="U662" s="85">
        <f t="shared" si="141"/>
        <v>1857.5</v>
      </c>
    </row>
    <row r="663" spans="1:21" ht="33">
      <c r="A663" s="61" t="str">
        <f ca="1">IF(ISERROR(MATCH(F663,Код_КВР,0)),"",INDIRECT(ADDRESS(MATCH(F663,Код_КВР,0)+1,2,,,"КВР")))</f>
        <v>Предоставление субсидий бюджетным, автономным учреждениям и иным некоммерческим организациям</v>
      </c>
      <c r="B663" s="145">
        <v>805</v>
      </c>
      <c r="C663" s="8" t="s">
        <v>195</v>
      </c>
      <c r="D663" s="8" t="s">
        <v>214</v>
      </c>
      <c r="E663" s="145" t="s">
        <v>109</v>
      </c>
      <c r="F663" s="145">
        <v>600</v>
      </c>
      <c r="G663" s="69">
        <f t="shared" si="151"/>
        <v>1857.5</v>
      </c>
      <c r="H663" s="69">
        <f t="shared" si="151"/>
        <v>0</v>
      </c>
      <c r="I663" s="69">
        <f t="shared" si="147"/>
        <v>1857.5</v>
      </c>
      <c r="J663" s="69">
        <f t="shared" si="151"/>
        <v>0</v>
      </c>
      <c r="K663" s="85">
        <f t="shared" si="144"/>
        <v>1857.5</v>
      </c>
      <c r="L663" s="13">
        <f t="shared" si="151"/>
        <v>0</v>
      </c>
      <c r="M663" s="85">
        <f t="shared" si="152"/>
        <v>1857.5</v>
      </c>
      <c r="N663" s="13">
        <f t="shared" si="151"/>
        <v>0</v>
      </c>
      <c r="O663" s="85">
        <f t="shared" si="153"/>
        <v>1857.5</v>
      </c>
      <c r="P663" s="13">
        <f t="shared" si="151"/>
        <v>0</v>
      </c>
      <c r="Q663" s="85">
        <f t="shared" si="148"/>
        <v>1857.5</v>
      </c>
      <c r="R663" s="13">
        <f t="shared" si="151"/>
        <v>0</v>
      </c>
      <c r="S663" s="85">
        <f t="shared" si="145"/>
        <v>1857.5</v>
      </c>
      <c r="T663" s="13">
        <f t="shared" si="151"/>
        <v>0</v>
      </c>
      <c r="U663" s="85">
        <f t="shared" si="141"/>
        <v>1857.5</v>
      </c>
    </row>
    <row r="664" spans="1:21">
      <c r="A664" s="61" t="str">
        <f ca="1">IF(ISERROR(MATCH(F664,Код_КВР,0)),"",INDIRECT(ADDRESS(MATCH(F664,Код_КВР,0)+1,2,,,"КВР")))</f>
        <v>Субсидии бюджетным учреждениям</v>
      </c>
      <c r="B664" s="145">
        <v>805</v>
      </c>
      <c r="C664" s="8" t="s">
        <v>195</v>
      </c>
      <c r="D664" s="8" t="s">
        <v>214</v>
      </c>
      <c r="E664" s="145" t="s">
        <v>109</v>
      </c>
      <c r="F664" s="145">
        <v>610</v>
      </c>
      <c r="G664" s="69">
        <f t="shared" si="151"/>
        <v>1857.5</v>
      </c>
      <c r="H664" s="69">
        <f t="shared" si="151"/>
        <v>0</v>
      </c>
      <c r="I664" s="69">
        <f t="shared" si="147"/>
        <v>1857.5</v>
      </c>
      <c r="J664" s="69">
        <f t="shared" si="151"/>
        <v>0</v>
      </c>
      <c r="K664" s="85">
        <f t="shared" si="144"/>
        <v>1857.5</v>
      </c>
      <c r="L664" s="13">
        <f t="shared" si="151"/>
        <v>0</v>
      </c>
      <c r="M664" s="85">
        <f t="shared" si="152"/>
        <v>1857.5</v>
      </c>
      <c r="N664" s="13">
        <f t="shared" si="151"/>
        <v>0</v>
      </c>
      <c r="O664" s="85">
        <f t="shared" si="153"/>
        <v>1857.5</v>
      </c>
      <c r="P664" s="13">
        <f t="shared" si="151"/>
        <v>0</v>
      </c>
      <c r="Q664" s="85">
        <f t="shared" si="148"/>
        <v>1857.5</v>
      </c>
      <c r="R664" s="13">
        <f t="shared" si="151"/>
        <v>0</v>
      </c>
      <c r="S664" s="85">
        <f t="shared" si="145"/>
        <v>1857.5</v>
      </c>
      <c r="T664" s="13">
        <f t="shared" si="151"/>
        <v>0</v>
      </c>
      <c r="U664" s="85">
        <f t="shared" si="141"/>
        <v>1857.5</v>
      </c>
    </row>
    <row r="665" spans="1:21" ht="49.5">
      <c r="A665" s="61" t="str">
        <f ca="1">IF(ISERROR(MATCH(F665,Код_КВР,0)),"",INDIRECT(ADDRESS(MATCH(F665,Код_КВР,0)+1,2,,,"КВР")))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65" s="145">
        <v>805</v>
      </c>
      <c r="C665" s="8" t="s">
        <v>195</v>
      </c>
      <c r="D665" s="8" t="s">
        <v>214</v>
      </c>
      <c r="E665" s="145" t="s">
        <v>109</v>
      </c>
      <c r="F665" s="145">
        <v>611</v>
      </c>
      <c r="G665" s="69">
        <v>1857.5</v>
      </c>
      <c r="H665" s="64"/>
      <c r="I665" s="69">
        <f t="shared" si="147"/>
        <v>1857.5</v>
      </c>
      <c r="J665" s="64"/>
      <c r="K665" s="85">
        <f t="shared" si="144"/>
        <v>1857.5</v>
      </c>
      <c r="L665" s="85"/>
      <c r="M665" s="85">
        <f t="shared" si="152"/>
        <v>1857.5</v>
      </c>
      <c r="N665" s="85"/>
      <c r="O665" s="85">
        <f t="shared" si="153"/>
        <v>1857.5</v>
      </c>
      <c r="P665" s="85"/>
      <c r="Q665" s="85">
        <f t="shared" si="148"/>
        <v>1857.5</v>
      </c>
      <c r="R665" s="85"/>
      <c r="S665" s="85">
        <f t="shared" si="145"/>
        <v>1857.5</v>
      </c>
      <c r="T665" s="85"/>
      <c r="U665" s="85">
        <f t="shared" si="141"/>
        <v>1857.5</v>
      </c>
    </row>
    <row r="666" spans="1:21">
      <c r="A666" s="61" t="str">
        <f ca="1">IF(ISERROR(MATCH(E666,Код_КЦСР,0)),"",INDIRECT(ADDRESS(MATCH(E666,Код_КЦСР,0)+1,2,,,"КЦСР")))</f>
        <v>Кадровое обеспечение муниципальной системы образования</v>
      </c>
      <c r="B666" s="145">
        <v>805</v>
      </c>
      <c r="C666" s="8" t="s">
        <v>195</v>
      </c>
      <c r="D666" s="8" t="s">
        <v>214</v>
      </c>
      <c r="E666" s="145" t="s">
        <v>291</v>
      </c>
      <c r="F666" s="145"/>
      <c r="G666" s="69">
        <f>G667+G672</f>
        <v>227.9</v>
      </c>
      <c r="H666" s="69">
        <f>H667+H672</f>
        <v>0</v>
      </c>
      <c r="I666" s="69">
        <f t="shared" si="147"/>
        <v>227.9</v>
      </c>
      <c r="J666" s="69">
        <f>J667+J672</f>
        <v>0</v>
      </c>
      <c r="K666" s="85">
        <f t="shared" si="144"/>
        <v>227.9</v>
      </c>
      <c r="L666" s="13">
        <f>L667+L672</f>
        <v>0</v>
      </c>
      <c r="M666" s="85">
        <f t="shared" si="152"/>
        <v>227.9</v>
      </c>
      <c r="N666" s="13">
        <f>N667+N672</f>
        <v>0</v>
      </c>
      <c r="O666" s="85">
        <f t="shared" si="153"/>
        <v>227.9</v>
      </c>
      <c r="P666" s="13">
        <f>P667+P672</f>
        <v>0</v>
      </c>
      <c r="Q666" s="85">
        <f t="shared" si="148"/>
        <v>227.9</v>
      </c>
      <c r="R666" s="13">
        <f>R667+R672</f>
        <v>0</v>
      </c>
      <c r="S666" s="85">
        <f t="shared" si="145"/>
        <v>227.9</v>
      </c>
      <c r="T666" s="13">
        <f>T667+T672</f>
        <v>0</v>
      </c>
      <c r="U666" s="85">
        <f t="shared" ref="U666:U735" si="154">S666+T666</f>
        <v>227.9</v>
      </c>
    </row>
    <row r="667" spans="1:21" ht="33">
      <c r="A667" s="61" t="str">
        <f ca="1">IF(ISERROR(MATCH(E667,Код_КЦСР,0)),"",INDIRECT(ADDRESS(MATCH(E667,Код_КЦСР,0)+1,2,,,"КЦСР")))</f>
        <v xml:space="preserve">Осуществление выплат городских премий работникам муниципальных образовательных учреждений     </v>
      </c>
      <c r="B667" s="145">
        <v>805</v>
      </c>
      <c r="C667" s="8" t="s">
        <v>195</v>
      </c>
      <c r="D667" s="8" t="s">
        <v>214</v>
      </c>
      <c r="E667" s="145" t="s">
        <v>293</v>
      </c>
      <c r="F667" s="145"/>
      <c r="G667" s="69">
        <f t="shared" ref="G667:T670" si="155">G668</f>
        <v>195.3</v>
      </c>
      <c r="H667" s="69">
        <f t="shared" si="155"/>
        <v>0</v>
      </c>
      <c r="I667" s="69">
        <f t="shared" si="147"/>
        <v>195.3</v>
      </c>
      <c r="J667" s="69">
        <f t="shared" si="155"/>
        <v>0</v>
      </c>
      <c r="K667" s="85">
        <f t="shared" si="144"/>
        <v>195.3</v>
      </c>
      <c r="L667" s="13">
        <f t="shared" si="155"/>
        <v>0</v>
      </c>
      <c r="M667" s="85">
        <f t="shared" si="152"/>
        <v>195.3</v>
      </c>
      <c r="N667" s="13">
        <f t="shared" si="155"/>
        <v>0</v>
      </c>
      <c r="O667" s="85">
        <f t="shared" si="153"/>
        <v>195.3</v>
      </c>
      <c r="P667" s="13">
        <f t="shared" si="155"/>
        <v>0</v>
      </c>
      <c r="Q667" s="85">
        <f t="shared" si="148"/>
        <v>195.3</v>
      </c>
      <c r="R667" s="13">
        <f t="shared" si="155"/>
        <v>0</v>
      </c>
      <c r="S667" s="85">
        <f t="shared" si="145"/>
        <v>195.3</v>
      </c>
      <c r="T667" s="13">
        <f t="shared" si="155"/>
        <v>0</v>
      </c>
      <c r="U667" s="85">
        <f t="shared" si="154"/>
        <v>195.3</v>
      </c>
    </row>
    <row r="668" spans="1:21" ht="49.5">
      <c r="A668" s="61" t="str">
        <f ca="1">IF(ISERROR(MATCH(E668,Код_КЦСР,0)),"",INDIRECT(ADDRESS(MATCH(E668,Код_КЦСР,0)+1,2,,,"КЦСР")))</f>
        <v>Городские премии имени И.А. Милютина в области образования в соответствии с постановлением Череповецкой городской Думы от 23.09.2003 № 120</v>
      </c>
      <c r="B668" s="145">
        <v>805</v>
      </c>
      <c r="C668" s="8" t="s">
        <v>195</v>
      </c>
      <c r="D668" s="8" t="s">
        <v>214</v>
      </c>
      <c r="E668" s="145" t="s">
        <v>295</v>
      </c>
      <c r="F668" s="145"/>
      <c r="G668" s="69">
        <f t="shared" si="155"/>
        <v>195.3</v>
      </c>
      <c r="H668" s="69">
        <f t="shared" si="155"/>
        <v>0</v>
      </c>
      <c r="I668" s="69">
        <f t="shared" si="147"/>
        <v>195.3</v>
      </c>
      <c r="J668" s="69">
        <f t="shared" si="155"/>
        <v>0</v>
      </c>
      <c r="K668" s="85">
        <f t="shared" si="144"/>
        <v>195.3</v>
      </c>
      <c r="L668" s="13">
        <f t="shared" si="155"/>
        <v>0</v>
      </c>
      <c r="M668" s="85">
        <f t="shared" si="152"/>
        <v>195.3</v>
      </c>
      <c r="N668" s="13">
        <f t="shared" si="155"/>
        <v>0</v>
      </c>
      <c r="O668" s="85">
        <f t="shared" si="153"/>
        <v>195.3</v>
      </c>
      <c r="P668" s="13">
        <f t="shared" si="155"/>
        <v>0</v>
      </c>
      <c r="Q668" s="85">
        <f t="shared" si="148"/>
        <v>195.3</v>
      </c>
      <c r="R668" s="13">
        <f t="shared" si="155"/>
        <v>0</v>
      </c>
      <c r="S668" s="85">
        <f t="shared" si="145"/>
        <v>195.3</v>
      </c>
      <c r="T668" s="13">
        <f t="shared" si="155"/>
        <v>0</v>
      </c>
      <c r="U668" s="85">
        <f t="shared" si="154"/>
        <v>195.3</v>
      </c>
    </row>
    <row r="669" spans="1:21">
      <c r="A669" s="61" t="str">
        <f ca="1">IF(ISERROR(MATCH(F669,Код_КВР,0)),"",INDIRECT(ADDRESS(MATCH(F669,Код_КВР,0)+1,2,,,"КВР")))</f>
        <v>Социальное обеспечение и иные выплаты населению</v>
      </c>
      <c r="B669" s="145">
        <v>805</v>
      </c>
      <c r="C669" s="8" t="s">
        <v>195</v>
      </c>
      <c r="D669" s="8" t="s">
        <v>214</v>
      </c>
      <c r="E669" s="145" t="s">
        <v>295</v>
      </c>
      <c r="F669" s="145">
        <v>300</v>
      </c>
      <c r="G669" s="69">
        <f t="shared" si="155"/>
        <v>195.3</v>
      </c>
      <c r="H669" s="69">
        <f t="shared" si="155"/>
        <v>0</v>
      </c>
      <c r="I669" s="69">
        <f t="shared" si="147"/>
        <v>195.3</v>
      </c>
      <c r="J669" s="69">
        <f t="shared" si="155"/>
        <v>0</v>
      </c>
      <c r="K669" s="85">
        <f t="shared" si="144"/>
        <v>195.3</v>
      </c>
      <c r="L669" s="13">
        <f t="shared" si="155"/>
        <v>0</v>
      </c>
      <c r="M669" s="85">
        <f t="shared" si="152"/>
        <v>195.3</v>
      </c>
      <c r="N669" s="13">
        <f t="shared" si="155"/>
        <v>0</v>
      </c>
      <c r="O669" s="85">
        <f t="shared" si="153"/>
        <v>195.3</v>
      </c>
      <c r="P669" s="13">
        <f t="shared" si="155"/>
        <v>0</v>
      </c>
      <c r="Q669" s="85">
        <f t="shared" si="148"/>
        <v>195.3</v>
      </c>
      <c r="R669" s="13">
        <f t="shared" si="155"/>
        <v>0</v>
      </c>
      <c r="S669" s="85">
        <f t="shared" si="145"/>
        <v>195.3</v>
      </c>
      <c r="T669" s="13">
        <f t="shared" si="155"/>
        <v>0</v>
      </c>
      <c r="U669" s="85">
        <f t="shared" si="154"/>
        <v>195.3</v>
      </c>
    </row>
    <row r="670" spans="1:21">
      <c r="A670" s="61" t="str">
        <f ca="1">IF(ISERROR(MATCH(F670,Код_КВР,0)),"",INDIRECT(ADDRESS(MATCH(F670,Код_КВР,0)+1,2,,,"КВР")))</f>
        <v>Публичные нормативные социальные выплаты гражданам</v>
      </c>
      <c r="B670" s="145">
        <v>805</v>
      </c>
      <c r="C670" s="8" t="s">
        <v>195</v>
      </c>
      <c r="D670" s="8" t="s">
        <v>214</v>
      </c>
      <c r="E670" s="145" t="s">
        <v>295</v>
      </c>
      <c r="F670" s="145">
        <v>310</v>
      </c>
      <c r="G670" s="69">
        <f t="shared" si="155"/>
        <v>195.3</v>
      </c>
      <c r="H670" s="69">
        <f t="shared" si="155"/>
        <v>0</v>
      </c>
      <c r="I670" s="69">
        <f t="shared" si="147"/>
        <v>195.3</v>
      </c>
      <c r="J670" s="69">
        <f t="shared" si="155"/>
        <v>0</v>
      </c>
      <c r="K670" s="85">
        <f t="shared" si="144"/>
        <v>195.3</v>
      </c>
      <c r="L670" s="13">
        <f t="shared" si="155"/>
        <v>0</v>
      </c>
      <c r="M670" s="85">
        <f t="shared" si="152"/>
        <v>195.3</v>
      </c>
      <c r="N670" s="13">
        <f t="shared" si="155"/>
        <v>0</v>
      </c>
      <c r="O670" s="85">
        <f t="shared" si="153"/>
        <v>195.3</v>
      </c>
      <c r="P670" s="13">
        <f t="shared" si="155"/>
        <v>0</v>
      </c>
      <c r="Q670" s="85">
        <f t="shared" si="148"/>
        <v>195.3</v>
      </c>
      <c r="R670" s="13">
        <f t="shared" si="155"/>
        <v>0</v>
      </c>
      <c r="S670" s="85">
        <f t="shared" si="145"/>
        <v>195.3</v>
      </c>
      <c r="T670" s="13">
        <f t="shared" si="155"/>
        <v>0</v>
      </c>
      <c r="U670" s="85">
        <f t="shared" si="154"/>
        <v>195.3</v>
      </c>
    </row>
    <row r="671" spans="1:21" ht="33">
      <c r="A671" s="61" t="str">
        <f ca="1">IF(ISERROR(MATCH(F671,Код_КВР,0)),"",INDIRECT(ADDRESS(MATCH(F671,Код_КВР,0)+1,2,,,"КВР")))</f>
        <v>Пособия, компенсации, меры социальной поддержки по публичным нормативным обязательствам</v>
      </c>
      <c r="B671" s="145">
        <v>805</v>
      </c>
      <c r="C671" s="8" t="s">
        <v>195</v>
      </c>
      <c r="D671" s="8" t="s">
        <v>214</v>
      </c>
      <c r="E671" s="145" t="s">
        <v>295</v>
      </c>
      <c r="F671" s="145">
        <v>313</v>
      </c>
      <c r="G671" s="69">
        <v>195.3</v>
      </c>
      <c r="H671" s="64"/>
      <c r="I671" s="69">
        <f t="shared" si="147"/>
        <v>195.3</v>
      </c>
      <c r="J671" s="64"/>
      <c r="K671" s="85">
        <f t="shared" si="144"/>
        <v>195.3</v>
      </c>
      <c r="L671" s="85"/>
      <c r="M671" s="85">
        <f t="shared" si="152"/>
        <v>195.3</v>
      </c>
      <c r="N671" s="85"/>
      <c r="O671" s="85">
        <f t="shared" si="153"/>
        <v>195.3</v>
      </c>
      <c r="P671" s="85"/>
      <c r="Q671" s="85">
        <f t="shared" si="148"/>
        <v>195.3</v>
      </c>
      <c r="R671" s="85"/>
      <c r="S671" s="85">
        <f t="shared" si="145"/>
        <v>195.3</v>
      </c>
      <c r="T671" s="85"/>
      <c r="U671" s="85">
        <f t="shared" si="154"/>
        <v>195.3</v>
      </c>
    </row>
    <row r="672" spans="1:21" ht="33">
      <c r="A672" s="61" t="str">
        <f ca="1">IF(ISERROR(MATCH(E672,Код_КЦСР,0)),"",INDIRECT(ADDRESS(MATCH(E672,Код_КЦСР,0)+1,2,,,"КЦСР")))</f>
        <v>Представление лучших педагогов сферы образования к поощрению  наградами всех уровней</v>
      </c>
      <c r="B672" s="145">
        <v>805</v>
      </c>
      <c r="C672" s="8" t="s">
        <v>195</v>
      </c>
      <c r="D672" s="8" t="s">
        <v>214</v>
      </c>
      <c r="E672" s="145" t="s">
        <v>457</v>
      </c>
      <c r="F672" s="145"/>
      <c r="G672" s="69">
        <f t="shared" ref="G672:T675" si="156">G673</f>
        <v>32.6</v>
      </c>
      <c r="H672" s="69">
        <f t="shared" si="156"/>
        <v>0</v>
      </c>
      <c r="I672" s="69">
        <f t="shared" si="147"/>
        <v>32.6</v>
      </c>
      <c r="J672" s="69">
        <f t="shared" si="156"/>
        <v>0</v>
      </c>
      <c r="K672" s="85">
        <f t="shared" si="144"/>
        <v>32.6</v>
      </c>
      <c r="L672" s="13">
        <f t="shared" si="156"/>
        <v>0</v>
      </c>
      <c r="M672" s="85">
        <f t="shared" si="152"/>
        <v>32.6</v>
      </c>
      <c r="N672" s="13">
        <f t="shared" si="156"/>
        <v>0</v>
      </c>
      <c r="O672" s="85">
        <f t="shared" si="153"/>
        <v>32.6</v>
      </c>
      <c r="P672" s="13">
        <f t="shared" si="156"/>
        <v>0</v>
      </c>
      <c r="Q672" s="85">
        <f t="shared" si="148"/>
        <v>32.6</v>
      </c>
      <c r="R672" s="13">
        <f t="shared" si="156"/>
        <v>0</v>
      </c>
      <c r="S672" s="85">
        <f t="shared" si="145"/>
        <v>32.6</v>
      </c>
      <c r="T672" s="13">
        <f t="shared" si="156"/>
        <v>0</v>
      </c>
      <c r="U672" s="85">
        <f t="shared" si="154"/>
        <v>32.6</v>
      </c>
    </row>
    <row r="673" spans="1:21" ht="49.5">
      <c r="A673" s="61" t="str">
        <f ca="1">IF(ISERROR(MATCH(E673,Код_КЦСР,0)),"",INDIRECT(ADDRESS(MATCH(E673,Код_КЦСР,0)+1,2,,,"КЦСР")))</f>
        <v>Премии победителям конкурса профессионального мастерства «Учитель года» в соответствии с решением Череповецкой городской Думы от 29.06.2010 № 128</v>
      </c>
      <c r="B673" s="145">
        <v>805</v>
      </c>
      <c r="C673" s="8" t="s">
        <v>195</v>
      </c>
      <c r="D673" s="8" t="s">
        <v>214</v>
      </c>
      <c r="E673" s="145" t="s">
        <v>459</v>
      </c>
      <c r="F673" s="145"/>
      <c r="G673" s="69">
        <f t="shared" si="156"/>
        <v>32.6</v>
      </c>
      <c r="H673" s="69">
        <f t="shared" si="156"/>
        <v>0</v>
      </c>
      <c r="I673" s="69">
        <f t="shared" si="147"/>
        <v>32.6</v>
      </c>
      <c r="J673" s="69">
        <f t="shared" si="156"/>
        <v>0</v>
      </c>
      <c r="K673" s="85">
        <f t="shared" si="144"/>
        <v>32.6</v>
      </c>
      <c r="L673" s="13">
        <f t="shared" si="156"/>
        <v>0</v>
      </c>
      <c r="M673" s="85">
        <f t="shared" si="152"/>
        <v>32.6</v>
      </c>
      <c r="N673" s="13">
        <f t="shared" si="156"/>
        <v>0</v>
      </c>
      <c r="O673" s="85">
        <f t="shared" si="153"/>
        <v>32.6</v>
      </c>
      <c r="P673" s="13">
        <f t="shared" si="156"/>
        <v>0</v>
      </c>
      <c r="Q673" s="85">
        <f t="shared" si="148"/>
        <v>32.6</v>
      </c>
      <c r="R673" s="13">
        <f t="shared" si="156"/>
        <v>0</v>
      </c>
      <c r="S673" s="85">
        <f t="shared" si="145"/>
        <v>32.6</v>
      </c>
      <c r="T673" s="13">
        <f t="shared" si="156"/>
        <v>0</v>
      </c>
      <c r="U673" s="85">
        <f t="shared" si="154"/>
        <v>32.6</v>
      </c>
    </row>
    <row r="674" spans="1:21">
      <c r="A674" s="61" t="str">
        <f ca="1">IF(ISERROR(MATCH(F674,Код_КВР,0)),"",INDIRECT(ADDRESS(MATCH(F674,Код_КВР,0)+1,2,,,"КВР")))</f>
        <v>Социальное обеспечение и иные выплаты населению</v>
      </c>
      <c r="B674" s="145">
        <v>805</v>
      </c>
      <c r="C674" s="8" t="s">
        <v>195</v>
      </c>
      <c r="D674" s="8" t="s">
        <v>214</v>
      </c>
      <c r="E674" s="145" t="s">
        <v>459</v>
      </c>
      <c r="F674" s="145">
        <v>300</v>
      </c>
      <c r="G674" s="69">
        <f t="shared" si="156"/>
        <v>32.6</v>
      </c>
      <c r="H674" s="69">
        <f t="shared" si="156"/>
        <v>0</v>
      </c>
      <c r="I674" s="69">
        <f t="shared" si="147"/>
        <v>32.6</v>
      </c>
      <c r="J674" s="69">
        <f t="shared" si="156"/>
        <v>0</v>
      </c>
      <c r="K674" s="85">
        <f t="shared" si="144"/>
        <v>32.6</v>
      </c>
      <c r="L674" s="13">
        <f t="shared" si="156"/>
        <v>0</v>
      </c>
      <c r="M674" s="85">
        <f t="shared" si="152"/>
        <v>32.6</v>
      </c>
      <c r="N674" s="13">
        <f t="shared" si="156"/>
        <v>0</v>
      </c>
      <c r="O674" s="85">
        <f t="shared" si="153"/>
        <v>32.6</v>
      </c>
      <c r="P674" s="13">
        <f t="shared" si="156"/>
        <v>0</v>
      </c>
      <c r="Q674" s="85">
        <f t="shared" si="148"/>
        <v>32.6</v>
      </c>
      <c r="R674" s="13">
        <f t="shared" si="156"/>
        <v>0</v>
      </c>
      <c r="S674" s="85">
        <f t="shared" si="145"/>
        <v>32.6</v>
      </c>
      <c r="T674" s="13">
        <f t="shared" si="156"/>
        <v>0</v>
      </c>
      <c r="U674" s="85">
        <f t="shared" si="154"/>
        <v>32.6</v>
      </c>
    </row>
    <row r="675" spans="1:21">
      <c r="A675" s="61" t="str">
        <f ca="1">IF(ISERROR(MATCH(F675,Код_КВР,0)),"",INDIRECT(ADDRESS(MATCH(F675,Код_КВР,0)+1,2,,,"КВР")))</f>
        <v>Публичные нормативные социальные выплаты гражданам</v>
      </c>
      <c r="B675" s="145">
        <v>805</v>
      </c>
      <c r="C675" s="8" t="s">
        <v>195</v>
      </c>
      <c r="D675" s="8" t="s">
        <v>214</v>
      </c>
      <c r="E675" s="145" t="s">
        <v>459</v>
      </c>
      <c r="F675" s="145">
        <v>310</v>
      </c>
      <c r="G675" s="69">
        <f t="shared" si="156"/>
        <v>32.6</v>
      </c>
      <c r="H675" s="69">
        <f t="shared" si="156"/>
        <v>0</v>
      </c>
      <c r="I675" s="69">
        <f t="shared" si="147"/>
        <v>32.6</v>
      </c>
      <c r="J675" s="69">
        <f t="shared" si="156"/>
        <v>0</v>
      </c>
      <c r="K675" s="85">
        <f t="shared" si="144"/>
        <v>32.6</v>
      </c>
      <c r="L675" s="13">
        <f t="shared" si="156"/>
        <v>0</v>
      </c>
      <c r="M675" s="85">
        <f t="shared" si="152"/>
        <v>32.6</v>
      </c>
      <c r="N675" s="13">
        <f t="shared" si="156"/>
        <v>0</v>
      </c>
      <c r="O675" s="85">
        <f t="shared" si="153"/>
        <v>32.6</v>
      </c>
      <c r="P675" s="13">
        <f t="shared" si="156"/>
        <v>0</v>
      </c>
      <c r="Q675" s="85">
        <f t="shared" si="148"/>
        <v>32.6</v>
      </c>
      <c r="R675" s="13">
        <f t="shared" si="156"/>
        <v>0</v>
      </c>
      <c r="S675" s="85">
        <f t="shared" si="145"/>
        <v>32.6</v>
      </c>
      <c r="T675" s="13">
        <f t="shared" si="156"/>
        <v>0</v>
      </c>
      <c r="U675" s="85">
        <f t="shared" si="154"/>
        <v>32.6</v>
      </c>
    </row>
    <row r="676" spans="1:21" ht="33">
      <c r="A676" s="61" t="str">
        <f ca="1">IF(ISERROR(MATCH(F676,Код_КВР,0)),"",INDIRECT(ADDRESS(MATCH(F676,Код_КВР,0)+1,2,,,"КВР")))</f>
        <v>Пособия, компенсации, меры социальной поддержки по публичным нормативным обязательствам</v>
      </c>
      <c r="B676" s="145">
        <v>805</v>
      </c>
      <c r="C676" s="8" t="s">
        <v>195</v>
      </c>
      <c r="D676" s="8" t="s">
        <v>214</v>
      </c>
      <c r="E676" s="145" t="s">
        <v>459</v>
      </c>
      <c r="F676" s="145">
        <v>313</v>
      </c>
      <c r="G676" s="69">
        <v>32.6</v>
      </c>
      <c r="H676" s="64"/>
      <c r="I676" s="69">
        <f t="shared" si="147"/>
        <v>32.6</v>
      </c>
      <c r="J676" s="64"/>
      <c r="K676" s="85">
        <f t="shared" si="144"/>
        <v>32.6</v>
      </c>
      <c r="L676" s="85"/>
      <c r="M676" s="85">
        <f t="shared" si="152"/>
        <v>32.6</v>
      </c>
      <c r="N676" s="85"/>
      <c r="O676" s="85">
        <f t="shared" si="153"/>
        <v>32.6</v>
      </c>
      <c r="P676" s="85"/>
      <c r="Q676" s="85">
        <f t="shared" si="148"/>
        <v>32.6</v>
      </c>
      <c r="R676" s="85"/>
      <c r="S676" s="85">
        <f t="shared" si="145"/>
        <v>32.6</v>
      </c>
      <c r="T676" s="85"/>
      <c r="U676" s="85">
        <f t="shared" si="154"/>
        <v>32.6</v>
      </c>
    </row>
    <row r="677" spans="1:21" ht="33">
      <c r="A677" s="61" t="str">
        <f ca="1">IF(ISERROR(MATCH(E677,Код_КЦСР,0)),"",INDIRECT(ADDRESS(MATCH(E677,Код_КЦСР,0)+1,2,,,"КЦСР")))</f>
        <v>Социально-педагогическая поддержка детей-сирот и детей, оставшихся без попечения родителей</v>
      </c>
      <c r="B677" s="145">
        <v>805</v>
      </c>
      <c r="C677" s="8" t="s">
        <v>195</v>
      </c>
      <c r="D677" s="8" t="s">
        <v>214</v>
      </c>
      <c r="E677" s="145" t="s">
        <v>412</v>
      </c>
      <c r="F677" s="145"/>
      <c r="G677" s="69">
        <f>G678</f>
        <v>117177.8</v>
      </c>
      <c r="H677" s="69">
        <f>H678</f>
        <v>0</v>
      </c>
      <c r="I677" s="69">
        <f t="shared" si="147"/>
        <v>117177.8</v>
      </c>
      <c r="J677" s="69">
        <f>J678</f>
        <v>0</v>
      </c>
      <c r="K677" s="85">
        <f t="shared" si="144"/>
        <v>117177.8</v>
      </c>
      <c r="L677" s="13">
        <f>L678</f>
        <v>0</v>
      </c>
      <c r="M677" s="85">
        <f t="shared" si="152"/>
        <v>117177.8</v>
      </c>
      <c r="N677" s="13">
        <f>N678</f>
        <v>0</v>
      </c>
      <c r="O677" s="85">
        <f t="shared" si="153"/>
        <v>117177.8</v>
      </c>
      <c r="P677" s="13">
        <f>P678</f>
        <v>0</v>
      </c>
      <c r="Q677" s="85">
        <f t="shared" si="148"/>
        <v>117177.8</v>
      </c>
      <c r="R677" s="13">
        <f>R678</f>
        <v>-491.2</v>
      </c>
      <c r="S677" s="85">
        <f t="shared" si="145"/>
        <v>116686.6</v>
      </c>
      <c r="T677" s="13">
        <f>T678</f>
        <v>8927.3000000000011</v>
      </c>
      <c r="U677" s="85">
        <f t="shared" si="154"/>
        <v>125613.90000000001</v>
      </c>
    </row>
    <row r="678" spans="1:21" ht="66">
      <c r="A678" s="61" t="str">
        <f ca="1">IF(ISERROR(MATCH(E678,Код_КЦСР,0)),"",INDIRECT(ADDRESS(MATCH(E678,Код_КЦСР,0)+1,2,,,"КЦСР")))</f>
        <v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v>
      </c>
      <c r="B678" s="145">
        <v>805</v>
      </c>
      <c r="C678" s="8" t="s">
        <v>195</v>
      </c>
      <c r="D678" s="8" t="s">
        <v>214</v>
      </c>
      <c r="E678" s="145" t="s">
        <v>414</v>
      </c>
      <c r="F678" s="145"/>
      <c r="G678" s="69">
        <f>G679+G682</f>
        <v>117177.8</v>
      </c>
      <c r="H678" s="69">
        <f>H679+H682</f>
        <v>0</v>
      </c>
      <c r="I678" s="69">
        <f t="shared" si="147"/>
        <v>117177.8</v>
      </c>
      <c r="J678" s="69">
        <f>J679+J682</f>
        <v>0</v>
      </c>
      <c r="K678" s="85">
        <f t="shared" si="144"/>
        <v>117177.8</v>
      </c>
      <c r="L678" s="13">
        <f>L679+L682</f>
        <v>0</v>
      </c>
      <c r="M678" s="85">
        <f t="shared" si="152"/>
        <v>117177.8</v>
      </c>
      <c r="N678" s="13">
        <f>N679+N682</f>
        <v>0</v>
      </c>
      <c r="O678" s="85">
        <f t="shared" si="153"/>
        <v>117177.8</v>
      </c>
      <c r="P678" s="13">
        <f>P679+P682</f>
        <v>0</v>
      </c>
      <c r="Q678" s="85">
        <f t="shared" si="148"/>
        <v>117177.8</v>
      </c>
      <c r="R678" s="13">
        <f>R679+R682</f>
        <v>-491.2</v>
      </c>
      <c r="S678" s="85">
        <f t="shared" si="145"/>
        <v>116686.6</v>
      </c>
      <c r="T678" s="13">
        <f>T679+T682</f>
        <v>8927.3000000000011</v>
      </c>
      <c r="U678" s="85">
        <f t="shared" si="154"/>
        <v>125613.90000000001</v>
      </c>
    </row>
    <row r="679" spans="1:21">
      <c r="A679" s="61" t="str">
        <f t="shared" ref="A679:A690" ca="1" si="157">IF(ISERROR(MATCH(F679,Код_КВР,0)),"",INDIRECT(ADDRESS(MATCH(F679,Код_КВР,0)+1,2,,,"КВР")))</f>
        <v>Социальное обеспечение и иные выплаты населению</v>
      </c>
      <c r="B679" s="145">
        <v>805</v>
      </c>
      <c r="C679" s="8" t="s">
        <v>195</v>
      </c>
      <c r="D679" s="8" t="s">
        <v>214</v>
      </c>
      <c r="E679" s="145" t="s">
        <v>414</v>
      </c>
      <c r="F679" s="145">
        <v>300</v>
      </c>
      <c r="G679" s="69">
        <f>G680</f>
        <v>851.6</v>
      </c>
      <c r="H679" s="69">
        <f>H680</f>
        <v>0</v>
      </c>
      <c r="I679" s="69">
        <f t="shared" si="147"/>
        <v>851.6</v>
      </c>
      <c r="J679" s="69">
        <f>J680</f>
        <v>0</v>
      </c>
      <c r="K679" s="85">
        <f t="shared" si="144"/>
        <v>851.6</v>
      </c>
      <c r="L679" s="13">
        <f>L680</f>
        <v>0</v>
      </c>
      <c r="M679" s="85">
        <f t="shared" si="152"/>
        <v>851.6</v>
      </c>
      <c r="N679" s="13">
        <f>N680</f>
        <v>0</v>
      </c>
      <c r="O679" s="85">
        <f t="shared" si="153"/>
        <v>851.6</v>
      </c>
      <c r="P679" s="13">
        <f>P680</f>
        <v>0</v>
      </c>
      <c r="Q679" s="85">
        <f t="shared" si="148"/>
        <v>851.6</v>
      </c>
      <c r="R679" s="13">
        <f>R680</f>
        <v>0</v>
      </c>
      <c r="S679" s="85">
        <f t="shared" si="145"/>
        <v>851.6</v>
      </c>
      <c r="T679" s="13">
        <f>T680</f>
        <v>-170.3</v>
      </c>
      <c r="U679" s="85">
        <f t="shared" si="154"/>
        <v>681.3</v>
      </c>
    </row>
    <row r="680" spans="1:21" ht="33">
      <c r="A680" s="61" t="str">
        <f t="shared" ca="1" si="157"/>
        <v>Социальные выплаты гражданам, кроме публичных нормативных социальных выплат</v>
      </c>
      <c r="B680" s="145">
        <v>805</v>
      </c>
      <c r="C680" s="8" t="s">
        <v>195</v>
      </c>
      <c r="D680" s="8" t="s">
        <v>214</v>
      </c>
      <c r="E680" s="145" t="s">
        <v>414</v>
      </c>
      <c r="F680" s="145">
        <v>320</v>
      </c>
      <c r="G680" s="69">
        <f>G681</f>
        <v>851.6</v>
      </c>
      <c r="H680" s="69">
        <f>H681</f>
        <v>0</v>
      </c>
      <c r="I680" s="69">
        <f t="shared" si="147"/>
        <v>851.6</v>
      </c>
      <c r="J680" s="69">
        <f>J681</f>
        <v>0</v>
      </c>
      <c r="K680" s="85">
        <f t="shared" si="144"/>
        <v>851.6</v>
      </c>
      <c r="L680" s="13">
        <f>L681</f>
        <v>0</v>
      </c>
      <c r="M680" s="85">
        <f t="shared" si="152"/>
        <v>851.6</v>
      </c>
      <c r="N680" s="13">
        <f>N681</f>
        <v>0</v>
      </c>
      <c r="O680" s="85">
        <f t="shared" si="153"/>
        <v>851.6</v>
      </c>
      <c r="P680" s="13">
        <f>P681</f>
        <v>0</v>
      </c>
      <c r="Q680" s="85">
        <f t="shared" si="148"/>
        <v>851.6</v>
      </c>
      <c r="R680" s="13">
        <f>R681</f>
        <v>0</v>
      </c>
      <c r="S680" s="85">
        <f t="shared" si="145"/>
        <v>851.6</v>
      </c>
      <c r="T680" s="13">
        <f>T681</f>
        <v>-170.3</v>
      </c>
      <c r="U680" s="85">
        <f t="shared" si="154"/>
        <v>681.3</v>
      </c>
    </row>
    <row r="681" spans="1:21" ht="33">
      <c r="A681" s="61" t="str">
        <f t="shared" ca="1" si="157"/>
        <v>Пособия, компенсации и иные социальные выплаты гражданам, кроме публичных нормативных обязательств</v>
      </c>
      <c r="B681" s="145">
        <v>805</v>
      </c>
      <c r="C681" s="8" t="s">
        <v>195</v>
      </c>
      <c r="D681" s="8" t="s">
        <v>214</v>
      </c>
      <c r="E681" s="145" t="s">
        <v>414</v>
      </c>
      <c r="F681" s="145">
        <v>321</v>
      </c>
      <c r="G681" s="69">
        <f>851.6</f>
        <v>851.6</v>
      </c>
      <c r="H681" s="64"/>
      <c r="I681" s="69">
        <f t="shared" si="147"/>
        <v>851.6</v>
      </c>
      <c r="J681" s="64"/>
      <c r="K681" s="85">
        <f t="shared" si="144"/>
        <v>851.6</v>
      </c>
      <c r="L681" s="85"/>
      <c r="M681" s="85">
        <f t="shared" si="152"/>
        <v>851.6</v>
      </c>
      <c r="N681" s="85"/>
      <c r="O681" s="85">
        <f t="shared" si="153"/>
        <v>851.6</v>
      </c>
      <c r="P681" s="85"/>
      <c r="Q681" s="85">
        <f t="shared" si="148"/>
        <v>851.6</v>
      </c>
      <c r="R681" s="85"/>
      <c r="S681" s="85">
        <f t="shared" si="145"/>
        <v>851.6</v>
      </c>
      <c r="T681" s="85">
        <v>-170.3</v>
      </c>
      <c r="U681" s="85">
        <f t="shared" si="154"/>
        <v>681.3</v>
      </c>
    </row>
    <row r="682" spans="1:21" ht="33">
      <c r="A682" s="61" t="str">
        <f t="shared" ca="1" si="157"/>
        <v>Предоставление субсидий бюджетным, автономным учреждениям и иным некоммерческим организациям</v>
      </c>
      <c r="B682" s="145">
        <v>805</v>
      </c>
      <c r="C682" s="8" t="s">
        <v>195</v>
      </c>
      <c r="D682" s="8" t="s">
        <v>214</v>
      </c>
      <c r="E682" s="145" t="s">
        <v>414</v>
      </c>
      <c r="F682" s="145">
        <v>600</v>
      </c>
      <c r="G682" s="69">
        <f>G683</f>
        <v>116326.2</v>
      </c>
      <c r="H682" s="69">
        <f>H683</f>
        <v>0</v>
      </c>
      <c r="I682" s="69">
        <f t="shared" si="147"/>
        <v>116326.2</v>
      </c>
      <c r="J682" s="69">
        <f>J683</f>
        <v>0</v>
      </c>
      <c r="K682" s="85">
        <f t="shared" si="144"/>
        <v>116326.2</v>
      </c>
      <c r="L682" s="13">
        <f>L683</f>
        <v>0</v>
      </c>
      <c r="M682" s="85">
        <f t="shared" si="152"/>
        <v>116326.2</v>
      </c>
      <c r="N682" s="13">
        <f>N683</f>
        <v>0</v>
      </c>
      <c r="O682" s="85">
        <f t="shared" si="153"/>
        <v>116326.2</v>
      </c>
      <c r="P682" s="13">
        <f>P683</f>
        <v>0</v>
      </c>
      <c r="Q682" s="85">
        <f t="shared" si="148"/>
        <v>116326.2</v>
      </c>
      <c r="R682" s="13">
        <f>R683</f>
        <v>-491.2</v>
      </c>
      <c r="S682" s="85">
        <f t="shared" si="145"/>
        <v>115835</v>
      </c>
      <c r="T682" s="13">
        <f>T683</f>
        <v>9097.6</v>
      </c>
      <c r="U682" s="85">
        <f t="shared" si="154"/>
        <v>124932.6</v>
      </c>
    </row>
    <row r="683" spans="1:21">
      <c r="A683" s="61" t="str">
        <f t="shared" ca="1" si="157"/>
        <v>Субсидии бюджетным учреждениям</v>
      </c>
      <c r="B683" s="145">
        <v>805</v>
      </c>
      <c r="C683" s="8" t="s">
        <v>195</v>
      </c>
      <c r="D683" s="8" t="s">
        <v>214</v>
      </c>
      <c r="E683" s="145" t="s">
        <v>414</v>
      </c>
      <c r="F683" s="145">
        <v>610</v>
      </c>
      <c r="G683" s="69">
        <f>G684</f>
        <v>116326.2</v>
      </c>
      <c r="H683" s="69">
        <f>H684</f>
        <v>0</v>
      </c>
      <c r="I683" s="69">
        <f t="shared" si="147"/>
        <v>116326.2</v>
      </c>
      <c r="J683" s="69">
        <f>J684</f>
        <v>0</v>
      </c>
      <c r="K683" s="85">
        <f t="shared" si="144"/>
        <v>116326.2</v>
      </c>
      <c r="L683" s="13">
        <f>L684</f>
        <v>0</v>
      </c>
      <c r="M683" s="85">
        <f t="shared" si="152"/>
        <v>116326.2</v>
      </c>
      <c r="N683" s="13">
        <f>N684</f>
        <v>0</v>
      </c>
      <c r="O683" s="85">
        <f t="shared" si="153"/>
        <v>116326.2</v>
      </c>
      <c r="P683" s="13">
        <f>P684</f>
        <v>0</v>
      </c>
      <c r="Q683" s="85">
        <f t="shared" si="148"/>
        <v>116326.2</v>
      </c>
      <c r="R683" s="13">
        <f>R684</f>
        <v>-491.2</v>
      </c>
      <c r="S683" s="85">
        <f t="shared" si="145"/>
        <v>115835</v>
      </c>
      <c r="T683" s="13">
        <f>T684</f>
        <v>9097.6</v>
      </c>
      <c r="U683" s="85">
        <f t="shared" si="154"/>
        <v>124932.6</v>
      </c>
    </row>
    <row r="684" spans="1:21" ht="49.5">
      <c r="A684" s="61" t="str">
        <f t="shared" ca="1" si="157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684" s="145">
        <v>805</v>
      </c>
      <c r="C684" s="8" t="s">
        <v>195</v>
      </c>
      <c r="D684" s="8" t="s">
        <v>214</v>
      </c>
      <c r="E684" s="145" t="s">
        <v>414</v>
      </c>
      <c r="F684" s="145">
        <v>611</v>
      </c>
      <c r="G684" s="69">
        <v>116326.2</v>
      </c>
      <c r="H684" s="64"/>
      <c r="I684" s="69">
        <f t="shared" si="147"/>
        <v>116326.2</v>
      </c>
      <c r="J684" s="64"/>
      <c r="K684" s="85">
        <f t="shared" si="144"/>
        <v>116326.2</v>
      </c>
      <c r="L684" s="85"/>
      <c r="M684" s="85">
        <f t="shared" si="152"/>
        <v>116326.2</v>
      </c>
      <c r="N684" s="85"/>
      <c r="O684" s="85">
        <f t="shared" si="153"/>
        <v>116326.2</v>
      </c>
      <c r="P684" s="85"/>
      <c r="Q684" s="85">
        <f t="shared" si="148"/>
        <v>116326.2</v>
      </c>
      <c r="R684" s="85">
        <v>-491.2</v>
      </c>
      <c r="S684" s="85">
        <f t="shared" si="145"/>
        <v>115835</v>
      </c>
      <c r="T684" s="85">
        <v>9097.6</v>
      </c>
      <c r="U684" s="85">
        <f t="shared" si="154"/>
        <v>124932.6</v>
      </c>
    </row>
    <row r="685" spans="1:21" ht="33">
      <c r="A685" s="61" t="str">
        <f ca="1">IF(ISERROR(MATCH(E685,Код_КЦСР,0)),"",INDIRECT(ADDRESS(MATCH(E685,Код_КЦСР,0)+1,2,,,"КЦСР")))</f>
        <v>Непрограммные направления деятельности органов местного самоуправления</v>
      </c>
      <c r="B685" s="154">
        <v>805</v>
      </c>
      <c r="C685" s="8" t="s">
        <v>195</v>
      </c>
      <c r="D685" s="8" t="s">
        <v>214</v>
      </c>
      <c r="E685" s="154" t="s">
        <v>299</v>
      </c>
      <c r="F685" s="154"/>
      <c r="G685" s="69"/>
      <c r="H685" s="64"/>
      <c r="I685" s="69"/>
      <c r="J685" s="64"/>
      <c r="K685" s="85"/>
      <c r="L685" s="85"/>
      <c r="M685" s="85"/>
      <c r="N685" s="85"/>
      <c r="O685" s="85"/>
      <c r="P685" s="85"/>
      <c r="Q685" s="85"/>
      <c r="R685" s="85"/>
      <c r="S685" s="85"/>
      <c r="T685" s="85">
        <f>T686</f>
        <v>750</v>
      </c>
      <c r="U685" s="85">
        <f t="shared" si="154"/>
        <v>750</v>
      </c>
    </row>
    <row r="686" spans="1:21">
      <c r="A686" s="61" t="str">
        <f ca="1">IF(ISERROR(MATCH(E686,Код_КЦСР,0)),"",INDIRECT(ADDRESS(MATCH(E686,Код_КЦСР,0)+1,2,,,"КЦСР")))</f>
        <v>Расходы, не включенные в муниципальные программы города Череповца</v>
      </c>
      <c r="B686" s="154">
        <v>805</v>
      </c>
      <c r="C686" s="8" t="s">
        <v>195</v>
      </c>
      <c r="D686" s="8" t="s">
        <v>214</v>
      </c>
      <c r="E686" s="154" t="s">
        <v>301</v>
      </c>
      <c r="F686" s="154"/>
      <c r="G686" s="69"/>
      <c r="H686" s="64"/>
      <c r="I686" s="69"/>
      <c r="J686" s="64"/>
      <c r="K686" s="85"/>
      <c r="L686" s="85"/>
      <c r="M686" s="85"/>
      <c r="N686" s="85"/>
      <c r="O686" s="85"/>
      <c r="P686" s="85"/>
      <c r="Q686" s="85"/>
      <c r="R686" s="85"/>
      <c r="S686" s="85"/>
      <c r="T686" s="85">
        <f>T687</f>
        <v>750</v>
      </c>
      <c r="U686" s="85">
        <f t="shared" si="154"/>
        <v>750</v>
      </c>
    </row>
    <row r="687" spans="1:21" ht="47.25" customHeight="1">
      <c r="A687" s="61" t="str">
        <f ca="1">IF(ISERROR(MATCH(E687,Код_КЦСР,0)),"",INDIRECT(ADDRESS(MATCH(E687,Код_КЦСР,0)+1,2,,,"КЦСР")))</f>
        <v xml:space="preserve">Поддержка общеобразовательных организаций, работающих в сложных социальных условиях за счет иных межбюджетных трансфертов из областного бюджета </v>
      </c>
      <c r="B687" s="145">
        <v>805</v>
      </c>
      <c r="C687" s="8" t="s">
        <v>195</v>
      </c>
      <c r="D687" s="8" t="s">
        <v>214</v>
      </c>
      <c r="E687" s="145" t="s">
        <v>708</v>
      </c>
      <c r="F687" s="145"/>
      <c r="G687" s="69"/>
      <c r="H687" s="64"/>
      <c r="I687" s="69"/>
      <c r="J687" s="64"/>
      <c r="K687" s="85"/>
      <c r="L687" s="85"/>
      <c r="M687" s="85"/>
      <c r="N687" s="85"/>
      <c r="O687" s="85"/>
      <c r="P687" s="85"/>
      <c r="Q687" s="85"/>
      <c r="R687" s="85"/>
      <c r="S687" s="85"/>
      <c r="T687" s="13">
        <f>T688</f>
        <v>750</v>
      </c>
      <c r="U687" s="85">
        <f t="shared" si="154"/>
        <v>750</v>
      </c>
    </row>
    <row r="688" spans="1:21" ht="33">
      <c r="A688" s="61" t="str">
        <f t="shared" ca="1" si="157"/>
        <v>Предоставление субсидий бюджетным, автономным учреждениям и иным некоммерческим организациям</v>
      </c>
      <c r="B688" s="145">
        <v>805</v>
      </c>
      <c r="C688" s="8" t="s">
        <v>195</v>
      </c>
      <c r="D688" s="8" t="s">
        <v>214</v>
      </c>
      <c r="E688" s="145" t="s">
        <v>708</v>
      </c>
      <c r="F688" s="145">
        <v>600</v>
      </c>
      <c r="G688" s="69"/>
      <c r="H688" s="64"/>
      <c r="I688" s="69"/>
      <c r="J688" s="64"/>
      <c r="K688" s="85"/>
      <c r="L688" s="85"/>
      <c r="M688" s="85"/>
      <c r="N688" s="85"/>
      <c r="O688" s="85"/>
      <c r="P688" s="85"/>
      <c r="Q688" s="85"/>
      <c r="R688" s="85"/>
      <c r="S688" s="85"/>
      <c r="T688" s="13">
        <f>T689</f>
        <v>750</v>
      </c>
      <c r="U688" s="85">
        <f t="shared" si="154"/>
        <v>750</v>
      </c>
    </row>
    <row r="689" spans="1:21">
      <c r="A689" s="61" t="str">
        <f t="shared" ca="1" si="157"/>
        <v>Субсидии бюджетным учреждениям</v>
      </c>
      <c r="B689" s="145">
        <v>805</v>
      </c>
      <c r="C689" s="8" t="s">
        <v>195</v>
      </c>
      <c r="D689" s="8" t="s">
        <v>214</v>
      </c>
      <c r="E689" s="145" t="s">
        <v>708</v>
      </c>
      <c r="F689" s="145">
        <v>610</v>
      </c>
      <c r="G689" s="69"/>
      <c r="H689" s="64"/>
      <c r="I689" s="69"/>
      <c r="J689" s="64"/>
      <c r="K689" s="85"/>
      <c r="L689" s="85"/>
      <c r="M689" s="85"/>
      <c r="N689" s="85"/>
      <c r="O689" s="85"/>
      <c r="P689" s="85"/>
      <c r="Q689" s="85"/>
      <c r="R689" s="85"/>
      <c r="S689" s="85"/>
      <c r="T689" s="13">
        <f>T690</f>
        <v>750</v>
      </c>
      <c r="U689" s="85">
        <f t="shared" si="154"/>
        <v>750</v>
      </c>
    </row>
    <row r="690" spans="1:21">
      <c r="A690" s="61" t="str">
        <f t="shared" ca="1" si="157"/>
        <v>Субсидии бюджетным учреждениям на иные цели</v>
      </c>
      <c r="B690" s="145">
        <v>805</v>
      </c>
      <c r="C690" s="8" t="s">
        <v>195</v>
      </c>
      <c r="D690" s="8" t="s">
        <v>214</v>
      </c>
      <c r="E690" s="145" t="s">
        <v>708</v>
      </c>
      <c r="F690" s="145">
        <v>612</v>
      </c>
      <c r="G690" s="69"/>
      <c r="H690" s="64"/>
      <c r="I690" s="69"/>
      <c r="J690" s="64"/>
      <c r="K690" s="85"/>
      <c r="L690" s="85"/>
      <c r="M690" s="85"/>
      <c r="N690" s="85"/>
      <c r="O690" s="85"/>
      <c r="P690" s="85"/>
      <c r="Q690" s="85"/>
      <c r="R690" s="85"/>
      <c r="S690" s="85"/>
      <c r="T690" s="85">
        <v>750</v>
      </c>
      <c r="U690" s="85">
        <f t="shared" si="154"/>
        <v>750</v>
      </c>
    </row>
    <row r="691" spans="1:21">
      <c r="A691" s="12" t="s">
        <v>199</v>
      </c>
      <c r="B691" s="145">
        <v>805</v>
      </c>
      <c r="C691" s="8" t="s">
        <v>195</v>
      </c>
      <c r="D691" s="8" t="s">
        <v>195</v>
      </c>
      <c r="E691" s="145"/>
      <c r="F691" s="145"/>
      <c r="G691" s="69">
        <f t="shared" ref="G691:T700" si="158">G692</f>
        <v>6052</v>
      </c>
      <c r="H691" s="69">
        <f t="shared" si="158"/>
        <v>0</v>
      </c>
      <c r="I691" s="69">
        <f t="shared" si="147"/>
        <v>6052</v>
      </c>
      <c r="J691" s="69">
        <f>J692+J702</f>
        <v>2842.8</v>
      </c>
      <c r="K691" s="85">
        <f t="shared" si="144"/>
        <v>8894.7999999999993</v>
      </c>
      <c r="L691" s="13">
        <f>L692+L702</f>
        <v>0</v>
      </c>
      <c r="M691" s="85">
        <f t="shared" si="152"/>
        <v>8894.7999999999993</v>
      </c>
      <c r="N691" s="13">
        <f>N692+N702</f>
        <v>377.3</v>
      </c>
      <c r="O691" s="85">
        <f t="shared" si="153"/>
        <v>9272.0999999999985</v>
      </c>
      <c r="P691" s="13">
        <f>P692+P702</f>
        <v>0</v>
      </c>
      <c r="Q691" s="85">
        <f t="shared" si="148"/>
        <v>9272.0999999999985</v>
      </c>
      <c r="R691" s="13">
        <f>R692+R702</f>
        <v>0</v>
      </c>
      <c r="S691" s="85">
        <f t="shared" si="145"/>
        <v>9272.0999999999985</v>
      </c>
      <c r="T691" s="13">
        <f>T692+T702</f>
        <v>-734.7</v>
      </c>
      <c r="U691" s="85">
        <f t="shared" si="154"/>
        <v>8537.3999999999978</v>
      </c>
    </row>
    <row r="692" spans="1:21" ht="15.75" customHeight="1">
      <c r="A692" s="61" t="str">
        <f ca="1">IF(ISERROR(MATCH(E692,Код_КЦСР,0)),"",INDIRECT(ADDRESS(MATCH(E692,Код_КЦСР,0)+1,2,,,"КЦСР")))</f>
        <v>Муниципальная программа «Развитие образования» на 2013-2022 годы</v>
      </c>
      <c r="B692" s="145">
        <v>805</v>
      </c>
      <c r="C692" s="8" t="s">
        <v>195</v>
      </c>
      <c r="D692" s="8" t="s">
        <v>195</v>
      </c>
      <c r="E692" s="145" t="s">
        <v>271</v>
      </c>
      <c r="F692" s="145"/>
      <c r="G692" s="69">
        <f>G697</f>
        <v>6052</v>
      </c>
      <c r="H692" s="69">
        <f>H697</f>
        <v>0</v>
      </c>
      <c r="I692" s="69">
        <f t="shared" si="147"/>
        <v>6052</v>
      </c>
      <c r="J692" s="69">
        <f>J697</f>
        <v>0</v>
      </c>
      <c r="K692" s="85">
        <f t="shared" si="144"/>
        <v>6052</v>
      </c>
      <c r="L692" s="13">
        <f>L697</f>
        <v>0</v>
      </c>
      <c r="M692" s="85">
        <f t="shared" si="152"/>
        <v>6052</v>
      </c>
      <c r="N692" s="13">
        <f>N697+N693</f>
        <v>377.3</v>
      </c>
      <c r="O692" s="85">
        <f t="shared" si="153"/>
        <v>6429.3</v>
      </c>
      <c r="P692" s="13">
        <f>P697+P693</f>
        <v>0</v>
      </c>
      <c r="Q692" s="85">
        <f t="shared" si="148"/>
        <v>6429.3</v>
      </c>
      <c r="R692" s="13">
        <f>R697+R693</f>
        <v>0</v>
      </c>
      <c r="S692" s="85">
        <f t="shared" si="145"/>
        <v>6429.3</v>
      </c>
      <c r="T692" s="13">
        <f>T697+T693</f>
        <v>-734.7</v>
      </c>
      <c r="U692" s="85">
        <f t="shared" si="154"/>
        <v>5694.6</v>
      </c>
    </row>
    <row r="693" spans="1:21">
      <c r="A693" s="61" t="str">
        <f ca="1">IF(ISERROR(MATCH(E693,Код_КЦСР,0)),"",INDIRECT(ADDRESS(MATCH(E693,Код_КЦСР,0)+1,2,,,"КЦСР")))</f>
        <v>Обеспечение питанием обучающихся в МОУ</v>
      </c>
      <c r="B693" s="145">
        <v>805</v>
      </c>
      <c r="C693" s="8" t="s">
        <v>195</v>
      </c>
      <c r="D693" s="8" t="s">
        <v>195</v>
      </c>
      <c r="E693" s="145" t="s">
        <v>274</v>
      </c>
      <c r="F693" s="145"/>
      <c r="G693" s="69"/>
      <c r="H693" s="69"/>
      <c r="I693" s="69"/>
      <c r="J693" s="69"/>
      <c r="K693" s="85"/>
      <c r="L693" s="13"/>
      <c r="M693" s="85"/>
      <c r="N693" s="13">
        <f>N694</f>
        <v>377.3</v>
      </c>
      <c r="O693" s="85">
        <f>N693</f>
        <v>377.3</v>
      </c>
      <c r="P693" s="13">
        <f>P694</f>
        <v>0</v>
      </c>
      <c r="Q693" s="85">
        <f t="shared" si="148"/>
        <v>377.3</v>
      </c>
      <c r="R693" s="13">
        <f>R694</f>
        <v>0</v>
      </c>
      <c r="S693" s="85">
        <f t="shared" si="145"/>
        <v>377.3</v>
      </c>
      <c r="T693" s="13">
        <f>T694</f>
        <v>0</v>
      </c>
      <c r="U693" s="85">
        <f t="shared" si="154"/>
        <v>377.3</v>
      </c>
    </row>
    <row r="694" spans="1:21" ht="39" customHeight="1">
      <c r="A694" s="61" t="str">
        <f ca="1">IF(ISERROR(MATCH(F694,Код_КВР,0)),"",INDIRECT(ADDRESS(MATCH(F694,Код_КВР,0)+1,2,,,"КВР")))</f>
        <v>Предоставление субсидий бюджетным, автономным учреждениям и иным некоммерческим организациям</v>
      </c>
      <c r="B694" s="145">
        <v>805</v>
      </c>
      <c r="C694" s="8" t="s">
        <v>195</v>
      </c>
      <c r="D694" s="8" t="s">
        <v>195</v>
      </c>
      <c r="E694" s="145" t="s">
        <v>274</v>
      </c>
      <c r="F694" s="145">
        <v>600</v>
      </c>
      <c r="G694" s="69"/>
      <c r="H694" s="69"/>
      <c r="I694" s="69"/>
      <c r="J694" s="69"/>
      <c r="K694" s="85"/>
      <c r="L694" s="13"/>
      <c r="M694" s="85"/>
      <c r="N694" s="13">
        <f>N695</f>
        <v>377.3</v>
      </c>
      <c r="O694" s="85">
        <f t="shared" ref="O694:O696" si="159">N694</f>
        <v>377.3</v>
      </c>
      <c r="P694" s="13">
        <f>P695</f>
        <v>0</v>
      </c>
      <c r="Q694" s="85">
        <f t="shared" si="148"/>
        <v>377.3</v>
      </c>
      <c r="R694" s="13">
        <f>R695</f>
        <v>0</v>
      </c>
      <c r="S694" s="85">
        <f t="shared" si="145"/>
        <v>377.3</v>
      </c>
      <c r="T694" s="13">
        <f>T695</f>
        <v>0</v>
      </c>
      <c r="U694" s="85">
        <f t="shared" si="154"/>
        <v>377.3</v>
      </c>
    </row>
    <row r="695" spans="1:21">
      <c r="A695" s="61" t="str">
        <f ca="1">IF(ISERROR(MATCH(F695,Код_КВР,0)),"",INDIRECT(ADDRESS(MATCH(F695,Код_КВР,0)+1,2,,,"КВР")))</f>
        <v>Субсидии автономным учреждениям</v>
      </c>
      <c r="B695" s="145">
        <v>805</v>
      </c>
      <c r="C695" s="8" t="s">
        <v>195</v>
      </c>
      <c r="D695" s="8" t="s">
        <v>195</v>
      </c>
      <c r="E695" s="145" t="s">
        <v>274</v>
      </c>
      <c r="F695" s="145">
        <v>620</v>
      </c>
      <c r="G695" s="69"/>
      <c r="H695" s="69"/>
      <c r="I695" s="69"/>
      <c r="J695" s="69"/>
      <c r="K695" s="85"/>
      <c r="L695" s="13"/>
      <c r="M695" s="85"/>
      <c r="N695" s="13">
        <f>N696</f>
        <v>377.3</v>
      </c>
      <c r="O695" s="85">
        <f t="shared" si="159"/>
        <v>377.3</v>
      </c>
      <c r="P695" s="13">
        <f>P696</f>
        <v>0</v>
      </c>
      <c r="Q695" s="85">
        <f t="shared" si="148"/>
        <v>377.3</v>
      </c>
      <c r="R695" s="13">
        <f>R696</f>
        <v>0</v>
      </c>
      <c r="S695" s="85">
        <f t="shared" si="145"/>
        <v>377.3</v>
      </c>
      <c r="T695" s="13">
        <f>T696</f>
        <v>0</v>
      </c>
      <c r="U695" s="85">
        <f t="shared" si="154"/>
        <v>377.3</v>
      </c>
    </row>
    <row r="696" spans="1:21">
      <c r="A696" s="61" t="str">
        <f ca="1">IF(ISERROR(MATCH(F696,Код_КВР,0)),"",INDIRECT(ADDRESS(MATCH(F696,Код_КВР,0)+1,2,,,"КВР")))</f>
        <v>Субсидии автономным учреждениям на иные цели</v>
      </c>
      <c r="B696" s="145">
        <v>805</v>
      </c>
      <c r="C696" s="8" t="s">
        <v>195</v>
      </c>
      <c r="D696" s="8" t="s">
        <v>195</v>
      </c>
      <c r="E696" s="145" t="s">
        <v>274</v>
      </c>
      <c r="F696" s="145">
        <v>622</v>
      </c>
      <c r="G696" s="69"/>
      <c r="H696" s="69"/>
      <c r="I696" s="69"/>
      <c r="J696" s="69"/>
      <c r="K696" s="85"/>
      <c r="L696" s="13"/>
      <c r="M696" s="85"/>
      <c r="N696" s="13">
        <v>377.3</v>
      </c>
      <c r="O696" s="85">
        <f t="shared" si="159"/>
        <v>377.3</v>
      </c>
      <c r="P696" s="13"/>
      <c r="Q696" s="85">
        <f t="shared" si="148"/>
        <v>377.3</v>
      </c>
      <c r="R696" s="13"/>
      <c r="S696" s="85">
        <f t="shared" si="145"/>
        <v>377.3</v>
      </c>
      <c r="T696" s="13"/>
      <c r="U696" s="85">
        <f t="shared" si="154"/>
        <v>377.3</v>
      </c>
    </row>
    <row r="697" spans="1:21" ht="33">
      <c r="A697" s="61" t="str">
        <f ca="1">IF(ISERROR(MATCH(E697,Код_КЦСР,0)),"",INDIRECT(ADDRESS(MATCH(E697,Код_КЦСР,0)+1,2,,,"КЦСР")))</f>
        <v>Социально-педагогическая поддержка детей-сирот и детей, оставшихся без попечения родителей</v>
      </c>
      <c r="B697" s="145">
        <v>805</v>
      </c>
      <c r="C697" s="8" t="s">
        <v>195</v>
      </c>
      <c r="D697" s="8" t="s">
        <v>195</v>
      </c>
      <c r="E697" s="145" t="s">
        <v>412</v>
      </c>
      <c r="F697" s="145"/>
      <c r="G697" s="69">
        <f t="shared" si="158"/>
        <v>6052</v>
      </c>
      <c r="H697" s="69">
        <f t="shared" si="158"/>
        <v>0</v>
      </c>
      <c r="I697" s="69">
        <f t="shared" si="147"/>
        <v>6052</v>
      </c>
      <c r="J697" s="69">
        <f t="shared" si="158"/>
        <v>0</v>
      </c>
      <c r="K697" s="85">
        <f t="shared" si="144"/>
        <v>6052</v>
      </c>
      <c r="L697" s="13">
        <f t="shared" si="158"/>
        <v>0</v>
      </c>
      <c r="M697" s="85">
        <f t="shared" si="152"/>
        <v>6052</v>
      </c>
      <c r="N697" s="13">
        <f t="shared" si="158"/>
        <v>0</v>
      </c>
      <c r="O697" s="85">
        <f t="shared" si="153"/>
        <v>6052</v>
      </c>
      <c r="P697" s="13">
        <f t="shared" si="158"/>
        <v>0</v>
      </c>
      <c r="Q697" s="85">
        <f t="shared" si="148"/>
        <v>6052</v>
      </c>
      <c r="R697" s="13">
        <f t="shared" si="158"/>
        <v>0</v>
      </c>
      <c r="S697" s="85">
        <f t="shared" si="145"/>
        <v>6052</v>
      </c>
      <c r="T697" s="13">
        <f t="shared" si="158"/>
        <v>-734.7</v>
      </c>
      <c r="U697" s="85">
        <f t="shared" si="154"/>
        <v>5317.3</v>
      </c>
    </row>
    <row r="698" spans="1:21" ht="68.25" customHeight="1">
      <c r="A698" s="61" t="str">
        <f ca="1">IF(ISERROR(MATCH(E698,Код_КЦСР,0)),"",INDIRECT(ADDRESS(MATCH(E698,Код_КЦСР,0)+1,2,,,"КЦСР")))</f>
        <v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v>
      </c>
      <c r="B698" s="145">
        <v>805</v>
      </c>
      <c r="C698" s="8" t="s">
        <v>195</v>
      </c>
      <c r="D698" s="8" t="s">
        <v>195</v>
      </c>
      <c r="E698" s="145" t="s">
        <v>414</v>
      </c>
      <c r="F698" s="145"/>
      <c r="G698" s="69">
        <f t="shared" si="158"/>
        <v>6052</v>
      </c>
      <c r="H698" s="69">
        <f t="shared" si="158"/>
        <v>0</v>
      </c>
      <c r="I698" s="69">
        <f t="shared" si="147"/>
        <v>6052</v>
      </c>
      <c r="J698" s="69">
        <f t="shared" si="158"/>
        <v>0</v>
      </c>
      <c r="K698" s="85">
        <f t="shared" si="144"/>
        <v>6052</v>
      </c>
      <c r="L698" s="13">
        <f t="shared" si="158"/>
        <v>0</v>
      </c>
      <c r="M698" s="85">
        <f t="shared" si="152"/>
        <v>6052</v>
      </c>
      <c r="N698" s="13">
        <f t="shared" si="158"/>
        <v>0</v>
      </c>
      <c r="O698" s="85">
        <f t="shared" si="153"/>
        <v>6052</v>
      </c>
      <c r="P698" s="13">
        <f t="shared" si="158"/>
        <v>0</v>
      </c>
      <c r="Q698" s="85">
        <f t="shared" si="148"/>
        <v>6052</v>
      </c>
      <c r="R698" s="13">
        <f t="shared" si="158"/>
        <v>0</v>
      </c>
      <c r="S698" s="85">
        <f t="shared" si="145"/>
        <v>6052</v>
      </c>
      <c r="T698" s="13">
        <f t="shared" si="158"/>
        <v>-734.7</v>
      </c>
      <c r="U698" s="85">
        <f t="shared" si="154"/>
        <v>5317.3</v>
      </c>
    </row>
    <row r="699" spans="1:21">
      <c r="A699" s="61" t="str">
        <f ca="1">IF(ISERROR(MATCH(F699,Код_КВР,0)),"",INDIRECT(ADDRESS(MATCH(F699,Код_КВР,0)+1,2,,,"КВР")))</f>
        <v>Социальное обеспечение и иные выплаты населению</v>
      </c>
      <c r="B699" s="145">
        <v>805</v>
      </c>
      <c r="C699" s="8" t="s">
        <v>195</v>
      </c>
      <c r="D699" s="8" t="s">
        <v>195</v>
      </c>
      <c r="E699" s="145" t="s">
        <v>414</v>
      </c>
      <c r="F699" s="145">
        <v>300</v>
      </c>
      <c r="G699" s="69">
        <f t="shared" si="158"/>
        <v>6052</v>
      </c>
      <c r="H699" s="69">
        <f t="shared" si="158"/>
        <v>0</v>
      </c>
      <c r="I699" s="69">
        <f t="shared" si="147"/>
        <v>6052</v>
      </c>
      <c r="J699" s="69">
        <f t="shared" si="158"/>
        <v>0</v>
      </c>
      <c r="K699" s="85">
        <f t="shared" si="144"/>
        <v>6052</v>
      </c>
      <c r="L699" s="13">
        <f t="shared" si="158"/>
        <v>0</v>
      </c>
      <c r="M699" s="85">
        <f t="shared" si="152"/>
        <v>6052</v>
      </c>
      <c r="N699" s="13">
        <f t="shared" si="158"/>
        <v>0</v>
      </c>
      <c r="O699" s="85">
        <f t="shared" si="153"/>
        <v>6052</v>
      </c>
      <c r="P699" s="13">
        <f t="shared" si="158"/>
        <v>0</v>
      </c>
      <c r="Q699" s="85">
        <f t="shared" si="148"/>
        <v>6052</v>
      </c>
      <c r="R699" s="13">
        <f t="shared" si="158"/>
        <v>0</v>
      </c>
      <c r="S699" s="85">
        <f t="shared" si="145"/>
        <v>6052</v>
      </c>
      <c r="T699" s="13">
        <f t="shared" si="158"/>
        <v>-734.7</v>
      </c>
      <c r="U699" s="85">
        <f t="shared" si="154"/>
        <v>5317.3</v>
      </c>
    </row>
    <row r="700" spans="1:21" ht="33">
      <c r="A700" s="61" t="str">
        <f ca="1">IF(ISERROR(MATCH(F700,Код_КВР,0)),"",INDIRECT(ADDRESS(MATCH(F700,Код_КВР,0)+1,2,,,"КВР")))</f>
        <v>Социальные выплаты гражданам, кроме публичных нормативных социальных выплат</v>
      </c>
      <c r="B700" s="145">
        <v>805</v>
      </c>
      <c r="C700" s="8" t="s">
        <v>195</v>
      </c>
      <c r="D700" s="8" t="s">
        <v>195</v>
      </c>
      <c r="E700" s="145" t="s">
        <v>414</v>
      </c>
      <c r="F700" s="145">
        <v>320</v>
      </c>
      <c r="G700" s="69">
        <f t="shared" si="158"/>
        <v>6052</v>
      </c>
      <c r="H700" s="69">
        <f t="shared" si="158"/>
        <v>0</v>
      </c>
      <c r="I700" s="69">
        <f t="shared" si="147"/>
        <v>6052</v>
      </c>
      <c r="J700" s="69">
        <f t="shared" si="158"/>
        <v>0</v>
      </c>
      <c r="K700" s="85">
        <f t="shared" si="144"/>
        <v>6052</v>
      </c>
      <c r="L700" s="13">
        <f t="shared" si="158"/>
        <v>0</v>
      </c>
      <c r="M700" s="85">
        <f t="shared" si="152"/>
        <v>6052</v>
      </c>
      <c r="N700" s="13">
        <f t="shared" si="158"/>
        <v>0</v>
      </c>
      <c r="O700" s="85">
        <f t="shared" si="153"/>
        <v>6052</v>
      </c>
      <c r="P700" s="13">
        <f t="shared" si="158"/>
        <v>0</v>
      </c>
      <c r="Q700" s="85">
        <f t="shared" si="148"/>
        <v>6052</v>
      </c>
      <c r="R700" s="13">
        <f t="shared" si="158"/>
        <v>0</v>
      </c>
      <c r="S700" s="85">
        <f t="shared" si="145"/>
        <v>6052</v>
      </c>
      <c r="T700" s="13">
        <f t="shared" si="158"/>
        <v>-734.7</v>
      </c>
      <c r="U700" s="85">
        <f t="shared" si="154"/>
        <v>5317.3</v>
      </c>
    </row>
    <row r="701" spans="1:21" ht="33">
      <c r="A701" s="61" t="str">
        <f ca="1">IF(ISERROR(MATCH(F701,Код_КВР,0)),"",INDIRECT(ADDRESS(MATCH(F701,Код_КВР,0)+1,2,,,"КВР")))</f>
        <v>Приобретение товаров, работ, услуг в пользу граждан в целях их социального обеспечения</v>
      </c>
      <c r="B701" s="145">
        <v>805</v>
      </c>
      <c r="C701" s="8" t="s">
        <v>195</v>
      </c>
      <c r="D701" s="8" t="s">
        <v>195</v>
      </c>
      <c r="E701" s="145" t="s">
        <v>414</v>
      </c>
      <c r="F701" s="145">
        <v>323</v>
      </c>
      <c r="G701" s="69">
        <v>6052</v>
      </c>
      <c r="H701" s="64"/>
      <c r="I701" s="69">
        <f t="shared" si="147"/>
        <v>6052</v>
      </c>
      <c r="J701" s="64"/>
      <c r="K701" s="85">
        <f t="shared" si="144"/>
        <v>6052</v>
      </c>
      <c r="L701" s="85"/>
      <c r="M701" s="85">
        <f t="shared" si="152"/>
        <v>6052</v>
      </c>
      <c r="N701" s="85"/>
      <c r="O701" s="85">
        <f t="shared" si="153"/>
        <v>6052</v>
      </c>
      <c r="P701" s="85"/>
      <c r="Q701" s="85">
        <f t="shared" si="148"/>
        <v>6052</v>
      </c>
      <c r="R701" s="85"/>
      <c r="S701" s="85">
        <f t="shared" si="145"/>
        <v>6052</v>
      </c>
      <c r="T701" s="85">
        <v>-734.7</v>
      </c>
      <c r="U701" s="85">
        <f t="shared" si="154"/>
        <v>5317.3</v>
      </c>
    </row>
    <row r="702" spans="1:21" ht="36" customHeight="1">
      <c r="A702" s="61" t="str">
        <f ca="1">IF(ISERROR(MATCH(E702,Код_КЦСР,0)),"",INDIRECT(ADDRESS(MATCH(E702,Код_КЦСР,0)+1,2,,,"КЦСР")))</f>
        <v>Муниципальная программа «Социальная поддержка граждан» на 2014-2018 годы</v>
      </c>
      <c r="B702" s="145">
        <v>805</v>
      </c>
      <c r="C702" s="8" t="s">
        <v>195</v>
      </c>
      <c r="D702" s="8" t="s">
        <v>195</v>
      </c>
      <c r="E702" s="145" t="s">
        <v>5</v>
      </c>
      <c r="F702" s="145"/>
      <c r="G702" s="69"/>
      <c r="H702" s="64"/>
      <c r="I702" s="69"/>
      <c r="J702" s="64">
        <f>J703</f>
        <v>2842.8</v>
      </c>
      <c r="K702" s="85">
        <f t="shared" si="144"/>
        <v>2842.8</v>
      </c>
      <c r="L702" s="85">
        <f>L703</f>
        <v>0</v>
      </c>
      <c r="M702" s="85">
        <f t="shared" si="152"/>
        <v>2842.8</v>
      </c>
      <c r="N702" s="85">
        <f>N703</f>
        <v>0</v>
      </c>
      <c r="O702" s="85">
        <f t="shared" si="153"/>
        <v>2842.8</v>
      </c>
      <c r="P702" s="85">
        <f>P703</f>
        <v>0</v>
      </c>
      <c r="Q702" s="85">
        <f t="shared" si="148"/>
        <v>2842.8</v>
      </c>
      <c r="R702" s="85">
        <f>R703</f>
        <v>0</v>
      </c>
      <c r="S702" s="85">
        <f t="shared" si="145"/>
        <v>2842.8</v>
      </c>
      <c r="T702" s="85">
        <f>T703</f>
        <v>0</v>
      </c>
      <c r="U702" s="85">
        <f t="shared" si="154"/>
        <v>2842.8</v>
      </c>
    </row>
    <row r="703" spans="1:21" ht="82.5">
      <c r="A703" s="61" t="str">
        <f ca="1">IF(ISERROR(MATCH(E703,Код_КЦСР,0)),"",INDIRECT(ADDRESS(MATCH(E703,Код_КЦСР,0)+1,2,,,"КЦСР")))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703" s="145">
        <v>805</v>
      </c>
      <c r="C703" s="8" t="s">
        <v>195</v>
      </c>
      <c r="D703" s="8" t="s">
        <v>195</v>
      </c>
      <c r="E703" s="145" t="s">
        <v>406</v>
      </c>
      <c r="F703" s="145"/>
      <c r="G703" s="69"/>
      <c r="H703" s="64"/>
      <c r="I703" s="69"/>
      <c r="J703" s="64">
        <f>J704</f>
        <v>2842.8</v>
      </c>
      <c r="K703" s="85">
        <f t="shared" si="144"/>
        <v>2842.8</v>
      </c>
      <c r="L703" s="85">
        <f>L704</f>
        <v>0</v>
      </c>
      <c r="M703" s="85">
        <f t="shared" si="152"/>
        <v>2842.8</v>
      </c>
      <c r="N703" s="85">
        <f>N704</f>
        <v>0</v>
      </c>
      <c r="O703" s="85">
        <f t="shared" si="153"/>
        <v>2842.8</v>
      </c>
      <c r="P703" s="85">
        <f>P704</f>
        <v>0</v>
      </c>
      <c r="Q703" s="85">
        <f t="shared" si="148"/>
        <v>2842.8</v>
      </c>
      <c r="R703" s="85">
        <f>R704</f>
        <v>0</v>
      </c>
      <c r="S703" s="85">
        <f t="shared" si="145"/>
        <v>2842.8</v>
      </c>
      <c r="T703" s="85">
        <f>T704</f>
        <v>0</v>
      </c>
      <c r="U703" s="85">
        <f t="shared" si="154"/>
        <v>2842.8</v>
      </c>
    </row>
    <row r="704" spans="1:21" ht="33">
      <c r="A704" s="61" t="str">
        <f ca="1">IF(ISERROR(MATCH(F704,Код_КВР,0)),"",INDIRECT(ADDRESS(MATCH(F704,Код_КВР,0)+1,2,,,"КВР")))</f>
        <v>Предоставление субсидий бюджетным, автономным учреждениям и иным некоммерческим организациям</v>
      </c>
      <c r="B704" s="145">
        <v>805</v>
      </c>
      <c r="C704" s="8" t="s">
        <v>195</v>
      </c>
      <c r="D704" s="8" t="s">
        <v>195</v>
      </c>
      <c r="E704" s="145" t="s">
        <v>406</v>
      </c>
      <c r="F704" s="145">
        <v>600</v>
      </c>
      <c r="G704" s="69"/>
      <c r="H704" s="64"/>
      <c r="I704" s="69"/>
      <c r="J704" s="64">
        <f>J705</f>
        <v>2842.8</v>
      </c>
      <c r="K704" s="85">
        <f t="shared" si="144"/>
        <v>2842.8</v>
      </c>
      <c r="L704" s="85">
        <f>L705</f>
        <v>0</v>
      </c>
      <c r="M704" s="85">
        <f t="shared" si="152"/>
        <v>2842.8</v>
      </c>
      <c r="N704" s="85">
        <f>N705</f>
        <v>0</v>
      </c>
      <c r="O704" s="85">
        <f t="shared" si="153"/>
        <v>2842.8</v>
      </c>
      <c r="P704" s="85">
        <f>P705</f>
        <v>0</v>
      </c>
      <c r="Q704" s="85">
        <f t="shared" si="148"/>
        <v>2842.8</v>
      </c>
      <c r="R704" s="85">
        <f>R705</f>
        <v>0</v>
      </c>
      <c r="S704" s="85">
        <f t="shared" si="145"/>
        <v>2842.8</v>
      </c>
      <c r="T704" s="85">
        <f>T705</f>
        <v>0</v>
      </c>
      <c r="U704" s="85">
        <f t="shared" si="154"/>
        <v>2842.8</v>
      </c>
    </row>
    <row r="705" spans="1:21">
      <c r="A705" s="61" t="str">
        <f ca="1">IF(ISERROR(MATCH(F705,Код_КВР,0)),"",INDIRECT(ADDRESS(MATCH(F705,Код_КВР,0)+1,2,,,"КВР")))</f>
        <v>Субсидии автономным учреждениям</v>
      </c>
      <c r="B705" s="145">
        <v>805</v>
      </c>
      <c r="C705" s="8" t="s">
        <v>195</v>
      </c>
      <c r="D705" s="8" t="s">
        <v>195</v>
      </c>
      <c r="E705" s="145" t="s">
        <v>406</v>
      </c>
      <c r="F705" s="145">
        <v>620</v>
      </c>
      <c r="G705" s="69"/>
      <c r="H705" s="64"/>
      <c r="I705" s="69"/>
      <c r="J705" s="64">
        <f>J706</f>
        <v>2842.8</v>
      </c>
      <c r="K705" s="85">
        <f t="shared" si="144"/>
        <v>2842.8</v>
      </c>
      <c r="L705" s="85">
        <f>L706</f>
        <v>0</v>
      </c>
      <c r="M705" s="85">
        <f t="shared" si="152"/>
        <v>2842.8</v>
      </c>
      <c r="N705" s="85">
        <f>N706</f>
        <v>0</v>
      </c>
      <c r="O705" s="85">
        <f t="shared" si="153"/>
        <v>2842.8</v>
      </c>
      <c r="P705" s="85">
        <f>P706</f>
        <v>0</v>
      </c>
      <c r="Q705" s="85">
        <f t="shared" si="148"/>
        <v>2842.8</v>
      </c>
      <c r="R705" s="85">
        <f>R706</f>
        <v>0</v>
      </c>
      <c r="S705" s="85">
        <f t="shared" si="145"/>
        <v>2842.8</v>
      </c>
      <c r="T705" s="85">
        <f>T706</f>
        <v>0</v>
      </c>
      <c r="U705" s="85">
        <f t="shared" si="154"/>
        <v>2842.8</v>
      </c>
    </row>
    <row r="706" spans="1:21">
      <c r="A706" s="61" t="str">
        <f ca="1">IF(ISERROR(MATCH(F706,Код_КВР,0)),"",INDIRECT(ADDRESS(MATCH(F706,Код_КВР,0)+1,2,,,"КВР")))</f>
        <v>Субсидии автономным учреждениям на иные цели</v>
      </c>
      <c r="B706" s="145">
        <v>805</v>
      </c>
      <c r="C706" s="8" t="s">
        <v>195</v>
      </c>
      <c r="D706" s="8" t="s">
        <v>195</v>
      </c>
      <c r="E706" s="145" t="s">
        <v>406</v>
      </c>
      <c r="F706" s="145">
        <v>622</v>
      </c>
      <c r="G706" s="69"/>
      <c r="H706" s="64"/>
      <c r="I706" s="69"/>
      <c r="J706" s="64">
        <v>2842.8</v>
      </c>
      <c r="K706" s="85">
        <f t="shared" si="144"/>
        <v>2842.8</v>
      </c>
      <c r="L706" s="85"/>
      <c r="M706" s="85">
        <f t="shared" si="152"/>
        <v>2842.8</v>
      </c>
      <c r="N706" s="85"/>
      <c r="O706" s="85">
        <f t="shared" si="153"/>
        <v>2842.8</v>
      </c>
      <c r="P706" s="85"/>
      <c r="Q706" s="85">
        <f t="shared" si="148"/>
        <v>2842.8</v>
      </c>
      <c r="R706" s="85"/>
      <c r="S706" s="85">
        <f t="shared" si="145"/>
        <v>2842.8</v>
      </c>
      <c r="T706" s="85"/>
      <c r="U706" s="85">
        <f t="shared" si="154"/>
        <v>2842.8</v>
      </c>
    </row>
    <row r="707" spans="1:21">
      <c r="A707" s="12" t="s">
        <v>251</v>
      </c>
      <c r="B707" s="145">
        <v>805</v>
      </c>
      <c r="C707" s="8" t="s">
        <v>195</v>
      </c>
      <c r="D707" s="8" t="s">
        <v>219</v>
      </c>
      <c r="E707" s="145"/>
      <c r="F707" s="145"/>
      <c r="G707" s="69">
        <f>G708+G757+G766+G780+G793+G799</f>
        <v>149620.70000000001</v>
      </c>
      <c r="H707" s="69">
        <f>H708+H757+H766+H780+H793+H799</f>
        <v>0</v>
      </c>
      <c r="I707" s="69">
        <f t="shared" si="147"/>
        <v>149620.70000000001</v>
      </c>
      <c r="J707" s="69">
        <f>J708+J757+J766+J780+J793+J799</f>
        <v>-2333.0999999999995</v>
      </c>
      <c r="K707" s="85">
        <f t="shared" si="144"/>
        <v>147287.6</v>
      </c>
      <c r="L707" s="13">
        <f>L708+L757+L766+L780+L793+L799</f>
        <v>-260.2</v>
      </c>
      <c r="M707" s="85">
        <f t="shared" si="152"/>
        <v>147027.4</v>
      </c>
      <c r="N707" s="13">
        <f>N708+N757+N766+N780+N793+N799</f>
        <v>6917.5</v>
      </c>
      <c r="O707" s="85">
        <f t="shared" si="153"/>
        <v>153944.9</v>
      </c>
      <c r="P707" s="13">
        <f>P708+P757+P766+P780+P793+P799</f>
        <v>0</v>
      </c>
      <c r="Q707" s="85">
        <f t="shared" si="148"/>
        <v>153944.9</v>
      </c>
      <c r="R707" s="13">
        <f>R708+R757+R766+R780+R793+R799</f>
        <v>-2188.1999999999998</v>
      </c>
      <c r="S707" s="85">
        <f t="shared" si="145"/>
        <v>151756.69999999998</v>
      </c>
      <c r="T707" s="13">
        <f>T708+T757+T766+T780+T793+T799</f>
        <v>2379</v>
      </c>
      <c r="U707" s="85">
        <f t="shared" si="154"/>
        <v>154135.69999999998</v>
      </c>
    </row>
    <row r="708" spans="1:21" ht="18.75" customHeight="1">
      <c r="A708" s="61" t="str">
        <f ca="1">IF(ISERROR(MATCH(E708,Код_КЦСР,0)),"",INDIRECT(ADDRESS(MATCH(E708,Код_КЦСР,0)+1,2,,,"КЦСР")))</f>
        <v>Муниципальная программа «Развитие образования» на 2013-2022 годы</v>
      </c>
      <c r="B708" s="145">
        <v>805</v>
      </c>
      <c r="C708" s="8" t="s">
        <v>195</v>
      </c>
      <c r="D708" s="8" t="s">
        <v>219</v>
      </c>
      <c r="E708" s="145" t="s">
        <v>271</v>
      </c>
      <c r="F708" s="145"/>
      <c r="G708" s="69">
        <f>G709+G713+G720+G724+G737+G742+G748+G730</f>
        <v>117151.70000000001</v>
      </c>
      <c r="H708" s="69">
        <f>H709+H713+H720+H724+H737+H742+H748+H730</f>
        <v>0</v>
      </c>
      <c r="I708" s="69">
        <f>I709+I713+I720+I724+I737+I742+I748+I730</f>
        <v>117151.70000000001</v>
      </c>
      <c r="J708" s="69">
        <f>J709+J713+J720+J724+J737+J742+J748+J730</f>
        <v>-3791.3999999999996</v>
      </c>
      <c r="K708" s="85">
        <f t="shared" si="144"/>
        <v>113360.30000000002</v>
      </c>
      <c r="L708" s="13">
        <f>L709+L713+L720+L724+L737+L742+L748+L730</f>
        <v>-260.2</v>
      </c>
      <c r="M708" s="85">
        <f t="shared" si="152"/>
        <v>113100.10000000002</v>
      </c>
      <c r="N708" s="13">
        <f>N709+N713+N720+N724+N737+N742+N748+N730</f>
        <v>6917.5</v>
      </c>
      <c r="O708" s="85">
        <f t="shared" si="153"/>
        <v>120017.60000000002</v>
      </c>
      <c r="P708" s="13">
        <f>P709+P713+P720+P724+P737+P742+P748+P730</f>
        <v>0</v>
      </c>
      <c r="Q708" s="85">
        <f t="shared" si="148"/>
        <v>120017.60000000002</v>
      </c>
      <c r="R708" s="13">
        <f>R709+R713+R720+R724+R737+R742+R748+R730</f>
        <v>-2188.1999999999998</v>
      </c>
      <c r="S708" s="85">
        <f t="shared" ref="S708:S771" si="160">Q708+R708</f>
        <v>117829.40000000002</v>
      </c>
      <c r="T708" s="13">
        <f>T709+T713+T720+T724+T737+T742+T748+T730</f>
        <v>1883.0000000000002</v>
      </c>
      <c r="U708" s="85">
        <f t="shared" si="154"/>
        <v>119712.40000000002</v>
      </c>
    </row>
    <row r="709" spans="1:21" ht="36" customHeight="1">
      <c r="A709" s="61" t="str">
        <f ca="1">IF(ISERROR(MATCH(E709,Код_КЦСР,0)),"",INDIRECT(ADDRESS(MATCH(E709,Код_КЦСР,0)+1,2,,,"КЦСР")))</f>
        <v>Проведение мероприятий управлением образования мэрии (августовское совещание, Учитель года, День учителя, прием молодых специалистов)</v>
      </c>
      <c r="B709" s="145">
        <v>805</v>
      </c>
      <c r="C709" s="8" t="s">
        <v>195</v>
      </c>
      <c r="D709" s="8" t="s">
        <v>219</v>
      </c>
      <c r="E709" s="145" t="s">
        <v>273</v>
      </c>
      <c r="F709" s="145"/>
      <c r="G709" s="69">
        <f t="shared" ref="G709:T711" si="161">G710</f>
        <v>92.7</v>
      </c>
      <c r="H709" s="69">
        <f t="shared" si="161"/>
        <v>0</v>
      </c>
      <c r="I709" s="69">
        <f t="shared" si="147"/>
        <v>92.7</v>
      </c>
      <c r="J709" s="69">
        <f t="shared" si="161"/>
        <v>0</v>
      </c>
      <c r="K709" s="85">
        <f t="shared" si="144"/>
        <v>92.7</v>
      </c>
      <c r="L709" s="13">
        <f t="shared" si="161"/>
        <v>0</v>
      </c>
      <c r="M709" s="85">
        <f t="shared" si="152"/>
        <v>92.7</v>
      </c>
      <c r="N709" s="13">
        <f t="shared" si="161"/>
        <v>0</v>
      </c>
      <c r="O709" s="85">
        <f t="shared" si="153"/>
        <v>92.7</v>
      </c>
      <c r="P709" s="13">
        <f t="shared" si="161"/>
        <v>0</v>
      </c>
      <c r="Q709" s="85">
        <f t="shared" si="148"/>
        <v>92.7</v>
      </c>
      <c r="R709" s="13">
        <f t="shared" si="161"/>
        <v>0</v>
      </c>
      <c r="S709" s="85">
        <f t="shared" si="160"/>
        <v>92.7</v>
      </c>
      <c r="T709" s="13">
        <f t="shared" si="161"/>
        <v>0</v>
      </c>
      <c r="U709" s="85">
        <f t="shared" si="154"/>
        <v>92.7</v>
      </c>
    </row>
    <row r="710" spans="1:21">
      <c r="A710" s="61" t="str">
        <f ca="1">IF(ISERROR(MATCH(F710,Код_КВР,0)),"",INDIRECT(ADDRESS(MATCH(F710,Код_КВР,0)+1,2,,,"КВР")))</f>
        <v>Закупка товаров, работ и услуг для муниципальных нужд</v>
      </c>
      <c r="B710" s="145">
        <v>805</v>
      </c>
      <c r="C710" s="8" t="s">
        <v>195</v>
      </c>
      <c r="D710" s="8" t="s">
        <v>219</v>
      </c>
      <c r="E710" s="145" t="s">
        <v>273</v>
      </c>
      <c r="F710" s="145">
        <v>200</v>
      </c>
      <c r="G710" s="69">
        <f t="shared" si="161"/>
        <v>92.7</v>
      </c>
      <c r="H710" s="69">
        <f t="shared" si="161"/>
        <v>0</v>
      </c>
      <c r="I710" s="69">
        <f t="shared" si="147"/>
        <v>92.7</v>
      </c>
      <c r="J710" s="69">
        <f t="shared" si="161"/>
        <v>0</v>
      </c>
      <c r="K710" s="85">
        <f t="shared" si="144"/>
        <v>92.7</v>
      </c>
      <c r="L710" s="13">
        <f t="shared" si="161"/>
        <v>0</v>
      </c>
      <c r="M710" s="85">
        <f t="shared" si="152"/>
        <v>92.7</v>
      </c>
      <c r="N710" s="13">
        <f t="shared" si="161"/>
        <v>0</v>
      </c>
      <c r="O710" s="85">
        <f t="shared" si="153"/>
        <v>92.7</v>
      </c>
      <c r="P710" s="13">
        <f t="shared" si="161"/>
        <v>0</v>
      </c>
      <c r="Q710" s="85">
        <f t="shared" si="148"/>
        <v>92.7</v>
      </c>
      <c r="R710" s="13">
        <f t="shared" si="161"/>
        <v>0</v>
      </c>
      <c r="S710" s="85">
        <f t="shared" si="160"/>
        <v>92.7</v>
      </c>
      <c r="T710" s="13">
        <f t="shared" si="161"/>
        <v>0</v>
      </c>
      <c r="U710" s="85">
        <f t="shared" si="154"/>
        <v>92.7</v>
      </c>
    </row>
    <row r="711" spans="1:21" ht="33">
      <c r="A711" s="61" t="str">
        <f ca="1">IF(ISERROR(MATCH(F711,Код_КВР,0)),"",INDIRECT(ADDRESS(MATCH(F711,Код_КВР,0)+1,2,,,"КВР")))</f>
        <v>Иные закупки товаров, работ и услуг для обеспечения муниципальных нужд</v>
      </c>
      <c r="B711" s="145">
        <v>805</v>
      </c>
      <c r="C711" s="8" t="s">
        <v>195</v>
      </c>
      <c r="D711" s="8" t="s">
        <v>219</v>
      </c>
      <c r="E711" s="145" t="s">
        <v>273</v>
      </c>
      <c r="F711" s="145">
        <v>240</v>
      </c>
      <c r="G711" s="69">
        <f t="shared" si="161"/>
        <v>92.7</v>
      </c>
      <c r="H711" s="69">
        <f t="shared" si="161"/>
        <v>0</v>
      </c>
      <c r="I711" s="69">
        <f t="shared" si="147"/>
        <v>92.7</v>
      </c>
      <c r="J711" s="69">
        <f t="shared" si="161"/>
        <v>0</v>
      </c>
      <c r="K711" s="85">
        <f t="shared" si="144"/>
        <v>92.7</v>
      </c>
      <c r="L711" s="13">
        <f t="shared" si="161"/>
        <v>0</v>
      </c>
      <c r="M711" s="85">
        <f t="shared" si="152"/>
        <v>92.7</v>
      </c>
      <c r="N711" s="13">
        <f t="shared" si="161"/>
        <v>0</v>
      </c>
      <c r="O711" s="85">
        <f t="shared" si="153"/>
        <v>92.7</v>
      </c>
      <c r="P711" s="13">
        <f t="shared" si="161"/>
        <v>0</v>
      </c>
      <c r="Q711" s="85">
        <f t="shared" si="148"/>
        <v>92.7</v>
      </c>
      <c r="R711" s="13">
        <f t="shared" si="161"/>
        <v>0</v>
      </c>
      <c r="S711" s="85">
        <f t="shared" si="160"/>
        <v>92.7</v>
      </c>
      <c r="T711" s="13">
        <f t="shared" si="161"/>
        <v>0</v>
      </c>
      <c r="U711" s="85">
        <f t="shared" si="154"/>
        <v>92.7</v>
      </c>
    </row>
    <row r="712" spans="1:21" ht="33">
      <c r="A712" s="61" t="str">
        <f ca="1">IF(ISERROR(MATCH(F712,Код_КВР,0)),"",INDIRECT(ADDRESS(MATCH(F712,Код_КВР,0)+1,2,,,"КВР")))</f>
        <v xml:space="preserve">Прочая закупка товаров, работ и услуг для обеспечения муниципальных нужд         </v>
      </c>
      <c r="B712" s="145">
        <v>805</v>
      </c>
      <c r="C712" s="8" t="s">
        <v>195</v>
      </c>
      <c r="D712" s="8" t="s">
        <v>219</v>
      </c>
      <c r="E712" s="145" t="s">
        <v>273</v>
      </c>
      <c r="F712" s="145">
        <v>244</v>
      </c>
      <c r="G712" s="69">
        <v>92.7</v>
      </c>
      <c r="H712" s="64"/>
      <c r="I712" s="69">
        <f t="shared" si="147"/>
        <v>92.7</v>
      </c>
      <c r="J712" s="64"/>
      <c r="K712" s="85">
        <f t="shared" si="144"/>
        <v>92.7</v>
      </c>
      <c r="L712" s="85"/>
      <c r="M712" s="85">
        <f t="shared" si="152"/>
        <v>92.7</v>
      </c>
      <c r="N712" s="85"/>
      <c r="O712" s="85">
        <f t="shared" si="153"/>
        <v>92.7</v>
      </c>
      <c r="P712" s="85"/>
      <c r="Q712" s="85">
        <f t="shared" si="148"/>
        <v>92.7</v>
      </c>
      <c r="R712" s="85"/>
      <c r="S712" s="85">
        <f t="shared" si="160"/>
        <v>92.7</v>
      </c>
      <c r="T712" s="85"/>
      <c r="U712" s="85">
        <f t="shared" si="154"/>
        <v>92.7</v>
      </c>
    </row>
    <row r="713" spans="1:21">
      <c r="A713" s="61" t="str">
        <f ca="1">IF(ISERROR(MATCH(E713,Код_КЦСР,0)),"",INDIRECT(ADDRESS(MATCH(E713,Код_КЦСР,0)+1,2,,,"КЦСР")))</f>
        <v>Обеспечение питанием обучающихся в МОУ</v>
      </c>
      <c r="B713" s="145">
        <v>805</v>
      </c>
      <c r="C713" s="8" t="s">
        <v>195</v>
      </c>
      <c r="D713" s="8" t="s">
        <v>219</v>
      </c>
      <c r="E713" s="145" t="s">
        <v>274</v>
      </c>
      <c r="F713" s="145"/>
      <c r="G713" s="69">
        <f>G714</f>
        <v>6132.1</v>
      </c>
      <c r="H713" s="69">
        <f t="shared" ref="G713:T715" si="162">H714</f>
        <v>0</v>
      </c>
      <c r="I713" s="69">
        <f t="shared" si="147"/>
        <v>6132.1</v>
      </c>
      <c r="J713" s="69">
        <f>J714</f>
        <v>0</v>
      </c>
      <c r="K713" s="85">
        <f t="shared" ref="K713:K779" si="163">I713+J713</f>
        <v>6132.1</v>
      </c>
      <c r="L713" s="13">
        <f>L714</f>
        <v>-232.3</v>
      </c>
      <c r="M713" s="85">
        <f t="shared" si="152"/>
        <v>5899.8</v>
      </c>
      <c r="N713" s="13">
        <f>N714</f>
        <v>1917.5</v>
      </c>
      <c r="O713" s="85">
        <f t="shared" si="153"/>
        <v>7817.3</v>
      </c>
      <c r="P713" s="13">
        <f>P714</f>
        <v>0</v>
      </c>
      <c r="Q713" s="85">
        <f t="shared" si="148"/>
        <v>7817.3</v>
      </c>
      <c r="R713" s="13">
        <f>R714</f>
        <v>0</v>
      </c>
      <c r="S713" s="85">
        <f t="shared" si="160"/>
        <v>7817.3</v>
      </c>
      <c r="T713" s="13">
        <f>T714</f>
        <v>-46.89999999999992</v>
      </c>
      <c r="U713" s="85">
        <f t="shared" si="154"/>
        <v>7770.4000000000005</v>
      </c>
    </row>
    <row r="714" spans="1:21" ht="33">
      <c r="A714" s="61" t="str">
        <f t="shared" ref="A714:A719" ca="1" si="164">IF(ISERROR(MATCH(F714,Код_КВР,0)),"",INDIRECT(ADDRESS(MATCH(F714,Код_КВР,0)+1,2,,,"КВР")))</f>
        <v>Предоставление субсидий бюджетным, автономным учреждениям и иным некоммерческим организациям</v>
      </c>
      <c r="B714" s="145">
        <v>805</v>
      </c>
      <c r="C714" s="8" t="s">
        <v>195</v>
      </c>
      <c r="D714" s="8" t="s">
        <v>219</v>
      </c>
      <c r="E714" s="145" t="s">
        <v>274</v>
      </c>
      <c r="F714" s="145">
        <v>600</v>
      </c>
      <c r="G714" s="69">
        <f t="shared" si="162"/>
        <v>6132.1</v>
      </c>
      <c r="H714" s="69">
        <f t="shared" si="162"/>
        <v>0</v>
      </c>
      <c r="I714" s="69">
        <f t="shared" si="147"/>
        <v>6132.1</v>
      </c>
      <c r="J714" s="69">
        <f>J715+J717</f>
        <v>0</v>
      </c>
      <c r="K714" s="85">
        <f t="shared" si="163"/>
        <v>6132.1</v>
      </c>
      <c r="L714" s="13">
        <f>L715+L717</f>
        <v>-232.3</v>
      </c>
      <c r="M714" s="85">
        <f t="shared" si="152"/>
        <v>5899.8</v>
      </c>
      <c r="N714" s="13">
        <f>N715+N717</f>
        <v>1917.5</v>
      </c>
      <c r="O714" s="85">
        <f t="shared" si="153"/>
        <v>7817.3</v>
      </c>
      <c r="P714" s="13">
        <f>P715+P717</f>
        <v>0</v>
      </c>
      <c r="Q714" s="85">
        <f t="shared" ref="Q714:Q777" si="165">O714+P714</f>
        <v>7817.3</v>
      </c>
      <c r="R714" s="13">
        <f>R715+R717</f>
        <v>0</v>
      </c>
      <c r="S714" s="85">
        <f t="shared" si="160"/>
        <v>7817.3</v>
      </c>
      <c r="T714" s="13">
        <f>T715+T717</f>
        <v>-46.89999999999992</v>
      </c>
      <c r="U714" s="85">
        <f t="shared" si="154"/>
        <v>7770.4000000000005</v>
      </c>
    </row>
    <row r="715" spans="1:21">
      <c r="A715" s="61" t="str">
        <f t="shared" ca="1" si="164"/>
        <v>Субсидии бюджетным учреждениям</v>
      </c>
      <c r="B715" s="145">
        <v>805</v>
      </c>
      <c r="C715" s="8" t="s">
        <v>195</v>
      </c>
      <c r="D715" s="8" t="s">
        <v>219</v>
      </c>
      <c r="E715" s="145" t="s">
        <v>274</v>
      </c>
      <c r="F715" s="145">
        <v>610</v>
      </c>
      <c r="G715" s="69">
        <f t="shared" si="162"/>
        <v>6132.1</v>
      </c>
      <c r="H715" s="69">
        <f t="shared" si="162"/>
        <v>0</v>
      </c>
      <c r="I715" s="69">
        <f t="shared" si="147"/>
        <v>6132.1</v>
      </c>
      <c r="J715" s="69">
        <f t="shared" si="162"/>
        <v>-4281.5</v>
      </c>
      <c r="K715" s="85">
        <f t="shared" si="163"/>
        <v>1850.6000000000004</v>
      </c>
      <c r="L715" s="13">
        <f t="shared" si="162"/>
        <v>0</v>
      </c>
      <c r="M715" s="85">
        <f t="shared" si="152"/>
        <v>1850.6000000000004</v>
      </c>
      <c r="N715" s="13">
        <f t="shared" si="162"/>
        <v>0</v>
      </c>
      <c r="O715" s="85">
        <f t="shared" si="153"/>
        <v>1850.6000000000004</v>
      </c>
      <c r="P715" s="13">
        <f t="shared" si="162"/>
        <v>0</v>
      </c>
      <c r="Q715" s="85">
        <f t="shared" si="165"/>
        <v>1850.6000000000004</v>
      </c>
      <c r="R715" s="13">
        <f t="shared" si="162"/>
        <v>0</v>
      </c>
      <c r="S715" s="85">
        <f t="shared" si="160"/>
        <v>1850.6000000000004</v>
      </c>
      <c r="T715" s="13">
        <f t="shared" si="162"/>
        <v>-466.09999999999997</v>
      </c>
      <c r="U715" s="85">
        <f t="shared" si="154"/>
        <v>1384.5000000000005</v>
      </c>
    </row>
    <row r="716" spans="1:21" ht="49.5">
      <c r="A716" s="61" t="str">
        <f t="shared" ca="1" si="164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16" s="145">
        <v>805</v>
      </c>
      <c r="C716" s="8" t="s">
        <v>195</v>
      </c>
      <c r="D716" s="8" t="s">
        <v>219</v>
      </c>
      <c r="E716" s="145" t="s">
        <v>274</v>
      </c>
      <c r="F716" s="145">
        <v>611</v>
      </c>
      <c r="G716" s="69">
        <v>6132.1</v>
      </c>
      <c r="H716" s="64"/>
      <c r="I716" s="69">
        <f t="shared" si="147"/>
        <v>6132.1</v>
      </c>
      <c r="J716" s="64">
        <v>-4281.5</v>
      </c>
      <c r="K716" s="85">
        <f t="shared" si="163"/>
        <v>1850.6000000000004</v>
      </c>
      <c r="L716" s="85"/>
      <c r="M716" s="85">
        <f t="shared" si="152"/>
        <v>1850.6000000000004</v>
      </c>
      <c r="N716" s="85"/>
      <c r="O716" s="85">
        <f t="shared" si="153"/>
        <v>1850.6000000000004</v>
      </c>
      <c r="P716" s="85"/>
      <c r="Q716" s="85">
        <f t="shared" si="165"/>
        <v>1850.6000000000004</v>
      </c>
      <c r="R716" s="85"/>
      <c r="S716" s="85">
        <f t="shared" si="160"/>
        <v>1850.6000000000004</v>
      </c>
      <c r="T716" s="85">
        <f>-15.9-450.2</f>
        <v>-466.09999999999997</v>
      </c>
      <c r="U716" s="85">
        <f t="shared" si="154"/>
        <v>1384.5000000000005</v>
      </c>
    </row>
    <row r="717" spans="1:21">
      <c r="A717" s="61" t="str">
        <f t="shared" ca="1" si="164"/>
        <v>Субсидии автономным учреждениям</v>
      </c>
      <c r="B717" s="145">
        <v>805</v>
      </c>
      <c r="C717" s="8" t="s">
        <v>195</v>
      </c>
      <c r="D717" s="8" t="s">
        <v>219</v>
      </c>
      <c r="E717" s="145" t="s">
        <v>274</v>
      </c>
      <c r="F717" s="145">
        <v>620</v>
      </c>
      <c r="G717" s="69"/>
      <c r="H717" s="64"/>
      <c r="I717" s="69"/>
      <c r="J717" s="64">
        <f>J718</f>
        <v>4281.5</v>
      </c>
      <c r="K717" s="85">
        <f t="shared" si="163"/>
        <v>4281.5</v>
      </c>
      <c r="L717" s="85">
        <f>L718</f>
        <v>-232.3</v>
      </c>
      <c r="M717" s="85">
        <f>K717+L717</f>
        <v>4049.2</v>
      </c>
      <c r="N717" s="85">
        <f>N718+N719</f>
        <v>1917.5</v>
      </c>
      <c r="O717" s="85">
        <f>M717+N717</f>
        <v>5966.7</v>
      </c>
      <c r="P717" s="85">
        <f>P718+P719</f>
        <v>0</v>
      </c>
      <c r="Q717" s="85">
        <f t="shared" si="165"/>
        <v>5966.7</v>
      </c>
      <c r="R717" s="85">
        <f>R718+R719</f>
        <v>0</v>
      </c>
      <c r="S717" s="85">
        <f t="shared" si="160"/>
        <v>5966.7</v>
      </c>
      <c r="T717" s="85">
        <f>T718+T719</f>
        <v>419.20000000000005</v>
      </c>
      <c r="U717" s="85">
        <f t="shared" si="154"/>
        <v>6385.9</v>
      </c>
    </row>
    <row r="718" spans="1:21" ht="49.5">
      <c r="A718" s="61" t="str">
        <f t="shared" ca="1" si="164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718" s="145">
        <v>805</v>
      </c>
      <c r="C718" s="8" t="s">
        <v>195</v>
      </c>
      <c r="D718" s="8" t="s">
        <v>219</v>
      </c>
      <c r="E718" s="145" t="s">
        <v>274</v>
      </c>
      <c r="F718" s="145">
        <v>621</v>
      </c>
      <c r="G718" s="69"/>
      <c r="H718" s="64"/>
      <c r="I718" s="69"/>
      <c r="J718" s="64">
        <v>4281.5</v>
      </c>
      <c r="K718" s="85">
        <f t="shared" si="163"/>
        <v>4281.5</v>
      </c>
      <c r="L718" s="85">
        <v>-232.3</v>
      </c>
      <c r="M718" s="85">
        <f t="shared" si="152"/>
        <v>4049.2</v>
      </c>
      <c r="N718" s="85"/>
      <c r="O718" s="85">
        <f t="shared" si="153"/>
        <v>4049.2</v>
      </c>
      <c r="P718" s="85"/>
      <c r="Q718" s="85">
        <f t="shared" si="165"/>
        <v>4049.2</v>
      </c>
      <c r="R718" s="85"/>
      <c r="S718" s="85">
        <f t="shared" si="160"/>
        <v>4049.2</v>
      </c>
      <c r="T718" s="85">
        <v>619.20000000000005</v>
      </c>
      <c r="U718" s="85">
        <f t="shared" si="154"/>
        <v>4668.3999999999996</v>
      </c>
    </row>
    <row r="719" spans="1:21" ht="20.25" customHeight="1">
      <c r="A719" s="61" t="str">
        <f t="shared" ca="1" si="164"/>
        <v>Субсидии автономным учреждениям на иные цели</v>
      </c>
      <c r="B719" s="145">
        <v>805</v>
      </c>
      <c r="C719" s="8" t="s">
        <v>195</v>
      </c>
      <c r="D719" s="8" t="s">
        <v>219</v>
      </c>
      <c r="E719" s="145" t="s">
        <v>274</v>
      </c>
      <c r="F719" s="145">
        <v>622</v>
      </c>
      <c r="G719" s="69"/>
      <c r="H719" s="64"/>
      <c r="I719" s="69"/>
      <c r="J719" s="64"/>
      <c r="K719" s="85"/>
      <c r="L719" s="85"/>
      <c r="M719" s="85"/>
      <c r="N719" s="85">
        <v>1917.5</v>
      </c>
      <c r="O719" s="85">
        <f t="shared" si="153"/>
        <v>1917.5</v>
      </c>
      <c r="P719" s="85"/>
      <c r="Q719" s="85">
        <f t="shared" si="165"/>
        <v>1917.5</v>
      </c>
      <c r="R719" s="85"/>
      <c r="S719" s="85">
        <f t="shared" si="160"/>
        <v>1917.5</v>
      </c>
      <c r="T719" s="85">
        <v>-200</v>
      </c>
      <c r="U719" s="85">
        <f t="shared" si="154"/>
        <v>1717.5</v>
      </c>
    </row>
    <row r="720" spans="1:21" ht="33">
      <c r="A720" s="61" t="str">
        <f ca="1">IF(ISERROR(MATCH(E720,Код_КЦСР,0)),"",INDIRECT(ADDRESS(MATCH(E720,Код_КЦСР,0)+1,2,,,"КЦСР")))</f>
        <v>Обеспечение работы по организации и ведению бухгалтерского (бюджетного) учета и отчетности</v>
      </c>
      <c r="B720" s="145">
        <v>805</v>
      </c>
      <c r="C720" s="8" t="s">
        <v>195</v>
      </c>
      <c r="D720" s="8" t="s">
        <v>219</v>
      </c>
      <c r="E720" s="145" t="s">
        <v>276</v>
      </c>
      <c r="F720" s="145"/>
      <c r="G720" s="69">
        <f t="shared" ref="G720:T722" si="166">G721</f>
        <v>43113.9</v>
      </c>
      <c r="H720" s="69">
        <f t="shared" si="166"/>
        <v>0</v>
      </c>
      <c r="I720" s="69">
        <f t="shared" si="147"/>
        <v>43113.9</v>
      </c>
      <c r="J720" s="69">
        <f t="shared" si="166"/>
        <v>0</v>
      </c>
      <c r="K720" s="85">
        <f t="shared" si="163"/>
        <v>43113.9</v>
      </c>
      <c r="L720" s="13">
        <f t="shared" si="166"/>
        <v>-27.9</v>
      </c>
      <c r="M720" s="85">
        <f t="shared" si="152"/>
        <v>43086</v>
      </c>
      <c r="N720" s="13">
        <f t="shared" si="166"/>
        <v>0</v>
      </c>
      <c r="O720" s="85">
        <f t="shared" si="153"/>
        <v>43086</v>
      </c>
      <c r="P720" s="13">
        <f t="shared" si="166"/>
        <v>0</v>
      </c>
      <c r="Q720" s="85">
        <f t="shared" si="165"/>
        <v>43086</v>
      </c>
      <c r="R720" s="13">
        <f t="shared" si="166"/>
        <v>0</v>
      </c>
      <c r="S720" s="85">
        <f t="shared" si="160"/>
        <v>43086</v>
      </c>
      <c r="T720" s="13">
        <f t="shared" si="166"/>
        <v>0</v>
      </c>
      <c r="U720" s="85">
        <f t="shared" si="154"/>
        <v>43086</v>
      </c>
    </row>
    <row r="721" spans="1:21" ht="33">
      <c r="A721" s="61" t="str">
        <f ca="1">IF(ISERROR(MATCH(F721,Код_КВР,0)),"",INDIRECT(ADDRESS(MATCH(F721,Код_КВР,0)+1,2,,,"КВР")))</f>
        <v>Предоставление субсидий бюджетным, автономным учреждениям и иным некоммерческим организациям</v>
      </c>
      <c r="B721" s="145">
        <v>805</v>
      </c>
      <c r="C721" s="8" t="s">
        <v>195</v>
      </c>
      <c r="D721" s="8" t="s">
        <v>219</v>
      </c>
      <c r="E721" s="145" t="s">
        <v>276</v>
      </c>
      <c r="F721" s="145">
        <v>600</v>
      </c>
      <c r="G721" s="69">
        <f t="shared" si="166"/>
        <v>43113.9</v>
      </c>
      <c r="H721" s="69">
        <f t="shared" si="166"/>
        <v>0</v>
      </c>
      <c r="I721" s="69">
        <f t="shared" si="147"/>
        <v>43113.9</v>
      </c>
      <c r="J721" s="69">
        <f t="shared" si="166"/>
        <v>0</v>
      </c>
      <c r="K721" s="85">
        <f t="shared" si="163"/>
        <v>43113.9</v>
      </c>
      <c r="L721" s="13">
        <f t="shared" si="166"/>
        <v>-27.9</v>
      </c>
      <c r="M721" s="85">
        <f t="shared" si="152"/>
        <v>43086</v>
      </c>
      <c r="N721" s="13">
        <f t="shared" si="166"/>
        <v>0</v>
      </c>
      <c r="O721" s="85">
        <f t="shared" si="153"/>
        <v>43086</v>
      </c>
      <c r="P721" s="13">
        <f t="shared" si="166"/>
        <v>0</v>
      </c>
      <c r="Q721" s="85">
        <f t="shared" si="165"/>
        <v>43086</v>
      </c>
      <c r="R721" s="13">
        <f t="shared" si="166"/>
        <v>0</v>
      </c>
      <c r="S721" s="85">
        <f t="shared" si="160"/>
        <v>43086</v>
      </c>
      <c r="T721" s="13">
        <f t="shared" si="166"/>
        <v>0</v>
      </c>
      <c r="U721" s="85">
        <f t="shared" si="154"/>
        <v>43086</v>
      </c>
    </row>
    <row r="722" spans="1:21">
      <c r="A722" s="61" t="str">
        <f ca="1">IF(ISERROR(MATCH(F722,Код_КВР,0)),"",INDIRECT(ADDRESS(MATCH(F722,Код_КВР,0)+1,2,,,"КВР")))</f>
        <v>Субсидии бюджетным учреждениям</v>
      </c>
      <c r="B722" s="145">
        <v>805</v>
      </c>
      <c r="C722" s="8" t="s">
        <v>195</v>
      </c>
      <c r="D722" s="8" t="s">
        <v>219</v>
      </c>
      <c r="E722" s="145" t="s">
        <v>276</v>
      </c>
      <c r="F722" s="145">
        <v>610</v>
      </c>
      <c r="G722" s="69">
        <f t="shared" si="166"/>
        <v>43113.9</v>
      </c>
      <c r="H722" s="69">
        <f t="shared" si="166"/>
        <v>0</v>
      </c>
      <c r="I722" s="69">
        <f t="shared" ref="I722:I794" si="167">G722+H722</f>
        <v>43113.9</v>
      </c>
      <c r="J722" s="69">
        <f t="shared" si="166"/>
        <v>0</v>
      </c>
      <c r="K722" s="85">
        <f t="shared" si="163"/>
        <v>43113.9</v>
      </c>
      <c r="L722" s="13">
        <f t="shared" si="166"/>
        <v>-27.9</v>
      </c>
      <c r="M722" s="85">
        <f t="shared" si="152"/>
        <v>43086</v>
      </c>
      <c r="N722" s="13">
        <f t="shared" si="166"/>
        <v>0</v>
      </c>
      <c r="O722" s="85">
        <f t="shared" si="153"/>
        <v>43086</v>
      </c>
      <c r="P722" s="13">
        <f t="shared" si="166"/>
        <v>0</v>
      </c>
      <c r="Q722" s="85">
        <f t="shared" si="165"/>
        <v>43086</v>
      </c>
      <c r="R722" s="13">
        <f t="shared" si="166"/>
        <v>0</v>
      </c>
      <c r="S722" s="85">
        <f t="shared" si="160"/>
        <v>43086</v>
      </c>
      <c r="T722" s="13">
        <f t="shared" si="166"/>
        <v>0</v>
      </c>
      <c r="U722" s="85">
        <f t="shared" si="154"/>
        <v>43086</v>
      </c>
    </row>
    <row r="723" spans="1:21" ht="49.5">
      <c r="A723" s="61" t="str">
        <f ca="1">IF(ISERROR(MATCH(F723,Код_КВР,0)),"",INDIRECT(ADDRESS(MATCH(F723,Код_КВР,0)+1,2,,,"КВР")))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23" s="145">
        <v>805</v>
      </c>
      <c r="C723" s="8" t="s">
        <v>195</v>
      </c>
      <c r="D723" s="8" t="s">
        <v>219</v>
      </c>
      <c r="E723" s="145" t="s">
        <v>276</v>
      </c>
      <c r="F723" s="145">
        <v>611</v>
      </c>
      <c r="G723" s="69">
        <v>43113.9</v>
      </c>
      <c r="H723" s="64"/>
      <c r="I723" s="69">
        <f t="shared" si="167"/>
        <v>43113.9</v>
      </c>
      <c r="J723" s="64"/>
      <c r="K723" s="85">
        <f t="shared" si="163"/>
        <v>43113.9</v>
      </c>
      <c r="L723" s="85">
        <v>-27.9</v>
      </c>
      <c r="M723" s="85">
        <f t="shared" si="152"/>
        <v>43086</v>
      </c>
      <c r="N723" s="85"/>
      <c r="O723" s="85">
        <f t="shared" si="153"/>
        <v>43086</v>
      </c>
      <c r="P723" s="85"/>
      <c r="Q723" s="85">
        <f t="shared" si="165"/>
        <v>43086</v>
      </c>
      <c r="R723" s="85"/>
      <c r="S723" s="85">
        <f t="shared" si="160"/>
        <v>43086</v>
      </c>
      <c r="T723" s="85"/>
      <c r="U723" s="85">
        <f t="shared" si="154"/>
        <v>43086</v>
      </c>
    </row>
    <row r="724" spans="1:21" ht="33">
      <c r="A724" s="61" t="str">
        <f ca="1">IF(ISERROR(MATCH(E724,Код_КЦСР,0)),"",INDIRECT(ADDRESS(MATCH(E724,Код_КЦСР,0)+1,2,,,"КЦСР")))</f>
        <v>Обеспечение питанием обучающихся в МОУ за счет субвенций из областного бюджета</v>
      </c>
      <c r="B724" s="145">
        <v>805</v>
      </c>
      <c r="C724" s="8" t="s">
        <v>195</v>
      </c>
      <c r="D724" s="8" t="s">
        <v>219</v>
      </c>
      <c r="E724" s="145" t="s">
        <v>425</v>
      </c>
      <c r="F724" s="145"/>
      <c r="G724" s="69">
        <f t="shared" ref="G724:T726" si="168">G725</f>
        <v>18137.8</v>
      </c>
      <c r="H724" s="69">
        <f t="shared" si="168"/>
        <v>0</v>
      </c>
      <c r="I724" s="69">
        <f t="shared" si="167"/>
        <v>18137.8</v>
      </c>
      <c r="J724" s="69">
        <f>J725</f>
        <v>0</v>
      </c>
      <c r="K724" s="85">
        <f t="shared" si="163"/>
        <v>18137.8</v>
      </c>
      <c r="L724" s="13">
        <f>L725</f>
        <v>0</v>
      </c>
      <c r="M724" s="85">
        <f t="shared" si="152"/>
        <v>18137.8</v>
      </c>
      <c r="N724" s="13">
        <f>N725</f>
        <v>0</v>
      </c>
      <c r="O724" s="85">
        <f t="shared" si="153"/>
        <v>18137.8</v>
      </c>
      <c r="P724" s="13">
        <f>P725</f>
        <v>0</v>
      </c>
      <c r="Q724" s="85">
        <f t="shared" si="165"/>
        <v>18137.8</v>
      </c>
      <c r="R724" s="13">
        <f>R725</f>
        <v>-2188.1999999999998</v>
      </c>
      <c r="S724" s="85">
        <f t="shared" si="160"/>
        <v>15949.599999999999</v>
      </c>
      <c r="T724" s="13">
        <f>T725</f>
        <v>-1399.9</v>
      </c>
      <c r="U724" s="85">
        <f t="shared" si="154"/>
        <v>14549.699999999999</v>
      </c>
    </row>
    <row r="725" spans="1:21" ht="33">
      <c r="A725" s="61" t="str">
        <f ca="1">IF(ISERROR(MATCH(F725,Код_КВР,0)),"",INDIRECT(ADDRESS(MATCH(F725,Код_КВР,0)+1,2,,,"КВР")))</f>
        <v>Предоставление субсидий бюджетным, автономным учреждениям и иным некоммерческим организациям</v>
      </c>
      <c r="B725" s="145">
        <v>805</v>
      </c>
      <c r="C725" s="8" t="s">
        <v>195</v>
      </c>
      <c r="D725" s="8" t="s">
        <v>219</v>
      </c>
      <c r="E725" s="145" t="s">
        <v>425</v>
      </c>
      <c r="F725" s="145">
        <v>600</v>
      </c>
      <c r="G725" s="69">
        <f t="shared" si="168"/>
        <v>18137.8</v>
      </c>
      <c r="H725" s="69">
        <f t="shared" si="168"/>
        <v>0</v>
      </c>
      <c r="I725" s="69">
        <f t="shared" si="167"/>
        <v>18137.8</v>
      </c>
      <c r="J725" s="69">
        <f>J726+J728</f>
        <v>0</v>
      </c>
      <c r="K725" s="85">
        <f t="shared" si="163"/>
        <v>18137.8</v>
      </c>
      <c r="L725" s="13">
        <f>L726+L728</f>
        <v>0</v>
      </c>
      <c r="M725" s="85">
        <f t="shared" si="152"/>
        <v>18137.8</v>
      </c>
      <c r="N725" s="13">
        <f>N726+N728</f>
        <v>0</v>
      </c>
      <c r="O725" s="85">
        <f t="shared" si="153"/>
        <v>18137.8</v>
      </c>
      <c r="P725" s="13">
        <f>P726+P728</f>
        <v>0</v>
      </c>
      <c r="Q725" s="85">
        <f t="shared" si="165"/>
        <v>18137.8</v>
      </c>
      <c r="R725" s="13">
        <f>R726+R728</f>
        <v>-2188.1999999999998</v>
      </c>
      <c r="S725" s="85">
        <f t="shared" si="160"/>
        <v>15949.599999999999</v>
      </c>
      <c r="T725" s="13">
        <f>T726+T728</f>
        <v>-1399.9</v>
      </c>
      <c r="U725" s="85">
        <f t="shared" si="154"/>
        <v>14549.699999999999</v>
      </c>
    </row>
    <row r="726" spans="1:21">
      <c r="A726" s="61" t="str">
        <f ca="1">IF(ISERROR(MATCH(F726,Код_КВР,0)),"",INDIRECT(ADDRESS(MATCH(F726,Код_КВР,0)+1,2,,,"КВР")))</f>
        <v>Субсидии бюджетным учреждениям</v>
      </c>
      <c r="B726" s="145">
        <v>805</v>
      </c>
      <c r="C726" s="8" t="s">
        <v>195</v>
      </c>
      <c r="D726" s="8" t="s">
        <v>219</v>
      </c>
      <c r="E726" s="145" t="s">
        <v>425</v>
      </c>
      <c r="F726" s="145">
        <v>610</v>
      </c>
      <c r="G726" s="69">
        <f t="shared" si="168"/>
        <v>18137.8</v>
      </c>
      <c r="H726" s="69">
        <f t="shared" si="168"/>
        <v>0</v>
      </c>
      <c r="I726" s="69">
        <f t="shared" si="167"/>
        <v>18137.8</v>
      </c>
      <c r="J726" s="69">
        <f t="shared" si="168"/>
        <v>-12299.8</v>
      </c>
      <c r="K726" s="85">
        <f t="shared" si="163"/>
        <v>5838</v>
      </c>
      <c r="L726" s="13">
        <f t="shared" si="168"/>
        <v>0</v>
      </c>
      <c r="M726" s="85">
        <f t="shared" si="152"/>
        <v>5838</v>
      </c>
      <c r="N726" s="13">
        <f t="shared" si="168"/>
        <v>0</v>
      </c>
      <c r="O726" s="85">
        <f t="shared" si="153"/>
        <v>5838</v>
      </c>
      <c r="P726" s="13">
        <f t="shared" si="168"/>
        <v>0</v>
      </c>
      <c r="Q726" s="85">
        <f t="shared" si="165"/>
        <v>5838</v>
      </c>
      <c r="R726" s="13">
        <f t="shared" si="168"/>
        <v>-614.20000000000005</v>
      </c>
      <c r="S726" s="85">
        <f t="shared" si="160"/>
        <v>5223.8</v>
      </c>
      <c r="T726" s="13">
        <f t="shared" si="168"/>
        <v>0</v>
      </c>
      <c r="U726" s="85">
        <f t="shared" si="154"/>
        <v>5223.8</v>
      </c>
    </row>
    <row r="727" spans="1:21" ht="49.5">
      <c r="A727" s="61" t="str">
        <f ca="1">IF(ISERROR(MATCH(F727,Код_КВР,0)),"",INDIRECT(ADDRESS(MATCH(F727,Код_КВР,0)+1,2,,,"КВР")))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27" s="145">
        <v>805</v>
      </c>
      <c r="C727" s="8" t="s">
        <v>195</v>
      </c>
      <c r="D727" s="8" t="s">
        <v>219</v>
      </c>
      <c r="E727" s="145" t="s">
        <v>425</v>
      </c>
      <c r="F727" s="145">
        <v>611</v>
      </c>
      <c r="G727" s="69">
        <v>18137.8</v>
      </c>
      <c r="H727" s="64"/>
      <c r="I727" s="69">
        <f t="shared" si="167"/>
        <v>18137.8</v>
      </c>
      <c r="J727" s="64">
        <v>-12299.8</v>
      </c>
      <c r="K727" s="85">
        <f t="shared" si="163"/>
        <v>5838</v>
      </c>
      <c r="L727" s="85"/>
      <c r="M727" s="85">
        <f t="shared" si="152"/>
        <v>5838</v>
      </c>
      <c r="N727" s="85"/>
      <c r="O727" s="85">
        <f t="shared" si="153"/>
        <v>5838</v>
      </c>
      <c r="P727" s="85"/>
      <c r="Q727" s="85">
        <f t="shared" si="165"/>
        <v>5838</v>
      </c>
      <c r="R727" s="85">
        <v>-614.20000000000005</v>
      </c>
      <c r="S727" s="85">
        <f t="shared" si="160"/>
        <v>5223.8</v>
      </c>
      <c r="T727" s="85"/>
      <c r="U727" s="85">
        <f t="shared" si="154"/>
        <v>5223.8</v>
      </c>
    </row>
    <row r="728" spans="1:21">
      <c r="A728" s="61" t="str">
        <f ca="1">IF(ISERROR(MATCH(F728,Код_КВР,0)),"",INDIRECT(ADDRESS(MATCH(F728,Код_КВР,0)+1,2,,,"КВР")))</f>
        <v>Субсидии автономным учреждениям</v>
      </c>
      <c r="B728" s="145">
        <v>805</v>
      </c>
      <c r="C728" s="8" t="s">
        <v>195</v>
      </c>
      <c r="D728" s="8" t="s">
        <v>219</v>
      </c>
      <c r="E728" s="145" t="s">
        <v>425</v>
      </c>
      <c r="F728" s="145">
        <v>620</v>
      </c>
      <c r="G728" s="69"/>
      <c r="H728" s="64"/>
      <c r="I728" s="69"/>
      <c r="J728" s="64">
        <f>J729</f>
        <v>12299.8</v>
      </c>
      <c r="K728" s="85">
        <f t="shared" si="163"/>
        <v>12299.8</v>
      </c>
      <c r="L728" s="85">
        <f>L729</f>
        <v>0</v>
      </c>
      <c r="M728" s="85">
        <f t="shared" si="152"/>
        <v>12299.8</v>
      </c>
      <c r="N728" s="85">
        <f>N729</f>
        <v>0</v>
      </c>
      <c r="O728" s="85">
        <f t="shared" si="153"/>
        <v>12299.8</v>
      </c>
      <c r="P728" s="85">
        <f>P729</f>
        <v>0</v>
      </c>
      <c r="Q728" s="85">
        <f t="shared" si="165"/>
        <v>12299.8</v>
      </c>
      <c r="R728" s="85">
        <f>R729</f>
        <v>-1573.9999999999998</v>
      </c>
      <c r="S728" s="85">
        <f t="shared" si="160"/>
        <v>10725.8</v>
      </c>
      <c r="T728" s="85">
        <f>T729</f>
        <v>-1399.9</v>
      </c>
      <c r="U728" s="85">
        <f t="shared" si="154"/>
        <v>9325.9</v>
      </c>
    </row>
    <row r="729" spans="1:21" ht="49.5">
      <c r="A729" s="61" t="str">
        <f ca="1">IF(ISERROR(MATCH(F729,Код_КВР,0)),"",INDIRECT(ADDRESS(MATCH(F729,Код_КВР,0)+1,2,,,"КВР")))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729" s="145">
        <v>805</v>
      </c>
      <c r="C729" s="8" t="s">
        <v>195</v>
      </c>
      <c r="D729" s="8" t="s">
        <v>219</v>
      </c>
      <c r="E729" s="145" t="s">
        <v>425</v>
      </c>
      <c r="F729" s="145">
        <v>621</v>
      </c>
      <c r="G729" s="69"/>
      <c r="H729" s="64"/>
      <c r="I729" s="69"/>
      <c r="J729" s="64">
        <v>12299.8</v>
      </c>
      <c r="K729" s="85">
        <f t="shared" si="163"/>
        <v>12299.8</v>
      </c>
      <c r="L729" s="85"/>
      <c r="M729" s="85">
        <f t="shared" si="152"/>
        <v>12299.8</v>
      </c>
      <c r="N729" s="85"/>
      <c r="O729" s="85">
        <f t="shared" si="153"/>
        <v>12299.8</v>
      </c>
      <c r="P729" s="85"/>
      <c r="Q729" s="85">
        <f t="shared" si="165"/>
        <v>12299.8</v>
      </c>
      <c r="R729" s="85">
        <f>614.2-2188.2</f>
        <v>-1573.9999999999998</v>
      </c>
      <c r="S729" s="85">
        <f t="shared" si="160"/>
        <v>10725.8</v>
      </c>
      <c r="T729" s="85">
        <v>-1399.9</v>
      </c>
      <c r="U729" s="85">
        <f t="shared" si="154"/>
        <v>9325.9</v>
      </c>
    </row>
    <row r="730" spans="1:21">
      <c r="A730" s="61" t="str">
        <f ca="1">IF(ISERROR(MATCH(E730,Код_КЦСР,0)),"",INDIRECT(ADDRESS(MATCH(E730,Код_КЦСР,0)+1,2,,,"КЦСР")))</f>
        <v>Общее образование</v>
      </c>
      <c r="B730" s="145">
        <v>805</v>
      </c>
      <c r="C730" s="8" t="s">
        <v>195</v>
      </c>
      <c r="D730" s="8" t="s">
        <v>219</v>
      </c>
      <c r="E730" s="145" t="s">
        <v>280</v>
      </c>
      <c r="F730" s="145"/>
      <c r="G730" s="69"/>
      <c r="H730" s="69">
        <f>H731+H739+H743+H747+H753</f>
        <v>0</v>
      </c>
      <c r="I730" s="69">
        <f t="shared" si="167"/>
        <v>0</v>
      </c>
      <c r="J730" s="69">
        <f>J731</f>
        <v>7173</v>
      </c>
      <c r="K730" s="85">
        <f t="shared" si="163"/>
        <v>7173</v>
      </c>
      <c r="L730" s="13">
        <f>L731</f>
        <v>0</v>
      </c>
      <c r="M730" s="85">
        <f t="shared" si="152"/>
        <v>7173</v>
      </c>
      <c r="N730" s="13">
        <f>N731</f>
        <v>0</v>
      </c>
      <c r="O730" s="85">
        <f t="shared" si="153"/>
        <v>7173</v>
      </c>
      <c r="P730" s="13">
        <f>P731</f>
        <v>0</v>
      </c>
      <c r="Q730" s="85">
        <f t="shared" si="165"/>
        <v>7173</v>
      </c>
      <c r="R730" s="13">
        <f>R731</f>
        <v>0</v>
      </c>
      <c r="S730" s="85">
        <f t="shared" si="160"/>
        <v>7173</v>
      </c>
      <c r="T730" s="13">
        <f>T731</f>
        <v>3329.8</v>
      </c>
      <c r="U730" s="85">
        <f t="shared" si="154"/>
        <v>10502.8</v>
      </c>
    </row>
    <row r="731" spans="1:21" ht="104.25" customHeight="1">
      <c r="A731" s="61" t="str">
        <f ca="1">IF(ISERROR(MATCH(E731,Код_КЦСР,0)),"",INDIRECT(ADDRESS(MATCH(E731,Код_КЦСР,0)+1,2,,,"КЦСР")))</f>
        <v>Организация предоставления общедоступного и бесплатного начального общего, основного общего, среднего общего образования в муниципальных образовательных учреждениях, осуществляющих образовательную деятельность по адаптированным основным общеобразовательным программам за счет субвенций из областного бюджета</v>
      </c>
      <c r="B731" s="145">
        <v>805</v>
      </c>
      <c r="C731" s="8" t="s">
        <v>195</v>
      </c>
      <c r="D731" s="8" t="s">
        <v>219</v>
      </c>
      <c r="E731" s="145" t="s">
        <v>437</v>
      </c>
      <c r="F731" s="145"/>
      <c r="G731" s="69"/>
      <c r="H731" s="69">
        <f>H732</f>
        <v>0</v>
      </c>
      <c r="I731" s="69">
        <f t="shared" si="167"/>
        <v>0</v>
      </c>
      <c r="J731" s="69">
        <f>J732</f>
        <v>7173</v>
      </c>
      <c r="K731" s="85">
        <f t="shared" si="163"/>
        <v>7173</v>
      </c>
      <c r="L731" s="13">
        <f>L732</f>
        <v>0</v>
      </c>
      <c r="M731" s="85">
        <f t="shared" si="152"/>
        <v>7173</v>
      </c>
      <c r="N731" s="13">
        <f>N732</f>
        <v>0</v>
      </c>
      <c r="O731" s="85">
        <f t="shared" si="153"/>
        <v>7173</v>
      </c>
      <c r="P731" s="13">
        <f>P732</f>
        <v>0</v>
      </c>
      <c r="Q731" s="85">
        <f t="shared" si="165"/>
        <v>7173</v>
      </c>
      <c r="R731" s="13">
        <f>R732</f>
        <v>0</v>
      </c>
      <c r="S731" s="85">
        <f t="shared" si="160"/>
        <v>7173</v>
      </c>
      <c r="T731" s="13">
        <f>T732</f>
        <v>3329.8</v>
      </c>
      <c r="U731" s="85">
        <f t="shared" si="154"/>
        <v>10502.8</v>
      </c>
    </row>
    <row r="732" spans="1:21" ht="33">
      <c r="A732" s="61" t="str">
        <f ca="1">IF(ISERROR(MATCH(F732,Код_КВР,0)),"",INDIRECT(ADDRESS(MATCH(F732,Код_КВР,0)+1,2,,,"КВР")))</f>
        <v>Предоставление субсидий бюджетным, автономным учреждениям и иным некоммерческим организациям</v>
      </c>
      <c r="B732" s="145">
        <v>805</v>
      </c>
      <c r="C732" s="8" t="s">
        <v>195</v>
      </c>
      <c r="D732" s="8" t="s">
        <v>219</v>
      </c>
      <c r="E732" s="145" t="s">
        <v>437</v>
      </c>
      <c r="F732" s="145">
        <v>600</v>
      </c>
      <c r="G732" s="69"/>
      <c r="H732" s="69">
        <f>H733</f>
        <v>0</v>
      </c>
      <c r="I732" s="69">
        <f t="shared" si="167"/>
        <v>0</v>
      </c>
      <c r="J732" s="69">
        <f>J733+J735</f>
        <v>7173</v>
      </c>
      <c r="K732" s="85">
        <f t="shared" si="163"/>
        <v>7173</v>
      </c>
      <c r="L732" s="13">
        <f>L733+L735</f>
        <v>0</v>
      </c>
      <c r="M732" s="85">
        <f t="shared" si="152"/>
        <v>7173</v>
      </c>
      <c r="N732" s="13">
        <f>N733+N735</f>
        <v>0</v>
      </c>
      <c r="O732" s="85">
        <f t="shared" si="153"/>
        <v>7173</v>
      </c>
      <c r="P732" s="13">
        <f>P733+P735</f>
        <v>0</v>
      </c>
      <c r="Q732" s="85">
        <f t="shared" si="165"/>
        <v>7173</v>
      </c>
      <c r="R732" s="13">
        <f>R733+R735</f>
        <v>0</v>
      </c>
      <c r="S732" s="85">
        <f t="shared" si="160"/>
        <v>7173</v>
      </c>
      <c r="T732" s="13">
        <f>T733+T735</f>
        <v>3329.8</v>
      </c>
      <c r="U732" s="85">
        <f t="shared" si="154"/>
        <v>10502.8</v>
      </c>
    </row>
    <row r="733" spans="1:21">
      <c r="A733" s="61" t="str">
        <f ca="1">IF(ISERROR(MATCH(F733,Код_КВР,0)),"",INDIRECT(ADDRESS(MATCH(F733,Код_КВР,0)+1,2,,,"КВР")))</f>
        <v>Субсидии бюджетным учреждениям</v>
      </c>
      <c r="B733" s="145">
        <v>805</v>
      </c>
      <c r="C733" s="8" t="s">
        <v>195</v>
      </c>
      <c r="D733" s="8" t="s">
        <v>219</v>
      </c>
      <c r="E733" s="145" t="s">
        <v>437</v>
      </c>
      <c r="F733" s="145">
        <v>610</v>
      </c>
      <c r="G733" s="69"/>
      <c r="H733" s="64"/>
      <c r="I733" s="69">
        <f t="shared" si="167"/>
        <v>0</v>
      </c>
      <c r="J733" s="69">
        <f>J734</f>
        <v>1874.9</v>
      </c>
      <c r="K733" s="85">
        <f t="shared" si="163"/>
        <v>1874.9</v>
      </c>
      <c r="L733" s="13">
        <f>L734</f>
        <v>0</v>
      </c>
      <c r="M733" s="85">
        <f t="shared" si="152"/>
        <v>1874.9</v>
      </c>
      <c r="N733" s="13">
        <f>N734</f>
        <v>0</v>
      </c>
      <c r="O733" s="85">
        <f t="shared" si="153"/>
        <v>1874.9</v>
      </c>
      <c r="P733" s="13">
        <f>P734</f>
        <v>0</v>
      </c>
      <c r="Q733" s="85">
        <f t="shared" si="165"/>
        <v>1874.9</v>
      </c>
      <c r="R733" s="13">
        <f>R734</f>
        <v>0</v>
      </c>
      <c r="S733" s="85">
        <f t="shared" si="160"/>
        <v>1874.9</v>
      </c>
      <c r="T733" s="13">
        <f>T734</f>
        <v>0</v>
      </c>
      <c r="U733" s="85">
        <f t="shared" si="154"/>
        <v>1874.9</v>
      </c>
    </row>
    <row r="734" spans="1:21" ht="49.5">
      <c r="A734" s="61" t="str">
        <f ca="1">IF(ISERROR(MATCH(F734,Код_КВР,0)),"",INDIRECT(ADDRESS(MATCH(F734,Код_КВР,0)+1,2,,,"КВР")))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34" s="145">
        <v>805</v>
      </c>
      <c r="C734" s="8" t="s">
        <v>195</v>
      </c>
      <c r="D734" s="8" t="s">
        <v>219</v>
      </c>
      <c r="E734" s="145" t="s">
        <v>437</v>
      </c>
      <c r="F734" s="145">
        <v>611</v>
      </c>
      <c r="G734" s="69"/>
      <c r="H734" s="64"/>
      <c r="I734" s="69">
        <f t="shared" si="167"/>
        <v>0</v>
      </c>
      <c r="J734" s="64">
        <f>166.5+1708.4</f>
        <v>1874.9</v>
      </c>
      <c r="K734" s="85">
        <f t="shared" si="163"/>
        <v>1874.9</v>
      </c>
      <c r="L734" s="85"/>
      <c r="M734" s="85">
        <f t="shared" si="152"/>
        <v>1874.9</v>
      </c>
      <c r="N734" s="85"/>
      <c r="O734" s="85">
        <f t="shared" si="153"/>
        <v>1874.9</v>
      </c>
      <c r="P734" s="85"/>
      <c r="Q734" s="85">
        <f t="shared" si="165"/>
        <v>1874.9</v>
      </c>
      <c r="R734" s="85"/>
      <c r="S734" s="85">
        <f t="shared" si="160"/>
        <v>1874.9</v>
      </c>
      <c r="T734" s="85"/>
      <c r="U734" s="85">
        <f t="shared" si="154"/>
        <v>1874.9</v>
      </c>
    </row>
    <row r="735" spans="1:21">
      <c r="A735" s="61" t="str">
        <f ca="1">IF(ISERROR(MATCH(F735,Код_КВР,0)),"",INDIRECT(ADDRESS(MATCH(F735,Код_КВР,0)+1,2,,,"КВР")))</f>
        <v>Субсидии автономным учреждениям</v>
      </c>
      <c r="B735" s="145">
        <v>805</v>
      </c>
      <c r="C735" s="8" t="s">
        <v>195</v>
      </c>
      <c r="D735" s="8" t="s">
        <v>219</v>
      </c>
      <c r="E735" s="145" t="s">
        <v>437</v>
      </c>
      <c r="F735" s="145">
        <v>620</v>
      </c>
      <c r="G735" s="69"/>
      <c r="H735" s="64"/>
      <c r="I735" s="69"/>
      <c r="J735" s="64">
        <f>J736</f>
        <v>5298.1</v>
      </c>
      <c r="K735" s="85">
        <f t="shared" si="163"/>
        <v>5298.1</v>
      </c>
      <c r="L735" s="85">
        <f>L736</f>
        <v>0</v>
      </c>
      <c r="M735" s="85">
        <f t="shared" si="152"/>
        <v>5298.1</v>
      </c>
      <c r="N735" s="85">
        <f>N736</f>
        <v>0</v>
      </c>
      <c r="O735" s="85">
        <f t="shared" si="153"/>
        <v>5298.1</v>
      </c>
      <c r="P735" s="85">
        <f>P736</f>
        <v>0</v>
      </c>
      <c r="Q735" s="85">
        <f t="shared" si="165"/>
        <v>5298.1</v>
      </c>
      <c r="R735" s="85">
        <f>R736</f>
        <v>0</v>
      </c>
      <c r="S735" s="85">
        <f t="shared" si="160"/>
        <v>5298.1</v>
      </c>
      <c r="T735" s="85">
        <f>T736</f>
        <v>3329.8</v>
      </c>
      <c r="U735" s="85">
        <f t="shared" si="154"/>
        <v>8627.9000000000015</v>
      </c>
    </row>
    <row r="736" spans="1:21" ht="49.5">
      <c r="A736" s="61" t="str">
        <f ca="1">IF(ISERROR(MATCH(F736,Код_КВР,0)),"",INDIRECT(ADDRESS(MATCH(F736,Код_КВР,0)+1,2,,,"КВР")))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736" s="145">
        <v>805</v>
      </c>
      <c r="C736" s="8" t="s">
        <v>195</v>
      </c>
      <c r="D736" s="8" t="s">
        <v>219</v>
      </c>
      <c r="E736" s="145" t="s">
        <v>437</v>
      </c>
      <c r="F736" s="145">
        <v>621</v>
      </c>
      <c r="G736" s="69"/>
      <c r="H736" s="64"/>
      <c r="I736" s="69"/>
      <c r="J736" s="64">
        <v>5298.1</v>
      </c>
      <c r="K736" s="85">
        <f t="shared" si="163"/>
        <v>5298.1</v>
      </c>
      <c r="L736" s="85"/>
      <c r="M736" s="85">
        <f t="shared" si="152"/>
        <v>5298.1</v>
      </c>
      <c r="N736" s="85"/>
      <c r="O736" s="85">
        <f t="shared" si="153"/>
        <v>5298.1</v>
      </c>
      <c r="P736" s="85"/>
      <c r="Q736" s="85">
        <f t="shared" si="165"/>
        <v>5298.1</v>
      </c>
      <c r="R736" s="85"/>
      <c r="S736" s="85">
        <f t="shared" si="160"/>
        <v>5298.1</v>
      </c>
      <c r="T736" s="85">
        <f>3749.3-419.5</f>
        <v>3329.8</v>
      </c>
      <c r="U736" s="85">
        <f t="shared" ref="U736:U799" si="169">S736+T736</f>
        <v>8627.9000000000015</v>
      </c>
    </row>
    <row r="737" spans="1:21">
      <c r="A737" s="61" t="str">
        <f ca="1">IF(ISERROR(MATCH(E737,Код_КЦСР,0)),"",INDIRECT(ADDRESS(MATCH(E737,Код_КЦСР,0)+1,2,,,"КЦСР")))</f>
        <v>Дополнительное образование</v>
      </c>
      <c r="B737" s="145">
        <v>805</v>
      </c>
      <c r="C737" s="8" t="s">
        <v>195</v>
      </c>
      <c r="D737" s="8" t="s">
        <v>219</v>
      </c>
      <c r="E737" s="145" t="s">
        <v>285</v>
      </c>
      <c r="F737" s="145"/>
      <c r="G737" s="69">
        <f t="shared" ref="G737:T740" si="170">G738</f>
        <v>258</v>
      </c>
      <c r="H737" s="69">
        <f t="shared" si="170"/>
        <v>0</v>
      </c>
      <c r="I737" s="69">
        <f t="shared" si="167"/>
        <v>258</v>
      </c>
      <c r="J737" s="69">
        <f t="shared" si="170"/>
        <v>0</v>
      </c>
      <c r="K737" s="85">
        <f t="shared" si="163"/>
        <v>258</v>
      </c>
      <c r="L737" s="13">
        <f t="shared" si="170"/>
        <v>0</v>
      </c>
      <c r="M737" s="85">
        <f t="shared" ref="M737:M800" si="171">K737+L737</f>
        <v>258</v>
      </c>
      <c r="N737" s="13">
        <f t="shared" si="170"/>
        <v>0</v>
      </c>
      <c r="O737" s="85">
        <f t="shared" ref="O737:O800" si="172">M737+N737</f>
        <v>258</v>
      </c>
      <c r="P737" s="13">
        <f t="shared" si="170"/>
        <v>0</v>
      </c>
      <c r="Q737" s="85">
        <f t="shared" si="165"/>
        <v>258</v>
      </c>
      <c r="R737" s="13">
        <f t="shared" si="170"/>
        <v>0</v>
      </c>
      <c r="S737" s="85">
        <f t="shared" si="160"/>
        <v>258</v>
      </c>
      <c r="T737" s="13">
        <f t="shared" si="170"/>
        <v>0</v>
      </c>
      <c r="U737" s="85">
        <f t="shared" si="169"/>
        <v>258</v>
      </c>
    </row>
    <row r="738" spans="1:21" ht="49.5">
      <c r="A738" s="61" t="str">
        <f ca="1">IF(ISERROR(MATCH(E738,Код_КЦСР,0)),"",INDIRECT(ADDRESS(MATCH(E738,Код_КЦСР,0)+1,2,,,"КЦСР")))</f>
        <v xml:space="preserve">Организация и проведение массовых мероприятий муниципального уровня различной направленности с обучающимися, обеспечение участия в мероприятиях различного уровня </v>
      </c>
      <c r="B738" s="145">
        <v>805</v>
      </c>
      <c r="C738" s="8" t="s">
        <v>195</v>
      </c>
      <c r="D738" s="8" t="s">
        <v>219</v>
      </c>
      <c r="E738" s="145" t="s">
        <v>289</v>
      </c>
      <c r="F738" s="145"/>
      <c r="G738" s="69">
        <f t="shared" si="170"/>
        <v>258</v>
      </c>
      <c r="H738" s="69">
        <f t="shared" si="170"/>
        <v>0</v>
      </c>
      <c r="I738" s="69">
        <f t="shared" si="167"/>
        <v>258</v>
      </c>
      <c r="J738" s="69">
        <f t="shared" si="170"/>
        <v>0</v>
      </c>
      <c r="K738" s="85">
        <f t="shared" si="163"/>
        <v>258</v>
      </c>
      <c r="L738" s="13">
        <f t="shared" si="170"/>
        <v>0</v>
      </c>
      <c r="M738" s="85">
        <f t="shared" si="171"/>
        <v>258</v>
      </c>
      <c r="N738" s="13">
        <f t="shared" si="170"/>
        <v>0</v>
      </c>
      <c r="O738" s="85">
        <f t="shared" si="172"/>
        <v>258</v>
      </c>
      <c r="P738" s="13">
        <f t="shared" si="170"/>
        <v>0</v>
      </c>
      <c r="Q738" s="85">
        <f t="shared" si="165"/>
        <v>258</v>
      </c>
      <c r="R738" s="13">
        <f t="shared" si="170"/>
        <v>0</v>
      </c>
      <c r="S738" s="85">
        <f t="shared" si="160"/>
        <v>258</v>
      </c>
      <c r="T738" s="13">
        <f t="shared" si="170"/>
        <v>0</v>
      </c>
      <c r="U738" s="85">
        <f t="shared" si="169"/>
        <v>258</v>
      </c>
    </row>
    <row r="739" spans="1:21" ht="33">
      <c r="A739" s="61" t="str">
        <f ca="1">IF(ISERROR(MATCH(F739,Код_КВР,0)),"",INDIRECT(ADDRESS(MATCH(F739,Код_КВР,0)+1,2,,,"КВР")))</f>
        <v>Предоставление субсидий бюджетным, автономным учреждениям и иным некоммерческим организациям</v>
      </c>
      <c r="B739" s="145">
        <v>805</v>
      </c>
      <c r="C739" s="8" t="s">
        <v>195</v>
      </c>
      <c r="D739" s="8" t="s">
        <v>219</v>
      </c>
      <c r="E739" s="145" t="s">
        <v>289</v>
      </c>
      <c r="F739" s="145">
        <v>600</v>
      </c>
      <c r="G739" s="69">
        <f t="shared" si="170"/>
        <v>258</v>
      </c>
      <c r="H739" s="69">
        <f t="shared" si="170"/>
        <v>0</v>
      </c>
      <c r="I739" s="69">
        <f t="shared" si="167"/>
        <v>258</v>
      </c>
      <c r="J739" s="69">
        <f t="shared" si="170"/>
        <v>0</v>
      </c>
      <c r="K739" s="85">
        <f t="shared" si="163"/>
        <v>258</v>
      </c>
      <c r="L739" s="13">
        <f t="shared" si="170"/>
        <v>0</v>
      </c>
      <c r="M739" s="85">
        <f t="shared" si="171"/>
        <v>258</v>
      </c>
      <c r="N739" s="13">
        <f t="shared" si="170"/>
        <v>0</v>
      </c>
      <c r="O739" s="85">
        <f t="shared" si="172"/>
        <v>258</v>
      </c>
      <c r="P739" s="13">
        <f t="shared" si="170"/>
        <v>0</v>
      </c>
      <c r="Q739" s="85">
        <f t="shared" si="165"/>
        <v>258</v>
      </c>
      <c r="R739" s="13">
        <f t="shared" si="170"/>
        <v>0</v>
      </c>
      <c r="S739" s="85">
        <f t="shared" si="160"/>
        <v>258</v>
      </c>
      <c r="T739" s="13">
        <f t="shared" si="170"/>
        <v>0</v>
      </c>
      <c r="U739" s="85">
        <f t="shared" si="169"/>
        <v>258</v>
      </c>
    </row>
    <row r="740" spans="1:21">
      <c r="A740" s="61" t="str">
        <f ca="1">IF(ISERROR(MATCH(F740,Код_КВР,0)),"",INDIRECT(ADDRESS(MATCH(F740,Код_КВР,0)+1,2,,,"КВР")))</f>
        <v>Субсидии бюджетным учреждениям</v>
      </c>
      <c r="B740" s="145">
        <v>805</v>
      </c>
      <c r="C740" s="8" t="s">
        <v>195</v>
      </c>
      <c r="D740" s="8" t="s">
        <v>219</v>
      </c>
      <c r="E740" s="145" t="s">
        <v>289</v>
      </c>
      <c r="F740" s="145">
        <v>610</v>
      </c>
      <c r="G740" s="69">
        <f t="shared" si="170"/>
        <v>258</v>
      </c>
      <c r="H740" s="69">
        <f t="shared" si="170"/>
        <v>0</v>
      </c>
      <c r="I740" s="69">
        <f t="shared" si="167"/>
        <v>258</v>
      </c>
      <c r="J740" s="69">
        <f t="shared" si="170"/>
        <v>0</v>
      </c>
      <c r="K740" s="85">
        <f t="shared" si="163"/>
        <v>258</v>
      </c>
      <c r="L740" s="13">
        <f t="shared" si="170"/>
        <v>0</v>
      </c>
      <c r="M740" s="85">
        <f t="shared" si="171"/>
        <v>258</v>
      </c>
      <c r="N740" s="13">
        <f t="shared" si="170"/>
        <v>0</v>
      </c>
      <c r="O740" s="85">
        <f t="shared" si="172"/>
        <v>258</v>
      </c>
      <c r="P740" s="13">
        <f t="shared" si="170"/>
        <v>0</v>
      </c>
      <c r="Q740" s="85">
        <f t="shared" si="165"/>
        <v>258</v>
      </c>
      <c r="R740" s="13">
        <f t="shared" si="170"/>
        <v>0</v>
      </c>
      <c r="S740" s="85">
        <f t="shared" si="160"/>
        <v>258</v>
      </c>
      <c r="T740" s="13">
        <f t="shared" si="170"/>
        <v>0</v>
      </c>
      <c r="U740" s="85">
        <f t="shared" si="169"/>
        <v>258</v>
      </c>
    </row>
    <row r="741" spans="1:21" ht="49.5">
      <c r="A741" s="61" t="str">
        <f ca="1">IF(ISERROR(MATCH(F741,Код_КВР,0)),"",INDIRECT(ADDRESS(MATCH(F741,Код_КВР,0)+1,2,,,"КВР")))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741" s="145">
        <v>805</v>
      </c>
      <c r="C741" s="8" t="s">
        <v>195</v>
      </c>
      <c r="D741" s="8" t="s">
        <v>219</v>
      </c>
      <c r="E741" s="145" t="s">
        <v>289</v>
      </c>
      <c r="F741" s="145">
        <v>611</v>
      </c>
      <c r="G741" s="69">
        <v>258</v>
      </c>
      <c r="H741" s="64"/>
      <c r="I741" s="69">
        <f t="shared" si="167"/>
        <v>258</v>
      </c>
      <c r="J741" s="64"/>
      <c r="K741" s="85">
        <f t="shared" si="163"/>
        <v>258</v>
      </c>
      <c r="L741" s="85"/>
      <c r="M741" s="85">
        <f t="shared" si="171"/>
        <v>258</v>
      </c>
      <c r="N741" s="85"/>
      <c r="O741" s="85">
        <f t="shared" si="172"/>
        <v>258</v>
      </c>
      <c r="P741" s="85"/>
      <c r="Q741" s="85">
        <f t="shared" si="165"/>
        <v>258</v>
      </c>
      <c r="R741" s="85"/>
      <c r="S741" s="85">
        <f t="shared" si="160"/>
        <v>258</v>
      </c>
      <c r="T741" s="85"/>
      <c r="U741" s="85">
        <f t="shared" si="169"/>
        <v>258</v>
      </c>
    </row>
    <row r="742" spans="1:21">
      <c r="A742" s="61" t="str">
        <f ca="1">IF(ISERROR(MATCH(E742,Код_КЦСР,0)),"",INDIRECT(ADDRESS(MATCH(E742,Код_КЦСР,0)+1,2,,,"КЦСР")))</f>
        <v>Одаренные дети</v>
      </c>
      <c r="B742" s="145">
        <v>805</v>
      </c>
      <c r="C742" s="8" t="s">
        <v>195</v>
      </c>
      <c r="D742" s="8" t="s">
        <v>219</v>
      </c>
      <c r="E742" s="145" t="s">
        <v>460</v>
      </c>
      <c r="F742" s="145"/>
      <c r="G742" s="69">
        <f>G743</f>
        <v>1842.8</v>
      </c>
      <c r="H742" s="69">
        <f>H743</f>
        <v>0</v>
      </c>
      <c r="I742" s="69">
        <f t="shared" si="167"/>
        <v>1842.8</v>
      </c>
      <c r="J742" s="69">
        <f>J743</f>
        <v>0</v>
      </c>
      <c r="K742" s="85">
        <f t="shared" si="163"/>
        <v>1842.8</v>
      </c>
      <c r="L742" s="13">
        <f>L743</f>
        <v>0</v>
      </c>
      <c r="M742" s="85">
        <f t="shared" si="171"/>
        <v>1842.8</v>
      </c>
      <c r="N742" s="13">
        <f>N743</f>
        <v>0</v>
      </c>
      <c r="O742" s="85">
        <f t="shared" si="172"/>
        <v>1842.8</v>
      </c>
      <c r="P742" s="13">
        <f>P743</f>
        <v>0</v>
      </c>
      <c r="Q742" s="85">
        <f t="shared" si="165"/>
        <v>1842.8</v>
      </c>
      <c r="R742" s="13">
        <f>R743</f>
        <v>0</v>
      </c>
      <c r="S742" s="85">
        <f t="shared" si="160"/>
        <v>1842.8</v>
      </c>
      <c r="T742" s="13">
        <f>T743</f>
        <v>0</v>
      </c>
      <c r="U742" s="85">
        <f t="shared" si="169"/>
        <v>1842.8</v>
      </c>
    </row>
    <row r="743" spans="1:21" ht="33">
      <c r="A743" s="61" t="str">
        <f ca="1">IF(ISERROR(MATCH(F743,Код_КВР,0)),"",INDIRECT(ADDRESS(MATCH(F743,Код_КВР,0)+1,2,,,"КВР")))</f>
        <v>Предоставление субсидий бюджетным, автономным учреждениям и иным некоммерческим организациям</v>
      </c>
      <c r="B743" s="145">
        <v>805</v>
      </c>
      <c r="C743" s="8" t="s">
        <v>195</v>
      </c>
      <c r="D743" s="8" t="s">
        <v>219</v>
      </c>
      <c r="E743" s="145" t="s">
        <v>460</v>
      </c>
      <c r="F743" s="145">
        <v>600</v>
      </c>
      <c r="G743" s="69">
        <f>G744+G746</f>
        <v>1842.8</v>
      </c>
      <c r="H743" s="69">
        <f>H744+H746</f>
        <v>0</v>
      </c>
      <c r="I743" s="69">
        <f t="shared" si="167"/>
        <v>1842.8</v>
      </c>
      <c r="J743" s="69">
        <f>J744+J746</f>
        <v>0</v>
      </c>
      <c r="K743" s="85">
        <f t="shared" si="163"/>
        <v>1842.8</v>
      </c>
      <c r="L743" s="13">
        <f>L744+L746</f>
        <v>0</v>
      </c>
      <c r="M743" s="85">
        <f t="shared" si="171"/>
        <v>1842.8</v>
      </c>
      <c r="N743" s="13">
        <f>N744+N746</f>
        <v>0</v>
      </c>
      <c r="O743" s="85">
        <f t="shared" si="172"/>
        <v>1842.8</v>
      </c>
      <c r="P743" s="13">
        <f>P744+P746</f>
        <v>0</v>
      </c>
      <c r="Q743" s="85">
        <f t="shared" si="165"/>
        <v>1842.8</v>
      </c>
      <c r="R743" s="13">
        <f>R744+R746</f>
        <v>0</v>
      </c>
      <c r="S743" s="85">
        <f t="shared" si="160"/>
        <v>1842.8</v>
      </c>
      <c r="T743" s="13">
        <f>T744+T746</f>
        <v>0</v>
      </c>
      <c r="U743" s="85">
        <f t="shared" si="169"/>
        <v>1842.8</v>
      </c>
    </row>
    <row r="744" spans="1:21">
      <c r="A744" s="61" t="str">
        <f ca="1">IF(ISERROR(MATCH(F744,Код_КВР,0)),"",INDIRECT(ADDRESS(MATCH(F744,Код_КВР,0)+1,2,,,"КВР")))</f>
        <v>Субсидии бюджетным учреждениям</v>
      </c>
      <c r="B744" s="145">
        <v>805</v>
      </c>
      <c r="C744" s="8" t="s">
        <v>195</v>
      </c>
      <c r="D744" s="8" t="s">
        <v>219</v>
      </c>
      <c r="E744" s="145" t="s">
        <v>460</v>
      </c>
      <c r="F744" s="145">
        <v>610</v>
      </c>
      <c r="G744" s="69">
        <f>G745</f>
        <v>1808.8</v>
      </c>
      <c r="H744" s="69">
        <f>H745</f>
        <v>0</v>
      </c>
      <c r="I744" s="69">
        <f t="shared" si="167"/>
        <v>1808.8</v>
      </c>
      <c r="J744" s="69">
        <f>J745</f>
        <v>0</v>
      </c>
      <c r="K744" s="85">
        <f t="shared" si="163"/>
        <v>1808.8</v>
      </c>
      <c r="L744" s="13">
        <f>L745</f>
        <v>0</v>
      </c>
      <c r="M744" s="85">
        <f t="shared" si="171"/>
        <v>1808.8</v>
      </c>
      <c r="N744" s="13">
        <f>N745</f>
        <v>0</v>
      </c>
      <c r="O744" s="85">
        <f t="shared" si="172"/>
        <v>1808.8</v>
      </c>
      <c r="P744" s="13">
        <f>P745</f>
        <v>0</v>
      </c>
      <c r="Q744" s="85">
        <f t="shared" si="165"/>
        <v>1808.8</v>
      </c>
      <c r="R744" s="13">
        <f>R745</f>
        <v>0</v>
      </c>
      <c r="S744" s="85">
        <f t="shared" si="160"/>
        <v>1808.8</v>
      </c>
      <c r="T744" s="13">
        <f>T745</f>
        <v>0</v>
      </c>
      <c r="U744" s="85">
        <f t="shared" si="169"/>
        <v>1808.8</v>
      </c>
    </row>
    <row r="745" spans="1:21">
      <c r="A745" s="61" t="str">
        <f ca="1">IF(ISERROR(MATCH(F745,Код_КВР,0)),"",INDIRECT(ADDRESS(MATCH(F745,Код_КВР,0)+1,2,,,"КВР")))</f>
        <v>Субсидии бюджетным учреждениям на иные цели</v>
      </c>
      <c r="B745" s="145">
        <v>805</v>
      </c>
      <c r="C745" s="8" t="s">
        <v>195</v>
      </c>
      <c r="D745" s="8" t="s">
        <v>219</v>
      </c>
      <c r="E745" s="145" t="s">
        <v>460</v>
      </c>
      <c r="F745" s="145">
        <v>612</v>
      </c>
      <c r="G745" s="69">
        <v>1808.8</v>
      </c>
      <c r="H745" s="64"/>
      <c r="I745" s="69">
        <f t="shared" si="167"/>
        <v>1808.8</v>
      </c>
      <c r="J745" s="64"/>
      <c r="K745" s="85">
        <f t="shared" si="163"/>
        <v>1808.8</v>
      </c>
      <c r="L745" s="85"/>
      <c r="M745" s="85">
        <f t="shared" si="171"/>
        <v>1808.8</v>
      </c>
      <c r="N745" s="85"/>
      <c r="O745" s="85">
        <f t="shared" si="172"/>
        <v>1808.8</v>
      </c>
      <c r="P745" s="85"/>
      <c r="Q745" s="85">
        <f t="shared" si="165"/>
        <v>1808.8</v>
      </c>
      <c r="R745" s="85"/>
      <c r="S745" s="85">
        <f t="shared" si="160"/>
        <v>1808.8</v>
      </c>
      <c r="T745" s="85"/>
      <c r="U745" s="85">
        <f t="shared" si="169"/>
        <v>1808.8</v>
      </c>
    </row>
    <row r="746" spans="1:21">
      <c r="A746" s="61" t="str">
        <f ca="1">IF(ISERROR(MATCH(F746,Код_КВР,0)),"",INDIRECT(ADDRESS(MATCH(F746,Код_КВР,0)+1,2,,,"КВР")))</f>
        <v>Субсидии автономным учреждениям</v>
      </c>
      <c r="B746" s="145">
        <v>805</v>
      </c>
      <c r="C746" s="8" t="s">
        <v>195</v>
      </c>
      <c r="D746" s="8" t="s">
        <v>219</v>
      </c>
      <c r="E746" s="145" t="s">
        <v>460</v>
      </c>
      <c r="F746" s="145">
        <v>620</v>
      </c>
      <c r="G746" s="69">
        <f>G747</f>
        <v>34</v>
      </c>
      <c r="H746" s="69">
        <f>H747</f>
        <v>0</v>
      </c>
      <c r="I746" s="69">
        <f t="shared" si="167"/>
        <v>34</v>
      </c>
      <c r="J746" s="69">
        <f>J747</f>
        <v>0</v>
      </c>
      <c r="K746" s="85">
        <f t="shared" si="163"/>
        <v>34</v>
      </c>
      <c r="L746" s="13">
        <f>L747</f>
        <v>0</v>
      </c>
      <c r="M746" s="85">
        <f t="shared" si="171"/>
        <v>34</v>
      </c>
      <c r="N746" s="13">
        <f>N747</f>
        <v>0</v>
      </c>
      <c r="O746" s="85">
        <f t="shared" si="172"/>
        <v>34</v>
      </c>
      <c r="P746" s="13">
        <f>P747</f>
        <v>0</v>
      </c>
      <c r="Q746" s="85">
        <f t="shared" si="165"/>
        <v>34</v>
      </c>
      <c r="R746" s="13">
        <f>R747</f>
        <v>0</v>
      </c>
      <c r="S746" s="85">
        <f t="shared" si="160"/>
        <v>34</v>
      </c>
      <c r="T746" s="13">
        <f>T747</f>
        <v>0</v>
      </c>
      <c r="U746" s="85">
        <f t="shared" si="169"/>
        <v>34</v>
      </c>
    </row>
    <row r="747" spans="1:21">
      <c r="A747" s="61" t="str">
        <f ca="1">IF(ISERROR(MATCH(F747,Код_КВР,0)),"",INDIRECT(ADDRESS(MATCH(F747,Код_КВР,0)+1,2,,,"КВР")))</f>
        <v>Субсидии автономным учреждениям на иные цели</v>
      </c>
      <c r="B747" s="145">
        <v>805</v>
      </c>
      <c r="C747" s="8" t="s">
        <v>195</v>
      </c>
      <c r="D747" s="8" t="s">
        <v>219</v>
      </c>
      <c r="E747" s="145" t="s">
        <v>460</v>
      </c>
      <c r="F747" s="145">
        <v>622</v>
      </c>
      <c r="G747" s="69">
        <v>34</v>
      </c>
      <c r="H747" s="64"/>
      <c r="I747" s="69">
        <f t="shared" si="167"/>
        <v>34</v>
      </c>
      <c r="J747" s="64"/>
      <c r="K747" s="85">
        <f t="shared" si="163"/>
        <v>34</v>
      </c>
      <c r="L747" s="85"/>
      <c r="M747" s="85">
        <f t="shared" si="171"/>
        <v>34</v>
      </c>
      <c r="N747" s="85"/>
      <c r="O747" s="85">
        <f t="shared" si="172"/>
        <v>34</v>
      </c>
      <c r="P747" s="85"/>
      <c r="Q747" s="85">
        <f t="shared" si="165"/>
        <v>34</v>
      </c>
      <c r="R747" s="85"/>
      <c r="S747" s="85">
        <f t="shared" si="160"/>
        <v>34</v>
      </c>
      <c r="T747" s="85"/>
      <c r="U747" s="85">
        <f t="shared" si="169"/>
        <v>34</v>
      </c>
    </row>
    <row r="748" spans="1:21" ht="33">
      <c r="A748" s="61" t="str">
        <f ca="1">IF(ISERROR(MATCH(E748,Код_КЦСР,0)),"",INDIRECT(ADDRESS(MATCH(E748,Код_КЦСР,0)+1,2,,,"КЦСР")))</f>
        <v>Укрепление материально-технической базы образовательных учреждений города и обеспечение их безопасности</v>
      </c>
      <c r="B748" s="145">
        <v>805</v>
      </c>
      <c r="C748" s="8" t="s">
        <v>195</v>
      </c>
      <c r="D748" s="8" t="s">
        <v>219</v>
      </c>
      <c r="E748" s="145" t="s">
        <v>462</v>
      </c>
      <c r="F748" s="145"/>
      <c r="G748" s="69">
        <f>G749+G752</f>
        <v>47574.400000000001</v>
      </c>
      <c r="H748" s="69">
        <f>H749+H752</f>
        <v>0</v>
      </c>
      <c r="I748" s="69">
        <f t="shared" si="167"/>
        <v>47574.400000000001</v>
      </c>
      <c r="J748" s="69">
        <f>J749+J752</f>
        <v>-10964.4</v>
      </c>
      <c r="K748" s="85">
        <f t="shared" si="163"/>
        <v>36610</v>
      </c>
      <c r="L748" s="13">
        <f>L749+L752</f>
        <v>0</v>
      </c>
      <c r="M748" s="85">
        <f t="shared" si="171"/>
        <v>36610</v>
      </c>
      <c r="N748" s="13">
        <f>N749+N752</f>
        <v>5000</v>
      </c>
      <c r="O748" s="85">
        <f t="shared" si="172"/>
        <v>41610</v>
      </c>
      <c r="P748" s="13">
        <f>P749+P752</f>
        <v>0</v>
      </c>
      <c r="Q748" s="85">
        <f t="shared" si="165"/>
        <v>41610</v>
      </c>
      <c r="R748" s="13">
        <f>R749+R752</f>
        <v>0</v>
      </c>
      <c r="S748" s="85">
        <f t="shared" si="160"/>
        <v>41610</v>
      </c>
      <c r="T748" s="13">
        <f>T749+T752</f>
        <v>0</v>
      </c>
      <c r="U748" s="85">
        <f t="shared" si="169"/>
        <v>41610</v>
      </c>
    </row>
    <row r="749" spans="1:21">
      <c r="A749" s="61" t="str">
        <f t="shared" ref="A749:A756" ca="1" si="173">IF(ISERROR(MATCH(F749,Код_КВР,0)),"",INDIRECT(ADDRESS(MATCH(F749,Код_КВР,0)+1,2,,,"КВР")))</f>
        <v>Закупка товаров, работ и услуг для муниципальных нужд</v>
      </c>
      <c r="B749" s="145">
        <v>805</v>
      </c>
      <c r="C749" s="8" t="s">
        <v>195</v>
      </c>
      <c r="D749" s="8" t="s">
        <v>219</v>
      </c>
      <c r="E749" s="145" t="s">
        <v>462</v>
      </c>
      <c r="F749" s="145">
        <v>200</v>
      </c>
      <c r="G749" s="69">
        <f>G750</f>
        <v>7200</v>
      </c>
      <c r="H749" s="69">
        <f>H750</f>
        <v>0</v>
      </c>
      <c r="I749" s="69">
        <f t="shared" si="167"/>
        <v>7200</v>
      </c>
      <c r="J749" s="69">
        <f>J750</f>
        <v>-4473.1000000000004</v>
      </c>
      <c r="K749" s="85">
        <f t="shared" si="163"/>
        <v>2726.8999999999996</v>
      </c>
      <c r="L749" s="13">
        <f>L750</f>
        <v>0</v>
      </c>
      <c r="M749" s="85">
        <f t="shared" si="171"/>
        <v>2726.8999999999996</v>
      </c>
      <c r="N749" s="13">
        <f>N750</f>
        <v>0</v>
      </c>
      <c r="O749" s="85">
        <f t="shared" si="172"/>
        <v>2726.8999999999996</v>
      </c>
      <c r="P749" s="13">
        <f>P750</f>
        <v>0</v>
      </c>
      <c r="Q749" s="85">
        <f t="shared" si="165"/>
        <v>2726.8999999999996</v>
      </c>
      <c r="R749" s="13">
        <f>R750</f>
        <v>0</v>
      </c>
      <c r="S749" s="85">
        <f t="shared" si="160"/>
        <v>2726.8999999999996</v>
      </c>
      <c r="T749" s="13">
        <f>T750</f>
        <v>-2723.1</v>
      </c>
      <c r="U749" s="85">
        <f t="shared" si="169"/>
        <v>3.7999999999997272</v>
      </c>
    </row>
    <row r="750" spans="1:21" ht="33">
      <c r="A750" s="61" t="str">
        <f t="shared" ca="1" si="173"/>
        <v>Иные закупки товаров, работ и услуг для обеспечения муниципальных нужд</v>
      </c>
      <c r="B750" s="145">
        <v>805</v>
      </c>
      <c r="C750" s="8" t="s">
        <v>195</v>
      </c>
      <c r="D750" s="8" t="s">
        <v>219</v>
      </c>
      <c r="E750" s="145" t="s">
        <v>462</v>
      </c>
      <c r="F750" s="145">
        <v>240</v>
      </c>
      <c r="G750" s="69">
        <f>G751</f>
        <v>7200</v>
      </c>
      <c r="H750" s="69">
        <f>H751</f>
        <v>0</v>
      </c>
      <c r="I750" s="69">
        <f t="shared" si="167"/>
        <v>7200</v>
      </c>
      <c r="J750" s="69">
        <f>J751</f>
        <v>-4473.1000000000004</v>
      </c>
      <c r="K750" s="85">
        <f t="shared" si="163"/>
        <v>2726.8999999999996</v>
      </c>
      <c r="L750" s="13">
        <f>L751</f>
        <v>0</v>
      </c>
      <c r="M750" s="85">
        <f t="shared" si="171"/>
        <v>2726.8999999999996</v>
      </c>
      <c r="N750" s="13">
        <f>N751</f>
        <v>0</v>
      </c>
      <c r="O750" s="85">
        <f t="shared" si="172"/>
        <v>2726.8999999999996</v>
      </c>
      <c r="P750" s="13">
        <f>P751</f>
        <v>0</v>
      </c>
      <c r="Q750" s="85">
        <f t="shared" si="165"/>
        <v>2726.8999999999996</v>
      </c>
      <c r="R750" s="13">
        <f>R751</f>
        <v>0</v>
      </c>
      <c r="S750" s="85">
        <f t="shared" si="160"/>
        <v>2726.8999999999996</v>
      </c>
      <c r="T750" s="13">
        <f>T751</f>
        <v>-2723.1</v>
      </c>
      <c r="U750" s="85">
        <f t="shared" si="169"/>
        <v>3.7999999999997272</v>
      </c>
    </row>
    <row r="751" spans="1:21" ht="33">
      <c r="A751" s="61" t="str">
        <f t="shared" ca="1" si="173"/>
        <v xml:space="preserve">Прочая закупка товаров, работ и услуг для обеспечения муниципальных нужд         </v>
      </c>
      <c r="B751" s="145">
        <v>805</v>
      </c>
      <c r="C751" s="8" t="s">
        <v>195</v>
      </c>
      <c r="D751" s="8" t="s">
        <v>219</v>
      </c>
      <c r="E751" s="145" t="s">
        <v>462</v>
      </c>
      <c r="F751" s="145">
        <v>244</v>
      </c>
      <c r="G751" s="69">
        <v>7200</v>
      </c>
      <c r="H751" s="64"/>
      <c r="I751" s="69">
        <f t="shared" si="167"/>
        <v>7200</v>
      </c>
      <c r="J751" s="64">
        <f>-424.7-4048.4</f>
        <v>-4473.1000000000004</v>
      </c>
      <c r="K751" s="85">
        <f t="shared" si="163"/>
        <v>2726.8999999999996</v>
      </c>
      <c r="L751" s="85"/>
      <c r="M751" s="85">
        <f t="shared" si="171"/>
        <v>2726.8999999999996</v>
      </c>
      <c r="N751" s="85"/>
      <c r="O751" s="85">
        <f t="shared" si="172"/>
        <v>2726.8999999999996</v>
      </c>
      <c r="P751" s="85"/>
      <c r="Q751" s="85">
        <f t="shared" si="165"/>
        <v>2726.8999999999996</v>
      </c>
      <c r="R751" s="85"/>
      <c r="S751" s="85">
        <f t="shared" si="160"/>
        <v>2726.8999999999996</v>
      </c>
      <c r="T751" s="85">
        <f>-1051.6-1671.5</f>
        <v>-2723.1</v>
      </c>
      <c r="U751" s="85">
        <f t="shared" si="169"/>
        <v>3.7999999999997272</v>
      </c>
    </row>
    <row r="752" spans="1:21" ht="33">
      <c r="A752" s="61" t="str">
        <f t="shared" ca="1" si="173"/>
        <v>Предоставление субсидий бюджетным, автономным учреждениям и иным некоммерческим организациям</v>
      </c>
      <c r="B752" s="145">
        <v>805</v>
      </c>
      <c r="C752" s="8" t="s">
        <v>195</v>
      </c>
      <c r="D752" s="8" t="s">
        <v>219</v>
      </c>
      <c r="E752" s="145" t="s">
        <v>462</v>
      </c>
      <c r="F752" s="145">
        <v>600</v>
      </c>
      <c r="G752" s="69">
        <f>G753+G755</f>
        <v>40374.400000000001</v>
      </c>
      <c r="H752" s="64"/>
      <c r="I752" s="69">
        <f t="shared" si="167"/>
        <v>40374.400000000001</v>
      </c>
      <c r="J752" s="64">
        <f>J753+J755</f>
        <v>-6491.2999999999993</v>
      </c>
      <c r="K752" s="85">
        <f t="shared" si="163"/>
        <v>33883.100000000006</v>
      </c>
      <c r="L752" s="85">
        <f>L753+L755</f>
        <v>0</v>
      </c>
      <c r="M752" s="85">
        <f t="shared" si="171"/>
        <v>33883.100000000006</v>
      </c>
      <c r="N752" s="85">
        <f>N753+N755</f>
        <v>5000</v>
      </c>
      <c r="O752" s="85">
        <f t="shared" si="172"/>
        <v>38883.100000000006</v>
      </c>
      <c r="P752" s="85">
        <f>P753+P755</f>
        <v>0</v>
      </c>
      <c r="Q752" s="85">
        <f t="shared" si="165"/>
        <v>38883.100000000006</v>
      </c>
      <c r="R752" s="85">
        <f>R753+R755</f>
        <v>0</v>
      </c>
      <c r="S752" s="85">
        <f t="shared" si="160"/>
        <v>38883.100000000006</v>
      </c>
      <c r="T752" s="85">
        <f>T753+T755</f>
        <v>2723.1</v>
      </c>
      <c r="U752" s="85">
        <f t="shared" si="169"/>
        <v>41606.200000000004</v>
      </c>
    </row>
    <row r="753" spans="1:22">
      <c r="A753" s="61" t="str">
        <f t="shared" ca="1" si="173"/>
        <v>Субсидии бюджетным учреждениям</v>
      </c>
      <c r="B753" s="145">
        <v>805</v>
      </c>
      <c r="C753" s="8" t="s">
        <v>195</v>
      </c>
      <c r="D753" s="8" t="s">
        <v>219</v>
      </c>
      <c r="E753" s="145" t="s">
        <v>462</v>
      </c>
      <c r="F753" s="145">
        <v>610</v>
      </c>
      <c r="G753" s="69">
        <f>G754</f>
        <v>36781.300000000003</v>
      </c>
      <c r="H753" s="69">
        <f>H754</f>
        <v>0</v>
      </c>
      <c r="I753" s="69">
        <f t="shared" si="167"/>
        <v>36781.300000000003</v>
      </c>
      <c r="J753" s="69">
        <f>J754</f>
        <v>-6591.2999999999993</v>
      </c>
      <c r="K753" s="85">
        <f t="shared" si="163"/>
        <v>30190.000000000004</v>
      </c>
      <c r="L753" s="13">
        <f>L754</f>
        <v>0</v>
      </c>
      <c r="M753" s="85">
        <f t="shared" si="171"/>
        <v>30190.000000000004</v>
      </c>
      <c r="N753" s="13">
        <f>N754</f>
        <v>5000</v>
      </c>
      <c r="O753" s="85">
        <f t="shared" si="172"/>
        <v>35190</v>
      </c>
      <c r="P753" s="13">
        <f>P754</f>
        <v>0</v>
      </c>
      <c r="Q753" s="85">
        <f t="shared" si="165"/>
        <v>35190</v>
      </c>
      <c r="R753" s="13">
        <f>R754</f>
        <v>2297.6</v>
      </c>
      <c r="S753" s="85">
        <f t="shared" si="160"/>
        <v>37487.599999999999</v>
      </c>
      <c r="T753" s="13">
        <f>T754</f>
        <v>2608.1</v>
      </c>
      <c r="U753" s="85">
        <f t="shared" si="169"/>
        <v>40095.699999999997</v>
      </c>
    </row>
    <row r="754" spans="1:22">
      <c r="A754" s="61" t="str">
        <f t="shared" ca="1" si="173"/>
        <v>Субсидии бюджетным учреждениям на иные цели</v>
      </c>
      <c r="B754" s="145">
        <v>805</v>
      </c>
      <c r="C754" s="8" t="s">
        <v>195</v>
      </c>
      <c r="D754" s="8" t="s">
        <v>219</v>
      </c>
      <c r="E754" s="145" t="s">
        <v>462</v>
      </c>
      <c r="F754" s="145">
        <v>612</v>
      </c>
      <c r="G754" s="69">
        <v>36781.300000000003</v>
      </c>
      <c r="H754" s="64"/>
      <c r="I754" s="69">
        <f t="shared" si="167"/>
        <v>36781.300000000003</v>
      </c>
      <c r="J754" s="64">
        <f>424.7+3948.4-10964.4</f>
        <v>-6591.2999999999993</v>
      </c>
      <c r="K754" s="85">
        <f t="shared" si="163"/>
        <v>30190.000000000004</v>
      </c>
      <c r="L754" s="85"/>
      <c r="M754" s="85">
        <f t="shared" si="171"/>
        <v>30190.000000000004</v>
      </c>
      <c r="N754" s="85">
        <v>5000</v>
      </c>
      <c r="O754" s="85">
        <f t="shared" si="172"/>
        <v>35190</v>
      </c>
      <c r="P754" s="85"/>
      <c r="Q754" s="85">
        <f t="shared" si="165"/>
        <v>35190</v>
      </c>
      <c r="R754" s="85">
        <v>2297.6</v>
      </c>
      <c r="S754" s="85">
        <f t="shared" si="160"/>
        <v>37487.599999999999</v>
      </c>
      <c r="T754" s="85">
        <v>2608.1</v>
      </c>
      <c r="U754" s="85">
        <f t="shared" si="169"/>
        <v>40095.699999999997</v>
      </c>
    </row>
    <row r="755" spans="1:22">
      <c r="A755" s="61" t="str">
        <f t="shared" ca="1" si="173"/>
        <v>Субсидии автономным учреждениям</v>
      </c>
      <c r="B755" s="145">
        <v>805</v>
      </c>
      <c r="C755" s="8" t="s">
        <v>195</v>
      </c>
      <c r="D755" s="8" t="s">
        <v>219</v>
      </c>
      <c r="E755" s="145" t="s">
        <v>462</v>
      </c>
      <c r="F755" s="145">
        <v>620</v>
      </c>
      <c r="G755" s="69">
        <f>G756</f>
        <v>3593.1</v>
      </c>
      <c r="H755" s="69">
        <f>H756</f>
        <v>0</v>
      </c>
      <c r="I755" s="69">
        <f t="shared" si="167"/>
        <v>3593.1</v>
      </c>
      <c r="J755" s="69">
        <f>J756</f>
        <v>100</v>
      </c>
      <c r="K755" s="85">
        <f t="shared" si="163"/>
        <v>3693.1</v>
      </c>
      <c r="L755" s="13">
        <f>L756</f>
        <v>0</v>
      </c>
      <c r="M755" s="85">
        <f t="shared" si="171"/>
        <v>3693.1</v>
      </c>
      <c r="N755" s="13">
        <f>N756</f>
        <v>0</v>
      </c>
      <c r="O755" s="85">
        <f t="shared" si="172"/>
        <v>3693.1</v>
      </c>
      <c r="P755" s="13">
        <f>P756</f>
        <v>0</v>
      </c>
      <c r="Q755" s="85">
        <f t="shared" si="165"/>
        <v>3693.1</v>
      </c>
      <c r="R755" s="13">
        <f>R756</f>
        <v>-2297.6</v>
      </c>
      <c r="S755" s="85">
        <f t="shared" si="160"/>
        <v>1395.5</v>
      </c>
      <c r="T755" s="13">
        <f>T756</f>
        <v>115</v>
      </c>
      <c r="U755" s="85">
        <f t="shared" si="169"/>
        <v>1510.5</v>
      </c>
    </row>
    <row r="756" spans="1:22">
      <c r="A756" s="61" t="str">
        <f t="shared" ca="1" si="173"/>
        <v>Субсидии автономным учреждениям на иные цели</v>
      </c>
      <c r="B756" s="145">
        <v>805</v>
      </c>
      <c r="C756" s="8" t="s">
        <v>195</v>
      </c>
      <c r="D756" s="8" t="s">
        <v>219</v>
      </c>
      <c r="E756" s="145" t="s">
        <v>462</v>
      </c>
      <c r="F756" s="145">
        <v>622</v>
      </c>
      <c r="G756" s="69">
        <v>3593.1</v>
      </c>
      <c r="H756" s="69"/>
      <c r="I756" s="69">
        <f t="shared" si="167"/>
        <v>3593.1</v>
      </c>
      <c r="J756" s="69">
        <v>100</v>
      </c>
      <c r="K756" s="85">
        <f t="shared" si="163"/>
        <v>3693.1</v>
      </c>
      <c r="L756" s="13"/>
      <c r="M756" s="85">
        <f t="shared" si="171"/>
        <v>3693.1</v>
      </c>
      <c r="N756" s="13"/>
      <c r="O756" s="85">
        <f t="shared" si="172"/>
        <v>3693.1</v>
      </c>
      <c r="P756" s="13"/>
      <c r="Q756" s="85">
        <f t="shared" si="165"/>
        <v>3693.1</v>
      </c>
      <c r="R756" s="13">
        <v>-2297.6</v>
      </c>
      <c r="S756" s="85">
        <f t="shared" si="160"/>
        <v>1395.5</v>
      </c>
      <c r="T756" s="13">
        <v>115</v>
      </c>
      <c r="U756" s="85">
        <f t="shared" si="169"/>
        <v>1510.5</v>
      </c>
    </row>
    <row r="757" spans="1:22" ht="33">
      <c r="A757" s="61" t="str">
        <f ca="1">IF(ISERROR(MATCH(E757,Код_КЦСР,0)),"",INDIRECT(ADDRESS(MATCH(E757,Код_КЦСР,0)+1,2,,,"КЦСР")))</f>
        <v>Муниципальная программа «Охрана окружающей среды» на 2013-2022 годы</v>
      </c>
      <c r="B757" s="145">
        <v>805</v>
      </c>
      <c r="C757" s="8" t="s">
        <v>195</v>
      </c>
      <c r="D757" s="8" t="s">
        <v>219</v>
      </c>
      <c r="E757" s="145" t="s">
        <v>539</v>
      </c>
      <c r="F757" s="145"/>
      <c r="G757" s="69">
        <f>G758+G762</f>
        <v>495</v>
      </c>
      <c r="H757" s="69">
        <f>H758+H762</f>
        <v>0</v>
      </c>
      <c r="I757" s="69">
        <f t="shared" si="167"/>
        <v>495</v>
      </c>
      <c r="J757" s="69">
        <f>J758+J762</f>
        <v>0</v>
      </c>
      <c r="K757" s="85">
        <f t="shared" si="163"/>
        <v>495</v>
      </c>
      <c r="L757" s="13">
        <f>L758+L762</f>
        <v>0</v>
      </c>
      <c r="M757" s="85">
        <f t="shared" si="171"/>
        <v>495</v>
      </c>
      <c r="N757" s="13">
        <f>N758+N762</f>
        <v>0</v>
      </c>
      <c r="O757" s="85">
        <f t="shared" si="172"/>
        <v>495</v>
      </c>
      <c r="P757" s="13">
        <f>P758+P762</f>
        <v>0</v>
      </c>
      <c r="Q757" s="85">
        <f t="shared" si="165"/>
        <v>495</v>
      </c>
      <c r="R757" s="13">
        <f>R758+R762</f>
        <v>0</v>
      </c>
      <c r="S757" s="85">
        <f t="shared" si="160"/>
        <v>495</v>
      </c>
      <c r="T757" s="13">
        <f>T758+T762</f>
        <v>0</v>
      </c>
      <c r="U757" s="85">
        <f t="shared" si="169"/>
        <v>495</v>
      </c>
    </row>
    <row r="758" spans="1:22" ht="33">
      <c r="A758" s="61" t="str">
        <f ca="1">IF(ISERROR(MATCH(E758,Код_КЦСР,0)),"",INDIRECT(ADDRESS(MATCH(E758,Код_КЦСР,0)+1,2,,,"КЦСР")))</f>
        <v>Организация мероприятий по экологическому образованию и воспитанию населения</v>
      </c>
      <c r="B758" s="145">
        <v>805</v>
      </c>
      <c r="C758" s="8" t="s">
        <v>195</v>
      </c>
      <c r="D758" s="8" t="s">
        <v>219</v>
      </c>
      <c r="E758" s="145" t="s">
        <v>543</v>
      </c>
      <c r="F758" s="145"/>
      <c r="G758" s="69">
        <f t="shared" ref="G758:T760" si="174">G759</f>
        <v>465</v>
      </c>
      <c r="H758" s="69">
        <f t="shared" si="174"/>
        <v>0</v>
      </c>
      <c r="I758" s="69">
        <f t="shared" si="167"/>
        <v>465</v>
      </c>
      <c r="J758" s="69">
        <f t="shared" si="174"/>
        <v>0</v>
      </c>
      <c r="K758" s="85">
        <f t="shared" si="163"/>
        <v>465</v>
      </c>
      <c r="L758" s="13">
        <f t="shared" si="174"/>
        <v>0</v>
      </c>
      <c r="M758" s="85">
        <f t="shared" si="171"/>
        <v>465</v>
      </c>
      <c r="N758" s="13">
        <f t="shared" si="174"/>
        <v>0</v>
      </c>
      <c r="O758" s="85">
        <f t="shared" si="172"/>
        <v>465</v>
      </c>
      <c r="P758" s="13">
        <f t="shared" si="174"/>
        <v>0</v>
      </c>
      <c r="Q758" s="85">
        <f t="shared" si="165"/>
        <v>465</v>
      </c>
      <c r="R758" s="13">
        <f t="shared" si="174"/>
        <v>0</v>
      </c>
      <c r="S758" s="85">
        <f t="shared" si="160"/>
        <v>465</v>
      </c>
      <c r="T758" s="13">
        <f t="shared" si="174"/>
        <v>0</v>
      </c>
      <c r="U758" s="85">
        <f t="shared" si="169"/>
        <v>465</v>
      </c>
    </row>
    <row r="759" spans="1:22" ht="33">
      <c r="A759" s="61" t="str">
        <f ca="1">IF(ISERROR(MATCH(F759,Код_КВР,0)),"",INDIRECT(ADDRESS(MATCH(F759,Код_КВР,0)+1,2,,,"КВР")))</f>
        <v>Предоставление субсидий бюджетным, автономным учреждениям и иным некоммерческим организациям</v>
      </c>
      <c r="B759" s="145">
        <v>805</v>
      </c>
      <c r="C759" s="8" t="s">
        <v>195</v>
      </c>
      <c r="D759" s="8" t="s">
        <v>219</v>
      </c>
      <c r="E759" s="145" t="s">
        <v>543</v>
      </c>
      <c r="F759" s="145">
        <v>600</v>
      </c>
      <c r="G759" s="69">
        <f t="shared" si="174"/>
        <v>465</v>
      </c>
      <c r="H759" s="69">
        <f t="shared" si="174"/>
        <v>0</v>
      </c>
      <c r="I759" s="69">
        <f t="shared" si="167"/>
        <v>465</v>
      </c>
      <c r="J759" s="69">
        <f t="shared" si="174"/>
        <v>0</v>
      </c>
      <c r="K759" s="85">
        <f t="shared" si="163"/>
        <v>465</v>
      </c>
      <c r="L759" s="13">
        <f t="shared" si="174"/>
        <v>0</v>
      </c>
      <c r="M759" s="85">
        <f t="shared" si="171"/>
        <v>465</v>
      </c>
      <c r="N759" s="13">
        <f t="shared" si="174"/>
        <v>0</v>
      </c>
      <c r="O759" s="85">
        <f t="shared" si="172"/>
        <v>465</v>
      </c>
      <c r="P759" s="13">
        <f t="shared" si="174"/>
        <v>0</v>
      </c>
      <c r="Q759" s="85">
        <f t="shared" si="165"/>
        <v>465</v>
      </c>
      <c r="R759" s="13">
        <f t="shared" si="174"/>
        <v>0</v>
      </c>
      <c r="S759" s="85">
        <f t="shared" si="160"/>
        <v>465</v>
      </c>
      <c r="T759" s="13">
        <f t="shared" si="174"/>
        <v>0</v>
      </c>
      <c r="U759" s="85">
        <f t="shared" si="169"/>
        <v>465</v>
      </c>
    </row>
    <row r="760" spans="1:22">
      <c r="A760" s="61" t="str">
        <f ca="1">IF(ISERROR(MATCH(F760,Код_КВР,0)),"",INDIRECT(ADDRESS(MATCH(F760,Код_КВР,0)+1,2,,,"КВР")))</f>
        <v>Субсидии бюджетным учреждениям</v>
      </c>
      <c r="B760" s="145">
        <v>805</v>
      </c>
      <c r="C760" s="8" t="s">
        <v>195</v>
      </c>
      <c r="D760" s="8" t="s">
        <v>219</v>
      </c>
      <c r="E760" s="145" t="s">
        <v>543</v>
      </c>
      <c r="F760" s="145">
        <v>610</v>
      </c>
      <c r="G760" s="69">
        <f t="shared" si="174"/>
        <v>465</v>
      </c>
      <c r="H760" s="69">
        <f t="shared" si="174"/>
        <v>0</v>
      </c>
      <c r="I760" s="69">
        <f t="shared" si="167"/>
        <v>465</v>
      </c>
      <c r="J760" s="69">
        <f t="shared" si="174"/>
        <v>0</v>
      </c>
      <c r="K760" s="85">
        <f t="shared" si="163"/>
        <v>465</v>
      </c>
      <c r="L760" s="13">
        <f t="shared" si="174"/>
        <v>0</v>
      </c>
      <c r="M760" s="85">
        <f t="shared" si="171"/>
        <v>465</v>
      </c>
      <c r="N760" s="13">
        <f t="shared" si="174"/>
        <v>0</v>
      </c>
      <c r="O760" s="85">
        <f t="shared" si="172"/>
        <v>465</v>
      </c>
      <c r="P760" s="13">
        <f t="shared" si="174"/>
        <v>0</v>
      </c>
      <c r="Q760" s="85">
        <f t="shared" si="165"/>
        <v>465</v>
      </c>
      <c r="R760" s="13">
        <f t="shared" si="174"/>
        <v>0</v>
      </c>
      <c r="S760" s="85">
        <f t="shared" si="160"/>
        <v>465</v>
      </c>
      <c r="T760" s="13">
        <f t="shared" si="174"/>
        <v>0</v>
      </c>
      <c r="U760" s="85">
        <f t="shared" si="169"/>
        <v>465</v>
      </c>
    </row>
    <row r="761" spans="1:22">
      <c r="A761" s="61" t="str">
        <f ca="1">IF(ISERROR(MATCH(F761,Код_КВР,0)),"",INDIRECT(ADDRESS(MATCH(F761,Код_КВР,0)+1,2,,,"КВР")))</f>
        <v>Субсидии бюджетным учреждениям на иные цели</v>
      </c>
      <c r="B761" s="145">
        <v>805</v>
      </c>
      <c r="C761" s="8" t="s">
        <v>195</v>
      </c>
      <c r="D761" s="8" t="s">
        <v>219</v>
      </c>
      <c r="E761" s="145" t="s">
        <v>543</v>
      </c>
      <c r="F761" s="145">
        <v>612</v>
      </c>
      <c r="G761" s="69">
        <v>465</v>
      </c>
      <c r="H761" s="64"/>
      <c r="I761" s="69">
        <f t="shared" si="167"/>
        <v>465</v>
      </c>
      <c r="J761" s="64"/>
      <c r="K761" s="85">
        <f t="shared" si="163"/>
        <v>465</v>
      </c>
      <c r="L761" s="85"/>
      <c r="M761" s="85">
        <f t="shared" si="171"/>
        <v>465</v>
      </c>
      <c r="N761" s="85"/>
      <c r="O761" s="85">
        <f t="shared" si="172"/>
        <v>465</v>
      </c>
      <c r="P761" s="85"/>
      <c r="Q761" s="85">
        <f t="shared" si="165"/>
        <v>465</v>
      </c>
      <c r="R761" s="85"/>
      <c r="S761" s="85">
        <f t="shared" si="160"/>
        <v>465</v>
      </c>
      <c r="T761" s="85"/>
      <c r="U761" s="85">
        <f t="shared" si="169"/>
        <v>465</v>
      </c>
    </row>
    <row r="762" spans="1:22" ht="18.75" customHeight="1">
      <c r="A762" s="61" t="str">
        <f ca="1">IF(ISERROR(MATCH(E762,Код_КЦСР,0)),"",INDIRECT(ADDRESS(MATCH(E762,Код_КЦСР,0)+1,2,,,"КЦСР")))</f>
        <v>Оборудование основных помещений МБДОУ бактерицидными лампами</v>
      </c>
      <c r="B762" s="145">
        <v>805</v>
      </c>
      <c r="C762" s="8" t="s">
        <v>195</v>
      </c>
      <c r="D762" s="8" t="s">
        <v>219</v>
      </c>
      <c r="E762" s="145" t="s">
        <v>545</v>
      </c>
      <c r="F762" s="145"/>
      <c r="G762" s="69">
        <f t="shared" ref="G762:T764" si="175">G763</f>
        <v>30</v>
      </c>
      <c r="H762" s="69">
        <f t="shared" si="175"/>
        <v>0</v>
      </c>
      <c r="I762" s="69">
        <f t="shared" si="167"/>
        <v>30</v>
      </c>
      <c r="J762" s="69">
        <f t="shared" si="175"/>
        <v>0</v>
      </c>
      <c r="K762" s="85">
        <f t="shared" si="163"/>
        <v>30</v>
      </c>
      <c r="L762" s="13">
        <f t="shared" si="175"/>
        <v>0</v>
      </c>
      <c r="M762" s="85">
        <f t="shared" si="171"/>
        <v>30</v>
      </c>
      <c r="N762" s="13">
        <f t="shared" si="175"/>
        <v>0</v>
      </c>
      <c r="O762" s="85">
        <f t="shared" si="172"/>
        <v>30</v>
      </c>
      <c r="P762" s="13">
        <f t="shared" si="175"/>
        <v>0</v>
      </c>
      <c r="Q762" s="85">
        <f t="shared" si="165"/>
        <v>30</v>
      </c>
      <c r="R762" s="13">
        <f t="shared" si="175"/>
        <v>0</v>
      </c>
      <c r="S762" s="85">
        <f t="shared" si="160"/>
        <v>30</v>
      </c>
      <c r="T762" s="13">
        <f t="shared" si="175"/>
        <v>0</v>
      </c>
      <c r="U762" s="85">
        <f t="shared" si="169"/>
        <v>30</v>
      </c>
    </row>
    <row r="763" spans="1:22" ht="33">
      <c r="A763" s="61" t="str">
        <f ca="1">IF(ISERROR(MATCH(F763,Код_КВР,0)),"",INDIRECT(ADDRESS(MATCH(F763,Код_КВР,0)+1,2,,,"КВР")))</f>
        <v>Предоставление субсидий бюджетным, автономным учреждениям и иным некоммерческим организациям</v>
      </c>
      <c r="B763" s="145">
        <v>805</v>
      </c>
      <c r="C763" s="8" t="s">
        <v>195</v>
      </c>
      <c r="D763" s="8" t="s">
        <v>219</v>
      </c>
      <c r="E763" s="145" t="s">
        <v>545</v>
      </c>
      <c r="F763" s="145">
        <v>600</v>
      </c>
      <c r="G763" s="69">
        <f t="shared" si="175"/>
        <v>30</v>
      </c>
      <c r="H763" s="69">
        <f t="shared" si="175"/>
        <v>0</v>
      </c>
      <c r="I763" s="69">
        <f t="shared" si="167"/>
        <v>30</v>
      </c>
      <c r="J763" s="69">
        <f t="shared" si="175"/>
        <v>0</v>
      </c>
      <c r="K763" s="85">
        <f t="shared" si="163"/>
        <v>30</v>
      </c>
      <c r="L763" s="13">
        <f t="shared" si="175"/>
        <v>0</v>
      </c>
      <c r="M763" s="85">
        <f t="shared" si="171"/>
        <v>30</v>
      </c>
      <c r="N763" s="13">
        <f t="shared" si="175"/>
        <v>0</v>
      </c>
      <c r="O763" s="85">
        <f t="shared" si="172"/>
        <v>30</v>
      </c>
      <c r="P763" s="13">
        <f t="shared" si="175"/>
        <v>0</v>
      </c>
      <c r="Q763" s="85">
        <f t="shared" si="165"/>
        <v>30</v>
      </c>
      <c r="R763" s="13">
        <f t="shared" si="175"/>
        <v>0</v>
      </c>
      <c r="S763" s="85">
        <f t="shared" si="160"/>
        <v>30</v>
      </c>
      <c r="T763" s="13">
        <f t="shared" si="175"/>
        <v>0</v>
      </c>
      <c r="U763" s="85">
        <f t="shared" si="169"/>
        <v>30</v>
      </c>
    </row>
    <row r="764" spans="1:22">
      <c r="A764" s="61" t="str">
        <f ca="1">IF(ISERROR(MATCH(F764,Код_КВР,0)),"",INDIRECT(ADDRESS(MATCH(F764,Код_КВР,0)+1,2,,,"КВР")))</f>
        <v>Субсидии бюджетным учреждениям</v>
      </c>
      <c r="B764" s="145">
        <v>805</v>
      </c>
      <c r="C764" s="8" t="s">
        <v>195</v>
      </c>
      <c r="D764" s="8" t="s">
        <v>219</v>
      </c>
      <c r="E764" s="145" t="s">
        <v>545</v>
      </c>
      <c r="F764" s="145">
        <v>610</v>
      </c>
      <c r="G764" s="69">
        <f t="shared" si="175"/>
        <v>30</v>
      </c>
      <c r="H764" s="69">
        <f t="shared" si="175"/>
        <v>0</v>
      </c>
      <c r="I764" s="69">
        <f t="shared" si="167"/>
        <v>30</v>
      </c>
      <c r="J764" s="69">
        <f t="shared" si="175"/>
        <v>0</v>
      </c>
      <c r="K764" s="85">
        <f t="shared" si="163"/>
        <v>30</v>
      </c>
      <c r="L764" s="13">
        <f t="shared" si="175"/>
        <v>0</v>
      </c>
      <c r="M764" s="85">
        <f t="shared" si="171"/>
        <v>30</v>
      </c>
      <c r="N764" s="13">
        <f t="shared" si="175"/>
        <v>0</v>
      </c>
      <c r="O764" s="85">
        <f t="shared" si="172"/>
        <v>30</v>
      </c>
      <c r="P764" s="13">
        <f t="shared" si="175"/>
        <v>0</v>
      </c>
      <c r="Q764" s="85">
        <f t="shared" si="165"/>
        <v>30</v>
      </c>
      <c r="R764" s="13">
        <f t="shared" si="175"/>
        <v>0</v>
      </c>
      <c r="S764" s="85">
        <f t="shared" si="160"/>
        <v>30</v>
      </c>
      <c r="T764" s="13">
        <f t="shared" si="175"/>
        <v>0</v>
      </c>
      <c r="U764" s="85">
        <f t="shared" si="169"/>
        <v>30</v>
      </c>
    </row>
    <row r="765" spans="1:22">
      <c r="A765" s="61" t="str">
        <f ca="1">IF(ISERROR(MATCH(F765,Код_КВР,0)),"",INDIRECT(ADDRESS(MATCH(F765,Код_КВР,0)+1,2,,,"КВР")))</f>
        <v>Субсидии бюджетным учреждениям на иные цели</v>
      </c>
      <c r="B765" s="145">
        <v>805</v>
      </c>
      <c r="C765" s="8" t="s">
        <v>195</v>
      </c>
      <c r="D765" s="8" t="s">
        <v>219</v>
      </c>
      <c r="E765" s="145" t="s">
        <v>545</v>
      </c>
      <c r="F765" s="145">
        <v>612</v>
      </c>
      <c r="G765" s="69">
        <v>30</v>
      </c>
      <c r="H765" s="64"/>
      <c r="I765" s="69">
        <f t="shared" si="167"/>
        <v>30</v>
      </c>
      <c r="J765" s="64"/>
      <c r="K765" s="85">
        <f t="shared" si="163"/>
        <v>30</v>
      </c>
      <c r="L765" s="85"/>
      <c r="M765" s="85">
        <f t="shared" si="171"/>
        <v>30</v>
      </c>
      <c r="N765" s="85"/>
      <c r="O765" s="85">
        <f t="shared" si="172"/>
        <v>30</v>
      </c>
      <c r="P765" s="85"/>
      <c r="Q765" s="85">
        <f t="shared" si="165"/>
        <v>30</v>
      </c>
      <c r="R765" s="85"/>
      <c r="S765" s="85">
        <f t="shared" si="160"/>
        <v>30</v>
      </c>
      <c r="T765" s="85"/>
      <c r="U765" s="85">
        <f t="shared" si="169"/>
        <v>30</v>
      </c>
    </row>
    <row r="766" spans="1:22">
      <c r="A766" s="61" t="str">
        <f ca="1">IF(ISERROR(MATCH(E766,Код_КЦСР,0)),"",INDIRECT(ADDRESS(MATCH(E766,Код_КЦСР,0)+1,2,,,"КЦСР")))</f>
        <v>Муниципальная программа «Здоровый город» на 2014-2022 годы</v>
      </c>
      <c r="B766" s="145">
        <v>805</v>
      </c>
      <c r="C766" s="8" t="s">
        <v>195</v>
      </c>
      <c r="D766" s="8" t="s">
        <v>219</v>
      </c>
      <c r="E766" s="145" t="s">
        <v>570</v>
      </c>
      <c r="F766" s="145"/>
      <c r="G766" s="69">
        <f>G767+G776</f>
        <v>480</v>
      </c>
      <c r="H766" s="64"/>
      <c r="I766" s="69">
        <f t="shared" si="167"/>
        <v>480</v>
      </c>
      <c r="J766" s="64"/>
      <c r="K766" s="85">
        <f t="shared" si="163"/>
        <v>480</v>
      </c>
      <c r="L766" s="85"/>
      <c r="M766" s="85">
        <f t="shared" si="171"/>
        <v>480</v>
      </c>
      <c r="N766" s="85"/>
      <c r="O766" s="85">
        <f t="shared" si="172"/>
        <v>480</v>
      </c>
      <c r="P766" s="85"/>
      <c r="Q766" s="85">
        <f t="shared" si="165"/>
        <v>480</v>
      </c>
      <c r="R766" s="85"/>
      <c r="S766" s="85">
        <f t="shared" si="160"/>
        <v>480</v>
      </c>
      <c r="T766" s="85"/>
      <c r="U766" s="85">
        <f t="shared" si="169"/>
        <v>480</v>
      </c>
    </row>
    <row r="767" spans="1:22">
      <c r="A767" s="61" t="str">
        <f ca="1">IF(ISERROR(MATCH(E767,Код_КЦСР,0)),"",INDIRECT(ADDRESS(MATCH(E767,Код_КЦСР,0)+1,2,,,"КЦСР")))</f>
        <v>Сохранение и укрепление здоровья детей и подростков</v>
      </c>
      <c r="B767" s="145">
        <v>805</v>
      </c>
      <c r="C767" s="8" t="s">
        <v>195</v>
      </c>
      <c r="D767" s="8" t="s">
        <v>219</v>
      </c>
      <c r="E767" s="145" t="s">
        <v>573</v>
      </c>
      <c r="F767" s="145"/>
      <c r="G767" s="69">
        <f>G768+G771</f>
        <v>480</v>
      </c>
      <c r="H767" s="69">
        <f>H768+H771</f>
        <v>0</v>
      </c>
      <c r="I767" s="69">
        <f t="shared" si="167"/>
        <v>480</v>
      </c>
      <c r="J767" s="69">
        <f>J768+J771</f>
        <v>0</v>
      </c>
      <c r="K767" s="85">
        <f t="shared" si="163"/>
        <v>480</v>
      </c>
      <c r="L767" s="13">
        <f>L768+L771</f>
        <v>0</v>
      </c>
      <c r="M767" s="85">
        <f t="shared" si="171"/>
        <v>480</v>
      </c>
      <c r="N767" s="13">
        <f>N768+N771</f>
        <v>0</v>
      </c>
      <c r="O767" s="85">
        <f t="shared" si="172"/>
        <v>480</v>
      </c>
      <c r="P767" s="13">
        <f>P768+P771</f>
        <v>0</v>
      </c>
      <c r="Q767" s="85">
        <f t="shared" si="165"/>
        <v>480</v>
      </c>
      <c r="R767" s="13">
        <f>R768+R771</f>
        <v>0</v>
      </c>
      <c r="S767" s="85">
        <f t="shared" si="160"/>
        <v>480</v>
      </c>
      <c r="T767" s="13">
        <f>T768+T771</f>
        <v>0</v>
      </c>
      <c r="U767" s="85">
        <f t="shared" si="169"/>
        <v>480</v>
      </c>
    </row>
    <row r="768" spans="1:22" hidden="1">
      <c r="A768" s="61" t="str">
        <f t="shared" ref="A768:A775" ca="1" si="176">IF(ISERROR(MATCH(F768,Код_КВР,0)),"",INDIRECT(ADDRESS(MATCH(F768,Код_КВР,0)+1,2,,,"КВР")))</f>
        <v>Закупка товаров, работ и услуг для муниципальных нужд</v>
      </c>
      <c r="B768" s="145">
        <v>805</v>
      </c>
      <c r="C768" s="8" t="s">
        <v>195</v>
      </c>
      <c r="D768" s="8" t="s">
        <v>219</v>
      </c>
      <c r="E768" s="145" t="s">
        <v>573</v>
      </c>
      <c r="F768" s="145">
        <v>200</v>
      </c>
      <c r="G768" s="69">
        <f>G769</f>
        <v>0</v>
      </c>
      <c r="H768" s="69">
        <f>H769</f>
        <v>0</v>
      </c>
      <c r="I768" s="69">
        <f t="shared" si="167"/>
        <v>0</v>
      </c>
      <c r="J768" s="69">
        <f>J769</f>
        <v>0</v>
      </c>
      <c r="K768" s="85">
        <f t="shared" si="163"/>
        <v>0</v>
      </c>
      <c r="L768" s="13">
        <f>L769</f>
        <v>0</v>
      </c>
      <c r="M768" s="85">
        <f t="shared" si="171"/>
        <v>0</v>
      </c>
      <c r="N768" s="13">
        <f>N769</f>
        <v>0</v>
      </c>
      <c r="O768" s="85">
        <f t="shared" si="172"/>
        <v>0</v>
      </c>
      <c r="P768" s="13">
        <f>P769</f>
        <v>0</v>
      </c>
      <c r="Q768" s="85">
        <f t="shared" si="165"/>
        <v>0</v>
      </c>
      <c r="R768" s="13">
        <f>R769</f>
        <v>0</v>
      </c>
      <c r="S768" s="85">
        <f t="shared" si="160"/>
        <v>0</v>
      </c>
      <c r="T768" s="13">
        <f>T769</f>
        <v>0</v>
      </c>
      <c r="U768" s="85">
        <f t="shared" si="169"/>
        <v>0</v>
      </c>
      <c r="V768" s="155" t="s">
        <v>715</v>
      </c>
    </row>
    <row r="769" spans="1:22" ht="33" hidden="1">
      <c r="A769" s="61" t="str">
        <f t="shared" ca="1" si="176"/>
        <v>Иные закупки товаров, работ и услуг для обеспечения муниципальных нужд</v>
      </c>
      <c r="B769" s="145">
        <v>805</v>
      </c>
      <c r="C769" s="8" t="s">
        <v>195</v>
      </c>
      <c r="D769" s="8" t="s">
        <v>219</v>
      </c>
      <c r="E769" s="145" t="s">
        <v>573</v>
      </c>
      <c r="F769" s="145">
        <v>240</v>
      </c>
      <c r="G769" s="69">
        <f>G770</f>
        <v>0</v>
      </c>
      <c r="H769" s="69">
        <f>H770</f>
        <v>0</v>
      </c>
      <c r="I769" s="69">
        <f t="shared" si="167"/>
        <v>0</v>
      </c>
      <c r="J769" s="69">
        <f>J770</f>
        <v>0</v>
      </c>
      <c r="K769" s="85">
        <f t="shared" si="163"/>
        <v>0</v>
      </c>
      <c r="L769" s="13">
        <f>L770</f>
        <v>0</v>
      </c>
      <c r="M769" s="85">
        <f t="shared" si="171"/>
        <v>0</v>
      </c>
      <c r="N769" s="13">
        <f>N770</f>
        <v>0</v>
      </c>
      <c r="O769" s="85">
        <f t="shared" si="172"/>
        <v>0</v>
      </c>
      <c r="P769" s="13">
        <f>P770</f>
        <v>0</v>
      </c>
      <c r="Q769" s="85">
        <f t="shared" si="165"/>
        <v>0</v>
      </c>
      <c r="R769" s="13">
        <f>R770</f>
        <v>0</v>
      </c>
      <c r="S769" s="85">
        <f t="shared" si="160"/>
        <v>0</v>
      </c>
      <c r="T769" s="13">
        <f>T770</f>
        <v>0</v>
      </c>
      <c r="U769" s="85">
        <f t="shared" si="169"/>
        <v>0</v>
      </c>
      <c r="V769" s="155" t="s">
        <v>715</v>
      </c>
    </row>
    <row r="770" spans="1:22" ht="33" hidden="1">
      <c r="A770" s="61" t="str">
        <f t="shared" ca="1" si="176"/>
        <v xml:space="preserve">Прочая закупка товаров, работ и услуг для обеспечения муниципальных нужд         </v>
      </c>
      <c r="B770" s="145">
        <v>805</v>
      </c>
      <c r="C770" s="8" t="s">
        <v>195</v>
      </c>
      <c r="D770" s="8" t="s">
        <v>219</v>
      </c>
      <c r="E770" s="145" t="s">
        <v>573</v>
      </c>
      <c r="F770" s="145">
        <v>244</v>
      </c>
      <c r="G770" s="69"/>
      <c r="H770" s="69"/>
      <c r="I770" s="69">
        <f t="shared" si="167"/>
        <v>0</v>
      </c>
      <c r="J770" s="69"/>
      <c r="K770" s="85">
        <f t="shared" si="163"/>
        <v>0</v>
      </c>
      <c r="L770" s="13"/>
      <c r="M770" s="85">
        <f t="shared" si="171"/>
        <v>0</v>
      </c>
      <c r="N770" s="13"/>
      <c r="O770" s="85">
        <f t="shared" si="172"/>
        <v>0</v>
      </c>
      <c r="P770" s="13"/>
      <c r="Q770" s="85">
        <f t="shared" si="165"/>
        <v>0</v>
      </c>
      <c r="R770" s="13"/>
      <c r="S770" s="85">
        <f t="shared" si="160"/>
        <v>0</v>
      </c>
      <c r="T770" s="13"/>
      <c r="U770" s="85">
        <f t="shared" si="169"/>
        <v>0</v>
      </c>
      <c r="V770" s="155" t="s">
        <v>715</v>
      </c>
    </row>
    <row r="771" spans="1:22" ht="33">
      <c r="A771" s="61" t="str">
        <f t="shared" ca="1" si="176"/>
        <v>Предоставление субсидий бюджетным, автономным учреждениям и иным некоммерческим организациям</v>
      </c>
      <c r="B771" s="145">
        <v>805</v>
      </c>
      <c r="C771" s="8" t="s">
        <v>195</v>
      </c>
      <c r="D771" s="8" t="s">
        <v>219</v>
      </c>
      <c r="E771" s="145" t="s">
        <v>573</v>
      </c>
      <c r="F771" s="145">
        <v>600</v>
      </c>
      <c r="G771" s="69">
        <f>G772+G774</f>
        <v>480</v>
      </c>
      <c r="H771" s="69">
        <f>H772+H774</f>
        <v>0</v>
      </c>
      <c r="I771" s="69">
        <f t="shared" si="167"/>
        <v>480</v>
      </c>
      <c r="J771" s="69">
        <f>J772+J774</f>
        <v>0</v>
      </c>
      <c r="K771" s="85">
        <f t="shared" si="163"/>
        <v>480</v>
      </c>
      <c r="L771" s="13">
        <f>L772+L774</f>
        <v>0</v>
      </c>
      <c r="M771" s="85">
        <f t="shared" si="171"/>
        <v>480</v>
      </c>
      <c r="N771" s="13">
        <f>N772+N774</f>
        <v>0</v>
      </c>
      <c r="O771" s="85">
        <f t="shared" si="172"/>
        <v>480</v>
      </c>
      <c r="P771" s="13">
        <f>P772+P774</f>
        <v>0</v>
      </c>
      <c r="Q771" s="85">
        <f t="shared" si="165"/>
        <v>480</v>
      </c>
      <c r="R771" s="13">
        <f>R772+R774</f>
        <v>0</v>
      </c>
      <c r="S771" s="85">
        <f t="shared" si="160"/>
        <v>480</v>
      </c>
      <c r="T771" s="13">
        <f>T772+T774</f>
        <v>0</v>
      </c>
      <c r="U771" s="85">
        <f t="shared" si="169"/>
        <v>480</v>
      </c>
    </row>
    <row r="772" spans="1:22">
      <c r="A772" s="61" t="str">
        <f t="shared" ca="1" si="176"/>
        <v>Субсидии бюджетным учреждениям</v>
      </c>
      <c r="B772" s="145">
        <v>805</v>
      </c>
      <c r="C772" s="8" t="s">
        <v>195</v>
      </c>
      <c r="D772" s="8" t="s">
        <v>219</v>
      </c>
      <c r="E772" s="145" t="s">
        <v>573</v>
      </c>
      <c r="F772" s="145">
        <v>610</v>
      </c>
      <c r="G772" s="69">
        <f>G773</f>
        <v>463.4</v>
      </c>
      <c r="H772" s="69">
        <f>H773</f>
        <v>0</v>
      </c>
      <c r="I772" s="69">
        <f t="shared" si="167"/>
        <v>463.4</v>
      </c>
      <c r="J772" s="69">
        <f>J773</f>
        <v>0</v>
      </c>
      <c r="K772" s="85">
        <f t="shared" si="163"/>
        <v>463.4</v>
      </c>
      <c r="L772" s="13">
        <f>L773</f>
        <v>0</v>
      </c>
      <c r="M772" s="85">
        <f t="shared" si="171"/>
        <v>463.4</v>
      </c>
      <c r="N772" s="13">
        <f>N773</f>
        <v>0</v>
      </c>
      <c r="O772" s="85">
        <f t="shared" si="172"/>
        <v>463.4</v>
      </c>
      <c r="P772" s="13">
        <f>P773</f>
        <v>0</v>
      </c>
      <c r="Q772" s="85">
        <f t="shared" si="165"/>
        <v>463.4</v>
      </c>
      <c r="R772" s="13">
        <f>R773</f>
        <v>0</v>
      </c>
      <c r="S772" s="85">
        <f t="shared" ref="S772:S835" si="177">Q772+R772</f>
        <v>463.4</v>
      </c>
      <c r="T772" s="13">
        <f>T773</f>
        <v>0</v>
      </c>
      <c r="U772" s="85">
        <f t="shared" si="169"/>
        <v>463.4</v>
      </c>
    </row>
    <row r="773" spans="1:22">
      <c r="A773" s="61" t="str">
        <f t="shared" ca="1" si="176"/>
        <v>Субсидии бюджетным учреждениям на иные цели</v>
      </c>
      <c r="B773" s="145">
        <v>805</v>
      </c>
      <c r="C773" s="8" t="s">
        <v>195</v>
      </c>
      <c r="D773" s="8" t="s">
        <v>219</v>
      </c>
      <c r="E773" s="145" t="s">
        <v>573</v>
      </c>
      <c r="F773" s="145">
        <v>612</v>
      </c>
      <c r="G773" s="69">
        <v>463.4</v>
      </c>
      <c r="H773" s="64"/>
      <c r="I773" s="69">
        <f t="shared" si="167"/>
        <v>463.4</v>
      </c>
      <c r="J773" s="64"/>
      <c r="K773" s="85">
        <f t="shared" si="163"/>
        <v>463.4</v>
      </c>
      <c r="L773" s="85"/>
      <c r="M773" s="85">
        <f t="shared" si="171"/>
        <v>463.4</v>
      </c>
      <c r="N773" s="85"/>
      <c r="O773" s="85">
        <f t="shared" si="172"/>
        <v>463.4</v>
      </c>
      <c r="P773" s="85"/>
      <c r="Q773" s="85">
        <f t="shared" si="165"/>
        <v>463.4</v>
      </c>
      <c r="R773" s="85"/>
      <c r="S773" s="85">
        <f t="shared" si="177"/>
        <v>463.4</v>
      </c>
      <c r="T773" s="85"/>
      <c r="U773" s="85">
        <f t="shared" si="169"/>
        <v>463.4</v>
      </c>
    </row>
    <row r="774" spans="1:22">
      <c r="A774" s="61" t="str">
        <f t="shared" ca="1" si="176"/>
        <v>Субсидии автономным учреждениям</v>
      </c>
      <c r="B774" s="145">
        <v>805</v>
      </c>
      <c r="C774" s="8" t="s">
        <v>195</v>
      </c>
      <c r="D774" s="8" t="s">
        <v>219</v>
      </c>
      <c r="E774" s="145" t="s">
        <v>573</v>
      </c>
      <c r="F774" s="145">
        <v>620</v>
      </c>
      <c r="G774" s="69">
        <f>G775</f>
        <v>16.600000000000001</v>
      </c>
      <c r="H774" s="69">
        <f>H775</f>
        <v>0</v>
      </c>
      <c r="I774" s="69">
        <f t="shared" si="167"/>
        <v>16.600000000000001</v>
      </c>
      <c r="J774" s="69">
        <f>J775</f>
        <v>0</v>
      </c>
      <c r="K774" s="85">
        <f t="shared" si="163"/>
        <v>16.600000000000001</v>
      </c>
      <c r="L774" s="13">
        <f>L775</f>
        <v>0</v>
      </c>
      <c r="M774" s="85">
        <f t="shared" si="171"/>
        <v>16.600000000000001</v>
      </c>
      <c r="N774" s="13">
        <f>N775</f>
        <v>0</v>
      </c>
      <c r="O774" s="85">
        <f t="shared" si="172"/>
        <v>16.600000000000001</v>
      </c>
      <c r="P774" s="13">
        <f>P775</f>
        <v>0</v>
      </c>
      <c r="Q774" s="85">
        <f t="shared" si="165"/>
        <v>16.600000000000001</v>
      </c>
      <c r="R774" s="13">
        <f>R775</f>
        <v>0</v>
      </c>
      <c r="S774" s="85">
        <f t="shared" si="177"/>
        <v>16.600000000000001</v>
      </c>
      <c r="T774" s="13">
        <f>T775</f>
        <v>0</v>
      </c>
      <c r="U774" s="85">
        <f t="shared" si="169"/>
        <v>16.600000000000001</v>
      </c>
    </row>
    <row r="775" spans="1:22">
      <c r="A775" s="61" t="str">
        <f t="shared" ca="1" si="176"/>
        <v>Субсидии автономным учреждениям на иные цели</v>
      </c>
      <c r="B775" s="145">
        <v>805</v>
      </c>
      <c r="C775" s="8" t="s">
        <v>195</v>
      </c>
      <c r="D775" s="8" t="s">
        <v>219</v>
      </c>
      <c r="E775" s="145" t="s">
        <v>573</v>
      </c>
      <c r="F775" s="145">
        <v>622</v>
      </c>
      <c r="G775" s="69">
        <v>16.600000000000001</v>
      </c>
      <c r="H775" s="64"/>
      <c r="I775" s="69">
        <f t="shared" si="167"/>
        <v>16.600000000000001</v>
      </c>
      <c r="J775" s="64"/>
      <c r="K775" s="85">
        <f t="shared" si="163"/>
        <v>16.600000000000001</v>
      </c>
      <c r="L775" s="85"/>
      <c r="M775" s="85">
        <f t="shared" si="171"/>
        <v>16.600000000000001</v>
      </c>
      <c r="N775" s="85"/>
      <c r="O775" s="85">
        <f t="shared" si="172"/>
        <v>16.600000000000001</v>
      </c>
      <c r="P775" s="85"/>
      <c r="Q775" s="85">
        <f t="shared" si="165"/>
        <v>16.600000000000001</v>
      </c>
      <c r="R775" s="85"/>
      <c r="S775" s="85">
        <f t="shared" si="177"/>
        <v>16.600000000000001</v>
      </c>
      <c r="T775" s="85"/>
      <c r="U775" s="85">
        <f t="shared" si="169"/>
        <v>16.600000000000001</v>
      </c>
    </row>
    <row r="776" spans="1:22" hidden="1">
      <c r="A776" s="61" t="str">
        <f ca="1">IF(ISERROR(MATCH(E776,Код_КЦСР,0)),"",INDIRECT(ADDRESS(MATCH(E776,Код_КЦСР,0)+1,2,,,"КЦСР")))</f>
        <v>Пропаганда здорового образа жизни</v>
      </c>
      <c r="B776" s="145">
        <v>805</v>
      </c>
      <c r="C776" s="8" t="s">
        <v>195</v>
      </c>
      <c r="D776" s="8" t="s">
        <v>219</v>
      </c>
      <c r="E776" s="145" t="s">
        <v>575</v>
      </c>
      <c r="F776" s="145"/>
      <c r="G776" s="69">
        <f>G777</f>
        <v>0</v>
      </c>
      <c r="H776" s="64"/>
      <c r="I776" s="69">
        <f t="shared" si="167"/>
        <v>0</v>
      </c>
      <c r="J776" s="64"/>
      <c r="K776" s="85">
        <f t="shared" si="163"/>
        <v>0</v>
      </c>
      <c r="L776" s="85"/>
      <c r="M776" s="85">
        <f t="shared" si="171"/>
        <v>0</v>
      </c>
      <c r="N776" s="85"/>
      <c r="O776" s="85">
        <f t="shared" si="172"/>
        <v>0</v>
      </c>
      <c r="P776" s="85"/>
      <c r="Q776" s="85">
        <f t="shared" si="165"/>
        <v>0</v>
      </c>
      <c r="R776" s="85"/>
      <c r="S776" s="85">
        <f t="shared" si="177"/>
        <v>0</v>
      </c>
      <c r="T776" s="85"/>
      <c r="U776" s="85">
        <f t="shared" si="169"/>
        <v>0</v>
      </c>
      <c r="V776" s="155" t="s">
        <v>715</v>
      </c>
    </row>
    <row r="777" spans="1:22" hidden="1">
      <c r="A777" s="61" t="str">
        <f ca="1">IF(ISERROR(MATCH(F777,Код_КВР,0)),"",INDIRECT(ADDRESS(MATCH(F777,Код_КВР,0)+1,2,,,"КВР")))</f>
        <v>Закупка товаров, работ и услуг для муниципальных нужд</v>
      </c>
      <c r="B777" s="145">
        <v>805</v>
      </c>
      <c r="C777" s="8" t="s">
        <v>195</v>
      </c>
      <c r="D777" s="8" t="s">
        <v>219</v>
      </c>
      <c r="E777" s="145" t="s">
        <v>575</v>
      </c>
      <c r="F777" s="145">
        <v>200</v>
      </c>
      <c r="G777" s="69">
        <f>G778</f>
        <v>0</v>
      </c>
      <c r="H777" s="64"/>
      <c r="I777" s="69">
        <f t="shared" si="167"/>
        <v>0</v>
      </c>
      <c r="J777" s="64"/>
      <c r="K777" s="85">
        <f t="shared" si="163"/>
        <v>0</v>
      </c>
      <c r="L777" s="85"/>
      <c r="M777" s="85">
        <f t="shared" si="171"/>
        <v>0</v>
      </c>
      <c r="N777" s="85"/>
      <c r="O777" s="85">
        <f t="shared" si="172"/>
        <v>0</v>
      </c>
      <c r="P777" s="85"/>
      <c r="Q777" s="85">
        <f t="shared" si="165"/>
        <v>0</v>
      </c>
      <c r="R777" s="85"/>
      <c r="S777" s="85">
        <f t="shared" si="177"/>
        <v>0</v>
      </c>
      <c r="T777" s="85"/>
      <c r="U777" s="85">
        <f t="shared" si="169"/>
        <v>0</v>
      </c>
      <c r="V777" s="155" t="s">
        <v>715</v>
      </c>
    </row>
    <row r="778" spans="1:22" ht="33" hidden="1">
      <c r="A778" s="61" t="str">
        <f ca="1">IF(ISERROR(MATCH(F778,Код_КВР,0)),"",INDIRECT(ADDRESS(MATCH(F778,Код_КВР,0)+1,2,,,"КВР")))</f>
        <v>Иные закупки товаров, работ и услуг для обеспечения муниципальных нужд</v>
      </c>
      <c r="B778" s="145">
        <v>805</v>
      </c>
      <c r="C778" s="8" t="s">
        <v>195</v>
      </c>
      <c r="D778" s="8" t="s">
        <v>219</v>
      </c>
      <c r="E778" s="145" t="s">
        <v>575</v>
      </c>
      <c r="F778" s="145">
        <v>240</v>
      </c>
      <c r="G778" s="69">
        <f>G779</f>
        <v>0</v>
      </c>
      <c r="H778" s="64"/>
      <c r="I778" s="69">
        <f t="shared" si="167"/>
        <v>0</v>
      </c>
      <c r="J778" s="64"/>
      <c r="K778" s="85">
        <f t="shared" si="163"/>
        <v>0</v>
      </c>
      <c r="L778" s="85"/>
      <c r="M778" s="85">
        <f t="shared" si="171"/>
        <v>0</v>
      </c>
      <c r="N778" s="85"/>
      <c r="O778" s="85">
        <f t="shared" si="172"/>
        <v>0</v>
      </c>
      <c r="P778" s="85"/>
      <c r="Q778" s="85">
        <f t="shared" ref="Q778:Q841" si="178">O778+P778</f>
        <v>0</v>
      </c>
      <c r="R778" s="85"/>
      <c r="S778" s="85">
        <f t="shared" si="177"/>
        <v>0</v>
      </c>
      <c r="T778" s="85"/>
      <c r="U778" s="85">
        <f t="shared" si="169"/>
        <v>0</v>
      </c>
      <c r="V778" s="155" t="s">
        <v>715</v>
      </c>
    </row>
    <row r="779" spans="1:22" ht="33" hidden="1">
      <c r="A779" s="61" t="str">
        <f ca="1">IF(ISERROR(MATCH(F779,Код_КВР,0)),"",INDIRECT(ADDRESS(MATCH(F779,Код_КВР,0)+1,2,,,"КВР")))</f>
        <v xml:space="preserve">Прочая закупка товаров, работ и услуг для обеспечения муниципальных нужд         </v>
      </c>
      <c r="B779" s="145">
        <v>805</v>
      </c>
      <c r="C779" s="8" t="s">
        <v>195</v>
      </c>
      <c r="D779" s="8" t="s">
        <v>219</v>
      </c>
      <c r="E779" s="145" t="s">
        <v>575</v>
      </c>
      <c r="F779" s="145">
        <v>244</v>
      </c>
      <c r="G779" s="69"/>
      <c r="H779" s="64"/>
      <c r="I779" s="69">
        <f t="shared" si="167"/>
        <v>0</v>
      </c>
      <c r="J779" s="64"/>
      <c r="K779" s="85">
        <f t="shared" si="163"/>
        <v>0</v>
      </c>
      <c r="L779" s="85"/>
      <c r="M779" s="85">
        <f t="shared" si="171"/>
        <v>0</v>
      </c>
      <c r="N779" s="85"/>
      <c r="O779" s="85">
        <f t="shared" si="172"/>
        <v>0</v>
      </c>
      <c r="P779" s="85"/>
      <c r="Q779" s="85">
        <f t="shared" si="178"/>
        <v>0</v>
      </c>
      <c r="R779" s="85"/>
      <c r="S779" s="85">
        <f t="shared" si="177"/>
        <v>0</v>
      </c>
      <c r="T779" s="85"/>
      <c r="U779" s="85">
        <f t="shared" si="169"/>
        <v>0</v>
      </c>
      <c r="V779" s="155" t="s">
        <v>715</v>
      </c>
    </row>
    <row r="780" spans="1:22" ht="39.75" customHeight="1">
      <c r="A780" s="61" t="str">
        <f ca="1">IF(ISERROR(MATCH(E780,Код_КЦСР,0)),"",INDIRECT(ADDRESS(MATCH(E780,Код_КЦСР,0)+1,2,,,"КЦСР")))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780" s="145">
        <v>805</v>
      </c>
      <c r="C780" s="8" t="s">
        <v>195</v>
      </c>
      <c r="D780" s="8" t="s">
        <v>219</v>
      </c>
      <c r="E780" s="145" t="s">
        <v>79</v>
      </c>
      <c r="F780" s="145"/>
      <c r="G780" s="69">
        <f>G781</f>
        <v>3673.6</v>
      </c>
      <c r="H780" s="69">
        <f>H781</f>
        <v>0</v>
      </c>
      <c r="I780" s="69">
        <f t="shared" si="167"/>
        <v>3673.6</v>
      </c>
      <c r="J780" s="69">
        <f>J781</f>
        <v>0</v>
      </c>
      <c r="K780" s="85">
        <f t="shared" ref="K780:K847" si="179">I780+J780</f>
        <v>3673.6</v>
      </c>
      <c r="L780" s="13">
        <f>L781</f>
        <v>0</v>
      </c>
      <c r="M780" s="85">
        <f t="shared" si="171"/>
        <v>3673.6</v>
      </c>
      <c r="N780" s="13">
        <f>N781</f>
        <v>0</v>
      </c>
      <c r="O780" s="85">
        <f t="shared" si="172"/>
        <v>3673.6</v>
      </c>
      <c r="P780" s="13">
        <f>P781</f>
        <v>0</v>
      </c>
      <c r="Q780" s="85">
        <f t="shared" si="178"/>
        <v>3673.6</v>
      </c>
      <c r="R780" s="13">
        <f>R781</f>
        <v>0</v>
      </c>
      <c r="S780" s="85">
        <f t="shared" si="177"/>
        <v>3673.6</v>
      </c>
      <c r="T780" s="13">
        <f>T781</f>
        <v>0</v>
      </c>
      <c r="U780" s="85">
        <f t="shared" si="169"/>
        <v>3673.6</v>
      </c>
    </row>
    <row r="781" spans="1:22" ht="18.75" customHeight="1">
      <c r="A781" s="61" t="str">
        <f ca="1">IF(ISERROR(MATCH(E781,Код_КЦСР,0)),"",INDIRECT(ADDRESS(MATCH(E781,Код_КЦСР,0)+1,2,,,"КЦСР")))</f>
        <v>Обеспечение пожарной безопасности муниципальных учреждений города</v>
      </c>
      <c r="B781" s="145">
        <v>805</v>
      </c>
      <c r="C781" s="8" t="s">
        <v>195</v>
      </c>
      <c r="D781" s="8" t="s">
        <v>219</v>
      </c>
      <c r="E781" s="145" t="s">
        <v>81</v>
      </c>
      <c r="F781" s="145"/>
      <c r="G781" s="69">
        <f>G782+G789</f>
        <v>3673.6</v>
      </c>
      <c r="H781" s="69">
        <f>H782+H789</f>
        <v>0</v>
      </c>
      <c r="I781" s="69">
        <f t="shared" si="167"/>
        <v>3673.6</v>
      </c>
      <c r="J781" s="69">
        <f>J782+J789</f>
        <v>0</v>
      </c>
      <c r="K781" s="85">
        <f t="shared" si="179"/>
        <v>3673.6</v>
      </c>
      <c r="L781" s="13">
        <f>L782+L789</f>
        <v>0</v>
      </c>
      <c r="M781" s="85">
        <f t="shared" si="171"/>
        <v>3673.6</v>
      </c>
      <c r="N781" s="13">
        <f>N782+N789</f>
        <v>0</v>
      </c>
      <c r="O781" s="85">
        <f t="shared" si="172"/>
        <v>3673.6</v>
      </c>
      <c r="P781" s="13">
        <f>P782+P789</f>
        <v>0</v>
      </c>
      <c r="Q781" s="85">
        <f t="shared" si="178"/>
        <v>3673.6</v>
      </c>
      <c r="R781" s="13">
        <f>R782+R789</f>
        <v>0</v>
      </c>
      <c r="S781" s="85">
        <f t="shared" si="177"/>
        <v>3673.6</v>
      </c>
      <c r="T781" s="13">
        <f>T782+T789</f>
        <v>0</v>
      </c>
      <c r="U781" s="85">
        <f t="shared" si="169"/>
        <v>3673.6</v>
      </c>
    </row>
    <row r="782" spans="1:22" ht="49.5">
      <c r="A782" s="61" t="str">
        <f ca="1">IF(ISERROR(MATCH(E782,Код_КЦСР,0)),"",INDIRECT(ADDRESS(MATCH(E782,Код_КЦСР,0)+1,2,,,"КЦСР")))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782" s="145">
        <v>805</v>
      </c>
      <c r="C782" s="8" t="s">
        <v>195</v>
      </c>
      <c r="D782" s="8" t="s">
        <v>219</v>
      </c>
      <c r="E782" s="145" t="s">
        <v>83</v>
      </c>
      <c r="F782" s="145"/>
      <c r="G782" s="69">
        <f>G783+G786</f>
        <v>481</v>
      </c>
      <c r="H782" s="69">
        <f>H783+H786</f>
        <v>0</v>
      </c>
      <c r="I782" s="69">
        <f t="shared" si="167"/>
        <v>481</v>
      </c>
      <c r="J782" s="69">
        <f>J783+J786</f>
        <v>0</v>
      </c>
      <c r="K782" s="85">
        <f t="shared" si="179"/>
        <v>481</v>
      </c>
      <c r="L782" s="13">
        <f>L783+L786</f>
        <v>0</v>
      </c>
      <c r="M782" s="85">
        <f t="shared" si="171"/>
        <v>481</v>
      </c>
      <c r="N782" s="13">
        <f>N783+N786</f>
        <v>0</v>
      </c>
      <c r="O782" s="85">
        <f t="shared" si="172"/>
        <v>481</v>
      </c>
      <c r="P782" s="13">
        <f>P783+P786</f>
        <v>0</v>
      </c>
      <c r="Q782" s="85">
        <f t="shared" si="178"/>
        <v>481</v>
      </c>
      <c r="R782" s="13">
        <f>R783+R786</f>
        <v>0</v>
      </c>
      <c r="S782" s="85">
        <f t="shared" si="177"/>
        <v>481</v>
      </c>
      <c r="T782" s="13">
        <f>T783+T786</f>
        <v>0</v>
      </c>
      <c r="U782" s="85">
        <f t="shared" si="169"/>
        <v>481</v>
      </c>
    </row>
    <row r="783" spans="1:22" hidden="1">
      <c r="A783" s="61" t="str">
        <f t="shared" ref="A783:A788" ca="1" si="180">IF(ISERROR(MATCH(F783,Код_КВР,0)),"",INDIRECT(ADDRESS(MATCH(F783,Код_КВР,0)+1,2,,,"КВР")))</f>
        <v>Закупка товаров, работ и услуг для муниципальных нужд</v>
      </c>
      <c r="B783" s="145">
        <v>805</v>
      </c>
      <c r="C783" s="8" t="s">
        <v>195</v>
      </c>
      <c r="D783" s="8" t="s">
        <v>219</v>
      </c>
      <c r="E783" s="145" t="s">
        <v>83</v>
      </c>
      <c r="F783" s="145">
        <v>200</v>
      </c>
      <c r="G783" s="69">
        <f>G784</f>
        <v>0</v>
      </c>
      <c r="H783" s="69">
        <f>H784</f>
        <v>0</v>
      </c>
      <c r="I783" s="69">
        <f t="shared" si="167"/>
        <v>0</v>
      </c>
      <c r="J783" s="69">
        <f>J784</f>
        <v>0</v>
      </c>
      <c r="K783" s="85">
        <f t="shared" si="179"/>
        <v>0</v>
      </c>
      <c r="L783" s="13">
        <f>L784</f>
        <v>0</v>
      </c>
      <c r="M783" s="85">
        <f t="shared" si="171"/>
        <v>0</v>
      </c>
      <c r="N783" s="13">
        <f>N784</f>
        <v>0</v>
      </c>
      <c r="O783" s="85">
        <f t="shared" si="172"/>
        <v>0</v>
      </c>
      <c r="P783" s="13">
        <f>P784</f>
        <v>0</v>
      </c>
      <c r="Q783" s="85">
        <f t="shared" si="178"/>
        <v>0</v>
      </c>
      <c r="R783" s="13">
        <f>R784</f>
        <v>0</v>
      </c>
      <c r="S783" s="85">
        <f t="shared" si="177"/>
        <v>0</v>
      </c>
      <c r="T783" s="13">
        <f>T784</f>
        <v>0</v>
      </c>
      <c r="U783" s="85">
        <f t="shared" si="169"/>
        <v>0</v>
      </c>
      <c r="V783" s="155" t="s">
        <v>715</v>
      </c>
    </row>
    <row r="784" spans="1:22" ht="33" hidden="1">
      <c r="A784" s="61" t="str">
        <f t="shared" ca="1" si="180"/>
        <v>Иные закупки товаров, работ и услуг для обеспечения муниципальных нужд</v>
      </c>
      <c r="B784" s="145">
        <v>805</v>
      </c>
      <c r="C784" s="8" t="s">
        <v>195</v>
      </c>
      <c r="D784" s="8" t="s">
        <v>219</v>
      </c>
      <c r="E784" s="145" t="s">
        <v>83</v>
      </c>
      <c r="F784" s="145">
        <v>240</v>
      </c>
      <c r="G784" s="69">
        <f>G785</f>
        <v>0</v>
      </c>
      <c r="H784" s="69">
        <f>H785</f>
        <v>0</v>
      </c>
      <c r="I784" s="69">
        <f t="shared" si="167"/>
        <v>0</v>
      </c>
      <c r="J784" s="69">
        <f>J785</f>
        <v>0</v>
      </c>
      <c r="K784" s="85">
        <f t="shared" si="179"/>
        <v>0</v>
      </c>
      <c r="L784" s="13">
        <f>L785</f>
        <v>0</v>
      </c>
      <c r="M784" s="85">
        <f t="shared" si="171"/>
        <v>0</v>
      </c>
      <c r="N784" s="13">
        <f>N785</f>
        <v>0</v>
      </c>
      <c r="O784" s="85">
        <f t="shared" si="172"/>
        <v>0</v>
      </c>
      <c r="P784" s="13">
        <f>P785</f>
        <v>0</v>
      </c>
      <c r="Q784" s="85">
        <f t="shared" si="178"/>
        <v>0</v>
      </c>
      <c r="R784" s="13">
        <f>R785</f>
        <v>0</v>
      </c>
      <c r="S784" s="85">
        <f t="shared" si="177"/>
        <v>0</v>
      </c>
      <c r="T784" s="13">
        <f>T785</f>
        <v>0</v>
      </c>
      <c r="U784" s="85">
        <f t="shared" si="169"/>
        <v>0</v>
      </c>
      <c r="V784" s="155" t="s">
        <v>715</v>
      </c>
    </row>
    <row r="785" spans="1:22" ht="33" hidden="1">
      <c r="A785" s="61" t="str">
        <f t="shared" ca="1" si="180"/>
        <v xml:space="preserve">Прочая закупка товаров, работ и услуг для обеспечения муниципальных нужд         </v>
      </c>
      <c r="B785" s="145">
        <v>805</v>
      </c>
      <c r="C785" s="8" t="s">
        <v>195</v>
      </c>
      <c r="D785" s="8" t="s">
        <v>219</v>
      </c>
      <c r="E785" s="145" t="s">
        <v>83</v>
      </c>
      <c r="F785" s="145">
        <v>244</v>
      </c>
      <c r="G785" s="69"/>
      <c r="H785" s="69"/>
      <c r="I785" s="69">
        <f t="shared" si="167"/>
        <v>0</v>
      </c>
      <c r="J785" s="69"/>
      <c r="K785" s="85">
        <f t="shared" si="179"/>
        <v>0</v>
      </c>
      <c r="L785" s="13"/>
      <c r="M785" s="85">
        <f t="shared" si="171"/>
        <v>0</v>
      </c>
      <c r="N785" s="13"/>
      <c r="O785" s="85">
        <f t="shared" si="172"/>
        <v>0</v>
      </c>
      <c r="P785" s="13"/>
      <c r="Q785" s="85">
        <f t="shared" si="178"/>
        <v>0</v>
      </c>
      <c r="R785" s="13"/>
      <c r="S785" s="85">
        <f t="shared" si="177"/>
        <v>0</v>
      </c>
      <c r="T785" s="13"/>
      <c r="U785" s="85">
        <f t="shared" si="169"/>
        <v>0</v>
      </c>
      <c r="V785" s="155" t="s">
        <v>715</v>
      </c>
    </row>
    <row r="786" spans="1:22" ht="33">
      <c r="A786" s="61" t="str">
        <f t="shared" ca="1" si="180"/>
        <v>Предоставление субсидий бюджетным, автономным учреждениям и иным некоммерческим организациям</v>
      </c>
      <c r="B786" s="145">
        <v>805</v>
      </c>
      <c r="C786" s="8" t="s">
        <v>195</v>
      </c>
      <c r="D786" s="8" t="s">
        <v>219</v>
      </c>
      <c r="E786" s="145" t="s">
        <v>83</v>
      </c>
      <c r="F786" s="145">
        <v>600</v>
      </c>
      <c r="G786" s="69">
        <f>G787</f>
        <v>481</v>
      </c>
      <c r="H786" s="69">
        <f>H787</f>
        <v>0</v>
      </c>
      <c r="I786" s="69">
        <f t="shared" si="167"/>
        <v>481</v>
      </c>
      <c r="J786" s="69">
        <f>J787</f>
        <v>0</v>
      </c>
      <c r="K786" s="85">
        <f t="shared" si="179"/>
        <v>481</v>
      </c>
      <c r="L786" s="13">
        <f>L787</f>
        <v>0</v>
      </c>
      <c r="M786" s="85">
        <f t="shared" si="171"/>
        <v>481</v>
      </c>
      <c r="N786" s="13">
        <f>N787</f>
        <v>0</v>
      </c>
      <c r="O786" s="85">
        <f t="shared" si="172"/>
        <v>481</v>
      </c>
      <c r="P786" s="13">
        <f>P787</f>
        <v>0</v>
      </c>
      <c r="Q786" s="85">
        <f t="shared" si="178"/>
        <v>481</v>
      </c>
      <c r="R786" s="13">
        <f>R787</f>
        <v>0</v>
      </c>
      <c r="S786" s="85">
        <f t="shared" si="177"/>
        <v>481</v>
      </c>
      <c r="T786" s="13">
        <f>T787</f>
        <v>0</v>
      </c>
      <c r="U786" s="85">
        <f t="shared" si="169"/>
        <v>481</v>
      </c>
    </row>
    <row r="787" spans="1:22">
      <c r="A787" s="61" t="str">
        <f t="shared" ca="1" si="180"/>
        <v>Субсидии бюджетным учреждениям</v>
      </c>
      <c r="B787" s="145">
        <v>805</v>
      </c>
      <c r="C787" s="8" t="s">
        <v>195</v>
      </c>
      <c r="D787" s="8" t="s">
        <v>219</v>
      </c>
      <c r="E787" s="145" t="s">
        <v>83</v>
      </c>
      <c r="F787" s="145">
        <v>610</v>
      </c>
      <c r="G787" s="69">
        <f>G788</f>
        <v>481</v>
      </c>
      <c r="H787" s="69">
        <f>H788</f>
        <v>0</v>
      </c>
      <c r="I787" s="69">
        <f t="shared" si="167"/>
        <v>481</v>
      </c>
      <c r="J787" s="69">
        <f>J788</f>
        <v>0</v>
      </c>
      <c r="K787" s="85">
        <f t="shared" si="179"/>
        <v>481</v>
      </c>
      <c r="L787" s="13">
        <f>L788</f>
        <v>0</v>
      </c>
      <c r="M787" s="85">
        <f t="shared" si="171"/>
        <v>481</v>
      </c>
      <c r="N787" s="13">
        <f>N788</f>
        <v>0</v>
      </c>
      <c r="O787" s="85">
        <f t="shared" si="172"/>
        <v>481</v>
      </c>
      <c r="P787" s="13">
        <f>P788</f>
        <v>0</v>
      </c>
      <c r="Q787" s="85">
        <f t="shared" si="178"/>
        <v>481</v>
      </c>
      <c r="R787" s="13">
        <f>R788</f>
        <v>0</v>
      </c>
      <c r="S787" s="85">
        <f t="shared" si="177"/>
        <v>481</v>
      </c>
      <c r="T787" s="13">
        <f>T788</f>
        <v>0</v>
      </c>
      <c r="U787" s="85">
        <f t="shared" si="169"/>
        <v>481</v>
      </c>
    </row>
    <row r="788" spans="1:22">
      <c r="A788" s="61" t="str">
        <f t="shared" ca="1" si="180"/>
        <v>Субсидии бюджетным учреждениям на иные цели</v>
      </c>
      <c r="B788" s="145">
        <v>805</v>
      </c>
      <c r="C788" s="8" t="s">
        <v>195</v>
      </c>
      <c r="D788" s="8" t="s">
        <v>219</v>
      </c>
      <c r="E788" s="145" t="s">
        <v>83</v>
      </c>
      <c r="F788" s="145">
        <v>612</v>
      </c>
      <c r="G788" s="69">
        <v>481</v>
      </c>
      <c r="H788" s="64"/>
      <c r="I788" s="69">
        <f t="shared" si="167"/>
        <v>481</v>
      </c>
      <c r="J788" s="64"/>
      <c r="K788" s="85">
        <f t="shared" si="179"/>
        <v>481</v>
      </c>
      <c r="L788" s="85"/>
      <c r="M788" s="85">
        <f t="shared" si="171"/>
        <v>481</v>
      </c>
      <c r="N788" s="85"/>
      <c r="O788" s="85">
        <f t="shared" si="172"/>
        <v>481</v>
      </c>
      <c r="P788" s="85"/>
      <c r="Q788" s="85">
        <f t="shared" si="178"/>
        <v>481</v>
      </c>
      <c r="R788" s="85"/>
      <c r="S788" s="85">
        <f t="shared" si="177"/>
        <v>481</v>
      </c>
      <c r="T788" s="85"/>
      <c r="U788" s="85">
        <f t="shared" si="169"/>
        <v>481</v>
      </c>
    </row>
    <row r="789" spans="1:22">
      <c r="A789" s="61" t="str">
        <f ca="1">IF(ISERROR(MATCH(E789,Код_КЦСР,0)),"",INDIRECT(ADDRESS(MATCH(E789,Код_КЦСР,0)+1,2,,,"КЦСР")))</f>
        <v>Ремонт и оборудование эвакуационных путей  зданий</v>
      </c>
      <c r="B789" s="145">
        <v>805</v>
      </c>
      <c r="C789" s="8" t="s">
        <v>195</v>
      </c>
      <c r="D789" s="8" t="s">
        <v>219</v>
      </c>
      <c r="E789" s="145" t="s">
        <v>87</v>
      </c>
      <c r="F789" s="145"/>
      <c r="G789" s="69">
        <f>G790</f>
        <v>3192.6</v>
      </c>
      <c r="H789" s="64"/>
      <c r="I789" s="69">
        <f t="shared" si="167"/>
        <v>3192.6</v>
      </c>
      <c r="J789" s="64"/>
      <c r="K789" s="85">
        <f t="shared" si="179"/>
        <v>3192.6</v>
      </c>
      <c r="L789" s="85"/>
      <c r="M789" s="85">
        <f t="shared" si="171"/>
        <v>3192.6</v>
      </c>
      <c r="N789" s="85"/>
      <c r="O789" s="85">
        <f t="shared" si="172"/>
        <v>3192.6</v>
      </c>
      <c r="P789" s="85"/>
      <c r="Q789" s="85">
        <f t="shared" si="178"/>
        <v>3192.6</v>
      </c>
      <c r="R789" s="85"/>
      <c r="S789" s="85">
        <f t="shared" si="177"/>
        <v>3192.6</v>
      </c>
      <c r="T789" s="85"/>
      <c r="U789" s="85">
        <f t="shared" si="169"/>
        <v>3192.6</v>
      </c>
    </row>
    <row r="790" spans="1:22" ht="33">
      <c r="A790" s="61" t="str">
        <f ca="1">IF(ISERROR(MATCH(F790,Код_КВР,0)),"",INDIRECT(ADDRESS(MATCH(F790,Код_КВР,0)+1,2,,,"КВР")))</f>
        <v>Предоставление субсидий бюджетным, автономным учреждениям и иным некоммерческим организациям</v>
      </c>
      <c r="B790" s="145">
        <v>805</v>
      </c>
      <c r="C790" s="8" t="s">
        <v>195</v>
      </c>
      <c r="D790" s="8" t="s">
        <v>219</v>
      </c>
      <c r="E790" s="145" t="s">
        <v>87</v>
      </c>
      <c r="F790" s="145">
        <v>600</v>
      </c>
      <c r="G790" s="69">
        <f>G791</f>
        <v>3192.6</v>
      </c>
      <c r="H790" s="69">
        <f>H791</f>
        <v>0</v>
      </c>
      <c r="I790" s="69">
        <f t="shared" si="167"/>
        <v>3192.6</v>
      </c>
      <c r="J790" s="69">
        <f>J791</f>
        <v>0</v>
      </c>
      <c r="K790" s="85">
        <f t="shared" si="179"/>
        <v>3192.6</v>
      </c>
      <c r="L790" s="13">
        <f>L791</f>
        <v>0</v>
      </c>
      <c r="M790" s="85">
        <f t="shared" si="171"/>
        <v>3192.6</v>
      </c>
      <c r="N790" s="13">
        <f>N791</f>
        <v>0</v>
      </c>
      <c r="O790" s="85">
        <f t="shared" si="172"/>
        <v>3192.6</v>
      </c>
      <c r="P790" s="13">
        <f>P791</f>
        <v>0</v>
      </c>
      <c r="Q790" s="85">
        <f t="shared" si="178"/>
        <v>3192.6</v>
      </c>
      <c r="R790" s="13">
        <f>R791</f>
        <v>0</v>
      </c>
      <c r="S790" s="85">
        <f t="shared" si="177"/>
        <v>3192.6</v>
      </c>
      <c r="T790" s="13">
        <f>T791</f>
        <v>0</v>
      </c>
      <c r="U790" s="85">
        <f t="shared" si="169"/>
        <v>3192.6</v>
      </c>
    </row>
    <row r="791" spans="1:22">
      <c r="A791" s="61" t="str">
        <f ca="1">IF(ISERROR(MATCH(F791,Код_КВР,0)),"",INDIRECT(ADDRESS(MATCH(F791,Код_КВР,0)+1,2,,,"КВР")))</f>
        <v>Субсидии бюджетным учреждениям</v>
      </c>
      <c r="B791" s="145">
        <v>805</v>
      </c>
      <c r="C791" s="8" t="s">
        <v>195</v>
      </c>
      <c r="D791" s="8" t="s">
        <v>219</v>
      </c>
      <c r="E791" s="145" t="s">
        <v>87</v>
      </c>
      <c r="F791" s="145">
        <v>610</v>
      </c>
      <c r="G791" s="69">
        <f>G792</f>
        <v>3192.6</v>
      </c>
      <c r="H791" s="69">
        <f>H792</f>
        <v>0</v>
      </c>
      <c r="I791" s="69">
        <f t="shared" si="167"/>
        <v>3192.6</v>
      </c>
      <c r="J791" s="69">
        <f>J792</f>
        <v>0</v>
      </c>
      <c r="K791" s="85">
        <f t="shared" si="179"/>
        <v>3192.6</v>
      </c>
      <c r="L791" s="13">
        <f>L792</f>
        <v>0</v>
      </c>
      <c r="M791" s="85">
        <f t="shared" si="171"/>
        <v>3192.6</v>
      </c>
      <c r="N791" s="13">
        <f>N792</f>
        <v>0</v>
      </c>
      <c r="O791" s="85">
        <f t="shared" si="172"/>
        <v>3192.6</v>
      </c>
      <c r="P791" s="13">
        <f>P792</f>
        <v>0</v>
      </c>
      <c r="Q791" s="85">
        <f t="shared" si="178"/>
        <v>3192.6</v>
      </c>
      <c r="R791" s="13">
        <f>R792</f>
        <v>0</v>
      </c>
      <c r="S791" s="85">
        <f t="shared" si="177"/>
        <v>3192.6</v>
      </c>
      <c r="T791" s="13">
        <f>T792</f>
        <v>0</v>
      </c>
      <c r="U791" s="85">
        <f t="shared" si="169"/>
        <v>3192.6</v>
      </c>
    </row>
    <row r="792" spans="1:22">
      <c r="A792" s="61" t="str">
        <f ca="1">IF(ISERROR(MATCH(F792,Код_КВР,0)),"",INDIRECT(ADDRESS(MATCH(F792,Код_КВР,0)+1,2,,,"КВР")))</f>
        <v>Субсидии бюджетным учреждениям на иные цели</v>
      </c>
      <c r="B792" s="145">
        <v>805</v>
      </c>
      <c r="C792" s="8" t="s">
        <v>195</v>
      </c>
      <c r="D792" s="8" t="s">
        <v>219</v>
      </c>
      <c r="E792" s="145" t="s">
        <v>87</v>
      </c>
      <c r="F792" s="145">
        <v>612</v>
      </c>
      <c r="G792" s="69">
        <v>3192.6</v>
      </c>
      <c r="H792" s="64"/>
      <c r="I792" s="69">
        <f t="shared" si="167"/>
        <v>3192.6</v>
      </c>
      <c r="J792" s="64"/>
      <c r="K792" s="85">
        <f t="shared" si="179"/>
        <v>3192.6</v>
      </c>
      <c r="L792" s="85"/>
      <c r="M792" s="85">
        <f t="shared" si="171"/>
        <v>3192.6</v>
      </c>
      <c r="N792" s="85"/>
      <c r="O792" s="85">
        <f t="shared" si="172"/>
        <v>3192.6</v>
      </c>
      <c r="P792" s="85"/>
      <c r="Q792" s="85">
        <f t="shared" si="178"/>
        <v>3192.6</v>
      </c>
      <c r="R792" s="85"/>
      <c r="S792" s="85">
        <f t="shared" si="177"/>
        <v>3192.6</v>
      </c>
      <c r="T792" s="85"/>
      <c r="U792" s="85">
        <f t="shared" si="169"/>
        <v>3192.6</v>
      </c>
    </row>
    <row r="793" spans="1:22" ht="33">
      <c r="A793" s="61" t="str">
        <f ca="1">IF(ISERROR(MATCH(E793,Код_КЦСР,0)),"",INDIRECT(ADDRESS(MATCH(E793,Код_КЦСР,0)+1,2,,,"КЦСР")))</f>
        <v>Муниципальная программа «Обеспечение законности, правопорядка и общественной безопасности в городе Череповце» на 2014-2020 годы</v>
      </c>
      <c r="B793" s="145">
        <v>805</v>
      </c>
      <c r="C793" s="8" t="s">
        <v>195</v>
      </c>
      <c r="D793" s="8" t="s">
        <v>219</v>
      </c>
      <c r="E793" s="145" t="s">
        <v>150</v>
      </c>
      <c r="F793" s="145"/>
      <c r="G793" s="69">
        <f t="shared" ref="G793:T797" si="181">G794</f>
        <v>30</v>
      </c>
      <c r="H793" s="69">
        <f t="shared" si="181"/>
        <v>0</v>
      </c>
      <c r="I793" s="69">
        <f t="shared" si="167"/>
        <v>30</v>
      </c>
      <c r="J793" s="69">
        <f t="shared" si="181"/>
        <v>0</v>
      </c>
      <c r="K793" s="85">
        <f t="shared" si="179"/>
        <v>30</v>
      </c>
      <c r="L793" s="13">
        <f t="shared" si="181"/>
        <v>0</v>
      </c>
      <c r="M793" s="85">
        <f t="shared" si="171"/>
        <v>30</v>
      </c>
      <c r="N793" s="13">
        <f t="shared" si="181"/>
        <v>0</v>
      </c>
      <c r="O793" s="85">
        <f t="shared" si="172"/>
        <v>30</v>
      </c>
      <c r="P793" s="13">
        <f t="shared" si="181"/>
        <v>0</v>
      </c>
      <c r="Q793" s="85">
        <f t="shared" si="178"/>
        <v>30</v>
      </c>
      <c r="R793" s="13">
        <f t="shared" si="181"/>
        <v>0</v>
      </c>
      <c r="S793" s="85">
        <f t="shared" si="177"/>
        <v>30</v>
      </c>
      <c r="T793" s="13">
        <f t="shared" si="181"/>
        <v>0</v>
      </c>
      <c r="U793" s="85">
        <f t="shared" si="169"/>
        <v>30</v>
      </c>
    </row>
    <row r="794" spans="1:22">
      <c r="A794" s="61" t="str">
        <f ca="1">IF(ISERROR(MATCH(E794,Код_КЦСР,0)),"",INDIRECT(ADDRESS(MATCH(E794,Код_КЦСР,0)+1,2,,,"КЦСР")))</f>
        <v>Повышение безопасности дорожного движения в городе Череповце</v>
      </c>
      <c r="B794" s="145">
        <v>805</v>
      </c>
      <c r="C794" s="8" t="s">
        <v>195</v>
      </c>
      <c r="D794" s="8" t="s">
        <v>219</v>
      </c>
      <c r="E794" s="145" t="s">
        <v>156</v>
      </c>
      <c r="F794" s="145"/>
      <c r="G794" s="69">
        <f t="shared" si="181"/>
        <v>30</v>
      </c>
      <c r="H794" s="69">
        <f t="shared" si="181"/>
        <v>0</v>
      </c>
      <c r="I794" s="69">
        <f t="shared" si="167"/>
        <v>30</v>
      </c>
      <c r="J794" s="69">
        <f t="shared" si="181"/>
        <v>0</v>
      </c>
      <c r="K794" s="85">
        <f t="shared" si="179"/>
        <v>30</v>
      </c>
      <c r="L794" s="13">
        <f t="shared" si="181"/>
        <v>0</v>
      </c>
      <c r="M794" s="85">
        <f t="shared" si="171"/>
        <v>30</v>
      </c>
      <c r="N794" s="13">
        <f t="shared" si="181"/>
        <v>0</v>
      </c>
      <c r="O794" s="85">
        <f t="shared" si="172"/>
        <v>30</v>
      </c>
      <c r="P794" s="13">
        <f t="shared" si="181"/>
        <v>0</v>
      </c>
      <c r="Q794" s="85">
        <f t="shared" si="178"/>
        <v>30</v>
      </c>
      <c r="R794" s="13">
        <f t="shared" si="181"/>
        <v>0</v>
      </c>
      <c r="S794" s="85">
        <f t="shared" si="177"/>
        <v>30</v>
      </c>
      <c r="T794" s="13">
        <f t="shared" si="181"/>
        <v>0</v>
      </c>
      <c r="U794" s="85">
        <f t="shared" si="169"/>
        <v>30</v>
      </c>
    </row>
    <row r="795" spans="1:22" ht="49.5">
      <c r="A795" s="61" t="str">
        <f ca="1">IF(ISERROR(MATCH(E795,Код_КЦСР,0)),"",INDIRECT(ADDRESS(MATCH(E795,Код_КЦСР,0)+1,2,,,"КЦСР")))</f>
        <v>Совершенствование материально-технической базы образовательных учреждений, реализующих образовательные программы с изучением правил дорожного движения</v>
      </c>
      <c r="B795" s="145">
        <v>805</v>
      </c>
      <c r="C795" s="8" t="s">
        <v>195</v>
      </c>
      <c r="D795" s="8" t="s">
        <v>219</v>
      </c>
      <c r="E795" s="145" t="s">
        <v>158</v>
      </c>
      <c r="F795" s="145"/>
      <c r="G795" s="69">
        <f t="shared" si="181"/>
        <v>30</v>
      </c>
      <c r="H795" s="69">
        <f t="shared" si="181"/>
        <v>0</v>
      </c>
      <c r="I795" s="69">
        <f t="shared" ref="I795:I865" si="182">G795+H795</f>
        <v>30</v>
      </c>
      <c r="J795" s="69">
        <f t="shared" si="181"/>
        <v>0</v>
      </c>
      <c r="K795" s="85">
        <f t="shared" si="179"/>
        <v>30</v>
      </c>
      <c r="L795" s="13">
        <f t="shared" si="181"/>
        <v>0</v>
      </c>
      <c r="M795" s="85">
        <f t="shared" si="171"/>
        <v>30</v>
      </c>
      <c r="N795" s="13">
        <f t="shared" si="181"/>
        <v>0</v>
      </c>
      <c r="O795" s="85">
        <f t="shared" si="172"/>
        <v>30</v>
      </c>
      <c r="P795" s="13">
        <f t="shared" si="181"/>
        <v>0</v>
      </c>
      <c r="Q795" s="85">
        <f t="shared" si="178"/>
        <v>30</v>
      </c>
      <c r="R795" s="13">
        <f t="shared" si="181"/>
        <v>0</v>
      </c>
      <c r="S795" s="85">
        <f t="shared" si="177"/>
        <v>30</v>
      </c>
      <c r="T795" s="13">
        <f t="shared" si="181"/>
        <v>0</v>
      </c>
      <c r="U795" s="85">
        <f t="shared" si="169"/>
        <v>30</v>
      </c>
    </row>
    <row r="796" spans="1:22" ht="33">
      <c r="A796" s="61" t="str">
        <f ca="1">IF(ISERROR(MATCH(F796,Код_КВР,0)),"",INDIRECT(ADDRESS(MATCH(F796,Код_КВР,0)+1,2,,,"КВР")))</f>
        <v>Предоставление субсидий бюджетным, автономным учреждениям и иным некоммерческим организациям</v>
      </c>
      <c r="B796" s="145">
        <v>805</v>
      </c>
      <c r="C796" s="8" t="s">
        <v>195</v>
      </c>
      <c r="D796" s="8" t="s">
        <v>219</v>
      </c>
      <c r="E796" s="145" t="s">
        <v>158</v>
      </c>
      <c r="F796" s="145">
        <v>600</v>
      </c>
      <c r="G796" s="69">
        <f t="shared" si="181"/>
        <v>30</v>
      </c>
      <c r="H796" s="69">
        <f t="shared" si="181"/>
        <v>0</v>
      </c>
      <c r="I796" s="69">
        <f t="shared" si="182"/>
        <v>30</v>
      </c>
      <c r="J796" s="69">
        <f t="shared" si="181"/>
        <v>0</v>
      </c>
      <c r="K796" s="85">
        <f t="shared" si="179"/>
        <v>30</v>
      </c>
      <c r="L796" s="13">
        <f t="shared" si="181"/>
        <v>0</v>
      </c>
      <c r="M796" s="85">
        <f t="shared" si="171"/>
        <v>30</v>
      </c>
      <c r="N796" s="13">
        <f t="shared" si="181"/>
        <v>0</v>
      </c>
      <c r="O796" s="85">
        <f t="shared" si="172"/>
        <v>30</v>
      </c>
      <c r="P796" s="13">
        <f t="shared" si="181"/>
        <v>0</v>
      </c>
      <c r="Q796" s="85">
        <f t="shared" si="178"/>
        <v>30</v>
      </c>
      <c r="R796" s="13">
        <f t="shared" si="181"/>
        <v>0</v>
      </c>
      <c r="S796" s="85">
        <f t="shared" si="177"/>
        <v>30</v>
      </c>
      <c r="T796" s="13">
        <f t="shared" si="181"/>
        <v>0</v>
      </c>
      <c r="U796" s="85">
        <f t="shared" si="169"/>
        <v>30</v>
      </c>
    </row>
    <row r="797" spans="1:22">
      <c r="A797" s="61" t="str">
        <f ca="1">IF(ISERROR(MATCH(F797,Код_КВР,0)),"",INDIRECT(ADDRESS(MATCH(F797,Код_КВР,0)+1,2,,,"КВР")))</f>
        <v>Субсидии бюджетным учреждениям</v>
      </c>
      <c r="B797" s="145">
        <v>805</v>
      </c>
      <c r="C797" s="8" t="s">
        <v>195</v>
      </c>
      <c r="D797" s="8" t="s">
        <v>219</v>
      </c>
      <c r="E797" s="145" t="s">
        <v>158</v>
      </c>
      <c r="F797" s="145">
        <v>610</v>
      </c>
      <c r="G797" s="69">
        <f t="shared" si="181"/>
        <v>30</v>
      </c>
      <c r="H797" s="69">
        <f t="shared" si="181"/>
        <v>0</v>
      </c>
      <c r="I797" s="69">
        <f t="shared" si="182"/>
        <v>30</v>
      </c>
      <c r="J797" s="69">
        <f t="shared" si="181"/>
        <v>0</v>
      </c>
      <c r="K797" s="85">
        <f t="shared" si="179"/>
        <v>30</v>
      </c>
      <c r="L797" s="13">
        <f t="shared" si="181"/>
        <v>0</v>
      </c>
      <c r="M797" s="85">
        <f t="shared" si="171"/>
        <v>30</v>
      </c>
      <c r="N797" s="13">
        <f t="shared" si="181"/>
        <v>0</v>
      </c>
      <c r="O797" s="85">
        <f t="shared" si="172"/>
        <v>30</v>
      </c>
      <c r="P797" s="13">
        <f t="shared" si="181"/>
        <v>0</v>
      </c>
      <c r="Q797" s="85">
        <f t="shared" si="178"/>
        <v>30</v>
      </c>
      <c r="R797" s="13">
        <f t="shared" si="181"/>
        <v>0</v>
      </c>
      <c r="S797" s="85">
        <f t="shared" si="177"/>
        <v>30</v>
      </c>
      <c r="T797" s="13">
        <f t="shared" si="181"/>
        <v>0</v>
      </c>
      <c r="U797" s="85">
        <f t="shared" si="169"/>
        <v>30</v>
      </c>
    </row>
    <row r="798" spans="1:22">
      <c r="A798" s="61" t="str">
        <f ca="1">IF(ISERROR(MATCH(F798,Код_КВР,0)),"",INDIRECT(ADDRESS(MATCH(F798,Код_КВР,0)+1,2,,,"КВР")))</f>
        <v>Субсидии бюджетным учреждениям на иные цели</v>
      </c>
      <c r="B798" s="145">
        <v>805</v>
      </c>
      <c r="C798" s="8" t="s">
        <v>195</v>
      </c>
      <c r="D798" s="8" t="s">
        <v>219</v>
      </c>
      <c r="E798" s="145" t="s">
        <v>158</v>
      </c>
      <c r="F798" s="145">
        <v>612</v>
      </c>
      <c r="G798" s="69">
        <v>30</v>
      </c>
      <c r="H798" s="64"/>
      <c r="I798" s="69">
        <f t="shared" si="182"/>
        <v>30</v>
      </c>
      <c r="J798" s="64"/>
      <c r="K798" s="85">
        <f t="shared" si="179"/>
        <v>30</v>
      </c>
      <c r="L798" s="85"/>
      <c r="M798" s="85">
        <f t="shared" si="171"/>
        <v>30</v>
      </c>
      <c r="N798" s="85"/>
      <c r="O798" s="85">
        <f t="shared" si="172"/>
        <v>30</v>
      </c>
      <c r="P798" s="85"/>
      <c r="Q798" s="85">
        <f t="shared" si="178"/>
        <v>30</v>
      </c>
      <c r="R798" s="85"/>
      <c r="S798" s="85">
        <f t="shared" si="177"/>
        <v>30</v>
      </c>
      <c r="T798" s="85"/>
      <c r="U798" s="85">
        <f t="shared" si="169"/>
        <v>30</v>
      </c>
    </row>
    <row r="799" spans="1:22" ht="33">
      <c r="A799" s="61" t="str">
        <f ca="1">IF(ISERROR(MATCH(E799,Код_КЦСР,0)),"",INDIRECT(ADDRESS(MATCH(E799,Код_КЦСР,0)+1,2,,,"КЦСР")))</f>
        <v>Непрограммные направления деятельности органов местного самоуправления</v>
      </c>
      <c r="B799" s="145">
        <v>805</v>
      </c>
      <c r="C799" s="8" t="s">
        <v>195</v>
      </c>
      <c r="D799" s="8" t="s">
        <v>219</v>
      </c>
      <c r="E799" s="145" t="s">
        <v>299</v>
      </c>
      <c r="F799" s="145"/>
      <c r="G799" s="69">
        <f>G800</f>
        <v>27790.399999999998</v>
      </c>
      <c r="H799" s="69">
        <f>H800</f>
        <v>0</v>
      </c>
      <c r="I799" s="69">
        <f t="shared" si="182"/>
        <v>27790.399999999998</v>
      </c>
      <c r="J799" s="69">
        <f>J800</f>
        <v>1458.3</v>
      </c>
      <c r="K799" s="85">
        <f t="shared" si="179"/>
        <v>29248.699999999997</v>
      </c>
      <c r="L799" s="13">
        <f>L800</f>
        <v>0</v>
      </c>
      <c r="M799" s="85">
        <f t="shared" si="171"/>
        <v>29248.699999999997</v>
      </c>
      <c r="N799" s="13">
        <f>N800</f>
        <v>0</v>
      </c>
      <c r="O799" s="85">
        <f t="shared" si="172"/>
        <v>29248.699999999997</v>
      </c>
      <c r="P799" s="13">
        <f>P800</f>
        <v>0</v>
      </c>
      <c r="Q799" s="85">
        <f t="shared" si="178"/>
        <v>29248.699999999997</v>
      </c>
      <c r="R799" s="13">
        <f>R800</f>
        <v>0</v>
      </c>
      <c r="S799" s="85">
        <f t="shared" si="177"/>
        <v>29248.699999999997</v>
      </c>
      <c r="T799" s="13">
        <f>T800</f>
        <v>496</v>
      </c>
      <c r="U799" s="85">
        <f t="shared" si="169"/>
        <v>29744.699999999997</v>
      </c>
    </row>
    <row r="800" spans="1:22">
      <c r="A800" s="61" t="str">
        <f ca="1">IF(ISERROR(MATCH(E800,Код_КЦСР,0)),"",INDIRECT(ADDRESS(MATCH(E800,Код_КЦСР,0)+1,2,,,"КЦСР")))</f>
        <v>Расходы, не включенные в муниципальные программы города Череповца</v>
      </c>
      <c r="B800" s="145">
        <v>805</v>
      </c>
      <c r="C800" s="8" t="s">
        <v>195</v>
      </c>
      <c r="D800" s="8" t="s">
        <v>219</v>
      </c>
      <c r="E800" s="145" t="s">
        <v>301</v>
      </c>
      <c r="F800" s="145"/>
      <c r="G800" s="69">
        <f>G801+G812</f>
        <v>27790.399999999998</v>
      </c>
      <c r="H800" s="69">
        <f>H801+H812</f>
        <v>0</v>
      </c>
      <c r="I800" s="69">
        <f t="shared" si="182"/>
        <v>27790.399999999998</v>
      </c>
      <c r="J800" s="69">
        <f>J801+J812+J808</f>
        <v>1458.3</v>
      </c>
      <c r="K800" s="85">
        <f t="shared" si="179"/>
        <v>29248.699999999997</v>
      </c>
      <c r="L800" s="13">
        <f>L801+L812+L808</f>
        <v>0</v>
      </c>
      <c r="M800" s="85">
        <f t="shared" si="171"/>
        <v>29248.699999999997</v>
      </c>
      <c r="N800" s="13">
        <f>N801+N812+N808</f>
        <v>0</v>
      </c>
      <c r="O800" s="85">
        <f t="shared" si="172"/>
        <v>29248.699999999997</v>
      </c>
      <c r="P800" s="13">
        <f>P801+P812+P808</f>
        <v>0</v>
      </c>
      <c r="Q800" s="85">
        <f t="shared" si="178"/>
        <v>29248.699999999997</v>
      </c>
      <c r="R800" s="13">
        <f>R801+R812+R808</f>
        <v>0</v>
      </c>
      <c r="S800" s="85">
        <f t="shared" si="177"/>
        <v>29248.699999999997</v>
      </c>
      <c r="T800" s="13">
        <f>T801+T812+T808</f>
        <v>496</v>
      </c>
      <c r="U800" s="85">
        <f t="shared" ref="U800:U866" si="183">S800+T800</f>
        <v>29744.699999999997</v>
      </c>
    </row>
    <row r="801" spans="1:21" ht="33">
      <c r="A801" s="61" t="str">
        <f ca="1">IF(ISERROR(MATCH(E801,Код_КЦСР,0)),"",INDIRECT(ADDRESS(MATCH(E801,Код_КЦСР,0)+1,2,,,"КЦСР")))</f>
        <v>Руководство и управление в сфере установленных функций органов местного самоуправления</v>
      </c>
      <c r="B801" s="145">
        <v>805</v>
      </c>
      <c r="C801" s="8" t="s">
        <v>195</v>
      </c>
      <c r="D801" s="8" t="s">
        <v>219</v>
      </c>
      <c r="E801" s="145" t="s">
        <v>303</v>
      </c>
      <c r="F801" s="145"/>
      <c r="G801" s="69">
        <f>G802</f>
        <v>20820.599999999999</v>
      </c>
      <c r="H801" s="69">
        <f>H802</f>
        <v>0</v>
      </c>
      <c r="I801" s="69">
        <f t="shared" si="182"/>
        <v>20820.599999999999</v>
      </c>
      <c r="J801" s="69">
        <f>J802</f>
        <v>0</v>
      </c>
      <c r="K801" s="85">
        <f t="shared" si="179"/>
        <v>20820.599999999999</v>
      </c>
      <c r="L801" s="13">
        <f>L802</f>
        <v>0</v>
      </c>
      <c r="M801" s="85">
        <f t="shared" ref="M801:M867" si="184">K801+L801</f>
        <v>20820.599999999999</v>
      </c>
      <c r="N801" s="13">
        <f>N802</f>
        <v>0</v>
      </c>
      <c r="O801" s="85">
        <f t="shared" ref="O801:O867" si="185">M801+N801</f>
        <v>20820.599999999999</v>
      </c>
      <c r="P801" s="13">
        <f>P802</f>
        <v>0</v>
      </c>
      <c r="Q801" s="85">
        <f t="shared" si="178"/>
        <v>20820.599999999999</v>
      </c>
      <c r="R801" s="13">
        <f>R802</f>
        <v>0</v>
      </c>
      <c r="S801" s="85">
        <f t="shared" si="177"/>
        <v>20820.599999999999</v>
      </c>
      <c r="T801" s="13">
        <f>T802</f>
        <v>0</v>
      </c>
      <c r="U801" s="85">
        <f t="shared" si="183"/>
        <v>20820.599999999999</v>
      </c>
    </row>
    <row r="802" spans="1:21">
      <c r="A802" s="61" t="str">
        <f ca="1">IF(ISERROR(MATCH(E802,Код_КЦСР,0)),"",INDIRECT(ADDRESS(MATCH(E802,Код_КЦСР,0)+1,2,,,"КЦСР")))</f>
        <v>Центральный аппарат</v>
      </c>
      <c r="B802" s="145">
        <v>805</v>
      </c>
      <c r="C802" s="8" t="s">
        <v>195</v>
      </c>
      <c r="D802" s="8" t="s">
        <v>219</v>
      </c>
      <c r="E802" s="145" t="s">
        <v>306</v>
      </c>
      <c r="F802" s="145"/>
      <c r="G802" s="69">
        <f>G803+G805</f>
        <v>20820.599999999999</v>
      </c>
      <c r="H802" s="69">
        <f>H803+H805</f>
        <v>0</v>
      </c>
      <c r="I802" s="69">
        <f t="shared" si="182"/>
        <v>20820.599999999999</v>
      </c>
      <c r="J802" s="69">
        <f>J803+J805</f>
        <v>0</v>
      </c>
      <c r="K802" s="85">
        <f t="shared" si="179"/>
        <v>20820.599999999999</v>
      </c>
      <c r="L802" s="13">
        <f>L803+L805</f>
        <v>0</v>
      </c>
      <c r="M802" s="85">
        <f t="shared" si="184"/>
        <v>20820.599999999999</v>
      </c>
      <c r="N802" s="13">
        <f>N803+N805</f>
        <v>0</v>
      </c>
      <c r="O802" s="85">
        <f t="shared" si="185"/>
        <v>20820.599999999999</v>
      </c>
      <c r="P802" s="13">
        <f>P803+P805</f>
        <v>0</v>
      </c>
      <c r="Q802" s="85">
        <f t="shared" si="178"/>
        <v>20820.599999999999</v>
      </c>
      <c r="R802" s="13">
        <f>R803+R805</f>
        <v>0</v>
      </c>
      <c r="S802" s="85">
        <f t="shared" si="177"/>
        <v>20820.599999999999</v>
      </c>
      <c r="T802" s="13">
        <f>T803+T805</f>
        <v>0</v>
      </c>
      <c r="U802" s="85">
        <f t="shared" si="183"/>
        <v>20820.599999999999</v>
      </c>
    </row>
    <row r="803" spans="1:21" ht="33">
      <c r="A803" s="61" t="str">
        <f ca="1">IF(ISERROR(MATCH(F803,Код_КВР,0)),"",INDIRECT(ADDRESS(MATCH(F803,Код_КВР,0)+1,2,,,"КВР")))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803" s="145">
        <v>805</v>
      </c>
      <c r="C803" s="8" t="s">
        <v>195</v>
      </c>
      <c r="D803" s="8" t="s">
        <v>219</v>
      </c>
      <c r="E803" s="145" t="s">
        <v>306</v>
      </c>
      <c r="F803" s="145">
        <v>100</v>
      </c>
      <c r="G803" s="69">
        <f>G804</f>
        <v>20763</v>
      </c>
      <c r="H803" s="69">
        <f>H804</f>
        <v>0</v>
      </c>
      <c r="I803" s="69">
        <f t="shared" si="182"/>
        <v>20763</v>
      </c>
      <c r="J803" s="69">
        <f>J804</f>
        <v>0</v>
      </c>
      <c r="K803" s="85">
        <f t="shared" si="179"/>
        <v>20763</v>
      </c>
      <c r="L803" s="13">
        <f>L804</f>
        <v>0</v>
      </c>
      <c r="M803" s="85">
        <f t="shared" si="184"/>
        <v>20763</v>
      </c>
      <c r="N803" s="13">
        <f>N804</f>
        <v>0</v>
      </c>
      <c r="O803" s="85">
        <f t="shared" si="185"/>
        <v>20763</v>
      </c>
      <c r="P803" s="13">
        <f>P804</f>
        <v>0</v>
      </c>
      <c r="Q803" s="85">
        <f t="shared" si="178"/>
        <v>20763</v>
      </c>
      <c r="R803" s="13">
        <f>R804</f>
        <v>0</v>
      </c>
      <c r="S803" s="85">
        <f t="shared" si="177"/>
        <v>20763</v>
      </c>
      <c r="T803" s="13">
        <f>T804</f>
        <v>0</v>
      </c>
      <c r="U803" s="85">
        <f t="shared" si="183"/>
        <v>20763</v>
      </c>
    </row>
    <row r="804" spans="1:21">
      <c r="A804" s="61" t="str">
        <f ca="1">IF(ISERROR(MATCH(F804,Код_КВР,0)),"",INDIRECT(ADDRESS(MATCH(F804,Код_КВР,0)+1,2,,,"КВР")))</f>
        <v>Расходы на выплаты персоналу муниципальных органов</v>
      </c>
      <c r="B804" s="145">
        <v>805</v>
      </c>
      <c r="C804" s="8" t="s">
        <v>195</v>
      </c>
      <c r="D804" s="8" t="s">
        <v>219</v>
      </c>
      <c r="E804" s="145" t="s">
        <v>306</v>
      </c>
      <c r="F804" s="145">
        <v>120</v>
      </c>
      <c r="G804" s="69">
        <v>20763</v>
      </c>
      <c r="H804" s="64"/>
      <c r="I804" s="69">
        <f t="shared" si="182"/>
        <v>20763</v>
      </c>
      <c r="J804" s="64"/>
      <c r="K804" s="85">
        <f t="shared" si="179"/>
        <v>20763</v>
      </c>
      <c r="L804" s="85"/>
      <c r="M804" s="85">
        <f t="shared" si="184"/>
        <v>20763</v>
      </c>
      <c r="N804" s="85"/>
      <c r="O804" s="85">
        <f t="shared" si="185"/>
        <v>20763</v>
      </c>
      <c r="P804" s="85"/>
      <c r="Q804" s="85">
        <f t="shared" si="178"/>
        <v>20763</v>
      </c>
      <c r="R804" s="85"/>
      <c r="S804" s="85">
        <f t="shared" si="177"/>
        <v>20763</v>
      </c>
      <c r="T804" s="85"/>
      <c r="U804" s="85">
        <f t="shared" si="183"/>
        <v>20763</v>
      </c>
    </row>
    <row r="805" spans="1:21">
      <c r="A805" s="61" t="str">
        <f ca="1">IF(ISERROR(MATCH(F805,Код_КВР,0)),"",INDIRECT(ADDRESS(MATCH(F805,Код_КВР,0)+1,2,,,"КВР")))</f>
        <v>Закупка товаров, работ и услуг для муниципальных нужд</v>
      </c>
      <c r="B805" s="145">
        <v>805</v>
      </c>
      <c r="C805" s="8" t="s">
        <v>195</v>
      </c>
      <c r="D805" s="8" t="s">
        <v>219</v>
      </c>
      <c r="E805" s="145" t="s">
        <v>306</v>
      </c>
      <c r="F805" s="145">
        <v>200</v>
      </c>
      <c r="G805" s="69">
        <f>G806</f>
        <v>57.6</v>
      </c>
      <c r="H805" s="64"/>
      <c r="I805" s="69">
        <f t="shared" si="182"/>
        <v>57.6</v>
      </c>
      <c r="J805" s="64"/>
      <c r="K805" s="85">
        <f t="shared" si="179"/>
        <v>57.6</v>
      </c>
      <c r="L805" s="85"/>
      <c r="M805" s="85">
        <f t="shared" si="184"/>
        <v>57.6</v>
      </c>
      <c r="N805" s="85"/>
      <c r="O805" s="85">
        <f t="shared" si="185"/>
        <v>57.6</v>
      </c>
      <c r="P805" s="85"/>
      <c r="Q805" s="85">
        <f t="shared" si="178"/>
        <v>57.6</v>
      </c>
      <c r="R805" s="85"/>
      <c r="S805" s="85">
        <f t="shared" si="177"/>
        <v>57.6</v>
      </c>
      <c r="T805" s="85"/>
      <c r="U805" s="85">
        <f t="shared" si="183"/>
        <v>57.6</v>
      </c>
    </row>
    <row r="806" spans="1:21" ht="33">
      <c r="A806" s="61" t="str">
        <f ca="1">IF(ISERROR(MATCH(F806,Код_КВР,0)),"",INDIRECT(ADDRESS(MATCH(F806,Код_КВР,0)+1,2,,,"КВР")))</f>
        <v>Иные закупки товаров, работ и услуг для обеспечения муниципальных нужд</v>
      </c>
      <c r="B806" s="145">
        <v>805</v>
      </c>
      <c r="C806" s="8" t="s">
        <v>195</v>
      </c>
      <c r="D806" s="8" t="s">
        <v>219</v>
      </c>
      <c r="E806" s="145" t="s">
        <v>306</v>
      </c>
      <c r="F806" s="145">
        <v>240</v>
      </c>
      <c r="G806" s="69">
        <f>G807</f>
        <v>57.6</v>
      </c>
      <c r="H806" s="69">
        <f>H807</f>
        <v>0</v>
      </c>
      <c r="I806" s="69">
        <f t="shared" si="182"/>
        <v>57.6</v>
      </c>
      <c r="J806" s="69">
        <f>J807</f>
        <v>0</v>
      </c>
      <c r="K806" s="85">
        <f t="shared" si="179"/>
        <v>57.6</v>
      </c>
      <c r="L806" s="13">
        <f>L807</f>
        <v>0</v>
      </c>
      <c r="M806" s="85">
        <f t="shared" si="184"/>
        <v>57.6</v>
      </c>
      <c r="N806" s="13">
        <f>N807</f>
        <v>0</v>
      </c>
      <c r="O806" s="85">
        <f t="shared" si="185"/>
        <v>57.6</v>
      </c>
      <c r="P806" s="13">
        <f>P807</f>
        <v>0</v>
      </c>
      <c r="Q806" s="85">
        <f t="shared" si="178"/>
        <v>57.6</v>
      </c>
      <c r="R806" s="13">
        <f>R807</f>
        <v>0</v>
      </c>
      <c r="S806" s="85">
        <f t="shared" si="177"/>
        <v>57.6</v>
      </c>
      <c r="T806" s="13">
        <f>T807</f>
        <v>0</v>
      </c>
      <c r="U806" s="85">
        <f t="shared" si="183"/>
        <v>57.6</v>
      </c>
    </row>
    <row r="807" spans="1:21" ht="33">
      <c r="A807" s="61" t="str">
        <f ca="1">IF(ISERROR(MATCH(F807,Код_КВР,0)),"",INDIRECT(ADDRESS(MATCH(F807,Код_КВР,0)+1,2,,,"КВР")))</f>
        <v xml:space="preserve">Прочая закупка товаров, работ и услуг для обеспечения муниципальных нужд         </v>
      </c>
      <c r="B807" s="145">
        <v>805</v>
      </c>
      <c r="C807" s="8" t="s">
        <v>195</v>
      </c>
      <c r="D807" s="8" t="s">
        <v>219</v>
      </c>
      <c r="E807" s="145" t="s">
        <v>306</v>
      </c>
      <c r="F807" s="145">
        <v>244</v>
      </c>
      <c r="G807" s="69">
        <v>57.6</v>
      </c>
      <c r="H807" s="69"/>
      <c r="I807" s="69">
        <f t="shared" si="182"/>
        <v>57.6</v>
      </c>
      <c r="J807" s="69"/>
      <c r="K807" s="85">
        <f t="shared" si="179"/>
        <v>57.6</v>
      </c>
      <c r="L807" s="13"/>
      <c r="M807" s="85">
        <f t="shared" si="184"/>
        <v>57.6</v>
      </c>
      <c r="N807" s="13"/>
      <c r="O807" s="85">
        <f t="shared" si="185"/>
        <v>57.6</v>
      </c>
      <c r="P807" s="13"/>
      <c r="Q807" s="85">
        <f t="shared" si="178"/>
        <v>57.6</v>
      </c>
      <c r="R807" s="13"/>
      <c r="S807" s="85">
        <f t="shared" si="177"/>
        <v>57.6</v>
      </c>
      <c r="T807" s="13"/>
      <c r="U807" s="85">
        <f t="shared" si="183"/>
        <v>57.6</v>
      </c>
    </row>
    <row r="808" spans="1:21">
      <c r="A808" s="61" t="str">
        <f ca="1">IF(ISERROR(MATCH(E808,Код_КЦСР,0)),"",INDIRECT(ADDRESS(MATCH(E808,Код_КЦСР,0)+1,2,,,"КЦСР")))</f>
        <v>Кредиторская задолженность, сложившаяся по итогам 2013 года</v>
      </c>
      <c r="B808" s="145">
        <v>805</v>
      </c>
      <c r="C808" s="8" t="s">
        <v>195</v>
      </c>
      <c r="D808" s="8" t="s">
        <v>219</v>
      </c>
      <c r="E808" s="145" t="s">
        <v>371</v>
      </c>
      <c r="F808" s="145"/>
      <c r="G808" s="69"/>
      <c r="H808" s="69"/>
      <c r="I808" s="69"/>
      <c r="J808" s="69">
        <f>J809</f>
        <v>1458.3</v>
      </c>
      <c r="K808" s="85">
        <f t="shared" si="179"/>
        <v>1458.3</v>
      </c>
      <c r="L808" s="13">
        <f>L809</f>
        <v>0</v>
      </c>
      <c r="M808" s="85">
        <f t="shared" si="184"/>
        <v>1458.3</v>
      </c>
      <c r="N808" s="13">
        <f>N809</f>
        <v>0</v>
      </c>
      <c r="O808" s="85">
        <f t="shared" si="185"/>
        <v>1458.3</v>
      </c>
      <c r="P808" s="13">
        <f>P809</f>
        <v>0</v>
      </c>
      <c r="Q808" s="85">
        <f t="shared" si="178"/>
        <v>1458.3</v>
      </c>
      <c r="R808" s="13">
        <f>R809</f>
        <v>0</v>
      </c>
      <c r="S808" s="85">
        <f t="shared" si="177"/>
        <v>1458.3</v>
      </c>
      <c r="T808" s="13">
        <f>T809</f>
        <v>0</v>
      </c>
      <c r="U808" s="85">
        <f t="shared" si="183"/>
        <v>1458.3</v>
      </c>
    </row>
    <row r="809" spans="1:21" ht="33">
      <c r="A809" s="61" t="str">
        <f ca="1">IF(ISERROR(MATCH(F809,Код_КВР,0)),"",INDIRECT(ADDRESS(MATCH(F809,Код_КВР,0)+1,2,,,"КВР")))</f>
        <v>Предоставление субсидий бюджетным, автономным учреждениям и иным некоммерческим организациям</v>
      </c>
      <c r="B809" s="145">
        <v>805</v>
      </c>
      <c r="C809" s="8" t="s">
        <v>195</v>
      </c>
      <c r="D809" s="8" t="s">
        <v>219</v>
      </c>
      <c r="E809" s="145" t="s">
        <v>371</v>
      </c>
      <c r="F809" s="145">
        <v>600</v>
      </c>
      <c r="G809" s="69"/>
      <c r="H809" s="69"/>
      <c r="I809" s="69"/>
      <c r="J809" s="69">
        <f>J810</f>
        <v>1458.3</v>
      </c>
      <c r="K809" s="85">
        <f t="shared" si="179"/>
        <v>1458.3</v>
      </c>
      <c r="L809" s="13">
        <f>L810</f>
        <v>0</v>
      </c>
      <c r="M809" s="85">
        <f t="shared" si="184"/>
        <v>1458.3</v>
      </c>
      <c r="N809" s="13">
        <f>N810</f>
        <v>0</v>
      </c>
      <c r="O809" s="85">
        <f t="shared" si="185"/>
        <v>1458.3</v>
      </c>
      <c r="P809" s="13">
        <f>P810</f>
        <v>0</v>
      </c>
      <c r="Q809" s="85">
        <f t="shared" si="178"/>
        <v>1458.3</v>
      </c>
      <c r="R809" s="13">
        <f>R810</f>
        <v>0</v>
      </c>
      <c r="S809" s="85">
        <f t="shared" si="177"/>
        <v>1458.3</v>
      </c>
      <c r="T809" s="13">
        <f>T810</f>
        <v>0</v>
      </c>
      <c r="U809" s="85">
        <f t="shared" si="183"/>
        <v>1458.3</v>
      </c>
    </row>
    <row r="810" spans="1:21">
      <c r="A810" s="61" t="str">
        <f ca="1">IF(ISERROR(MATCH(F810,Код_КВР,0)),"",INDIRECT(ADDRESS(MATCH(F810,Код_КВР,0)+1,2,,,"КВР")))</f>
        <v>Субсидии бюджетным учреждениям</v>
      </c>
      <c r="B810" s="145">
        <v>805</v>
      </c>
      <c r="C810" s="8" t="s">
        <v>195</v>
      </c>
      <c r="D810" s="8" t="s">
        <v>219</v>
      </c>
      <c r="E810" s="145" t="s">
        <v>371</v>
      </c>
      <c r="F810" s="145">
        <v>610</v>
      </c>
      <c r="G810" s="69"/>
      <c r="H810" s="69"/>
      <c r="I810" s="69"/>
      <c r="J810" s="69">
        <f>J811</f>
        <v>1458.3</v>
      </c>
      <c r="K810" s="85">
        <f t="shared" si="179"/>
        <v>1458.3</v>
      </c>
      <c r="L810" s="13">
        <f>L811</f>
        <v>0</v>
      </c>
      <c r="M810" s="85">
        <f t="shared" si="184"/>
        <v>1458.3</v>
      </c>
      <c r="N810" s="13">
        <f>N811</f>
        <v>0</v>
      </c>
      <c r="O810" s="85">
        <f t="shared" si="185"/>
        <v>1458.3</v>
      </c>
      <c r="P810" s="13">
        <f>P811</f>
        <v>0</v>
      </c>
      <c r="Q810" s="85">
        <f t="shared" si="178"/>
        <v>1458.3</v>
      </c>
      <c r="R810" s="13">
        <f>R811</f>
        <v>0</v>
      </c>
      <c r="S810" s="85">
        <f t="shared" si="177"/>
        <v>1458.3</v>
      </c>
      <c r="T810" s="13">
        <f>T811</f>
        <v>0</v>
      </c>
      <c r="U810" s="85">
        <f t="shared" si="183"/>
        <v>1458.3</v>
      </c>
    </row>
    <row r="811" spans="1:21">
      <c r="A811" s="61" t="str">
        <f ca="1">IF(ISERROR(MATCH(F811,Код_КВР,0)),"",INDIRECT(ADDRESS(MATCH(F811,Код_КВР,0)+1,2,,,"КВР")))</f>
        <v>Субсидии бюджетным учреждениям на иные цели</v>
      </c>
      <c r="B811" s="145">
        <v>805</v>
      </c>
      <c r="C811" s="8" t="s">
        <v>195</v>
      </c>
      <c r="D811" s="8" t="s">
        <v>219</v>
      </c>
      <c r="E811" s="145" t="s">
        <v>371</v>
      </c>
      <c r="F811" s="145">
        <v>612</v>
      </c>
      <c r="G811" s="69"/>
      <c r="H811" s="69"/>
      <c r="I811" s="69"/>
      <c r="J811" s="69">
        <v>1458.3</v>
      </c>
      <c r="K811" s="85">
        <f t="shared" si="179"/>
        <v>1458.3</v>
      </c>
      <c r="L811" s="13"/>
      <c r="M811" s="85">
        <f t="shared" si="184"/>
        <v>1458.3</v>
      </c>
      <c r="N811" s="13"/>
      <c r="O811" s="85">
        <f t="shared" si="185"/>
        <v>1458.3</v>
      </c>
      <c r="P811" s="13"/>
      <c r="Q811" s="85">
        <f t="shared" si="178"/>
        <v>1458.3</v>
      </c>
      <c r="R811" s="13"/>
      <c r="S811" s="85">
        <f t="shared" si="177"/>
        <v>1458.3</v>
      </c>
      <c r="T811" s="13"/>
      <c r="U811" s="85">
        <f t="shared" si="183"/>
        <v>1458.3</v>
      </c>
    </row>
    <row r="812" spans="1:21" ht="125.25" customHeight="1">
      <c r="A812" s="61" t="str">
        <f ca="1">IF(ISERROR(MATCH(E812,Код_КЦСР,0)),"",INDIRECT(ADDRESS(MATCH(E812,Код_КЦСР,0)+1,2,,,"КЦСР")))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несовершеннолетних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812" s="145">
        <v>805</v>
      </c>
      <c r="C812" s="8" t="s">
        <v>195</v>
      </c>
      <c r="D812" s="8" t="s">
        <v>219</v>
      </c>
      <c r="E812" s="145" t="s">
        <v>390</v>
      </c>
      <c r="F812" s="145"/>
      <c r="G812" s="69">
        <f>G813+G815</f>
        <v>6969.8</v>
      </c>
      <c r="H812" s="69">
        <f>H813+H815</f>
        <v>0</v>
      </c>
      <c r="I812" s="69">
        <f t="shared" si="182"/>
        <v>6969.8</v>
      </c>
      <c r="J812" s="69">
        <f>J813+J815</f>
        <v>0</v>
      </c>
      <c r="K812" s="85">
        <f t="shared" si="179"/>
        <v>6969.8</v>
      </c>
      <c r="L812" s="13">
        <f>L813+L815</f>
        <v>0</v>
      </c>
      <c r="M812" s="85">
        <f t="shared" si="184"/>
        <v>6969.8</v>
      </c>
      <c r="N812" s="13">
        <f>N813+N815</f>
        <v>0</v>
      </c>
      <c r="O812" s="85">
        <f t="shared" si="185"/>
        <v>6969.8</v>
      </c>
      <c r="P812" s="13">
        <f>P813+P815</f>
        <v>0</v>
      </c>
      <c r="Q812" s="85">
        <f t="shared" si="178"/>
        <v>6969.8</v>
      </c>
      <c r="R812" s="13">
        <f>R813+R815</f>
        <v>0</v>
      </c>
      <c r="S812" s="85">
        <f t="shared" si="177"/>
        <v>6969.8</v>
      </c>
      <c r="T812" s="13">
        <f>T813+T815</f>
        <v>496</v>
      </c>
      <c r="U812" s="85">
        <f t="shared" si="183"/>
        <v>7465.8</v>
      </c>
    </row>
    <row r="813" spans="1:21" ht="33">
      <c r="A813" s="61" t="str">
        <f ca="1">IF(ISERROR(MATCH(F813,Код_КВР,0)),"",INDIRECT(ADDRESS(MATCH(F813,Код_КВР,0)+1,2,,,"КВР")))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813" s="145">
        <v>805</v>
      </c>
      <c r="C813" s="8" t="s">
        <v>195</v>
      </c>
      <c r="D813" s="8" t="s">
        <v>219</v>
      </c>
      <c r="E813" s="145" t="s">
        <v>390</v>
      </c>
      <c r="F813" s="145">
        <v>100</v>
      </c>
      <c r="G813" s="69">
        <f>G814</f>
        <v>6501.2</v>
      </c>
      <c r="H813" s="69">
        <f>H814</f>
        <v>0</v>
      </c>
      <c r="I813" s="69">
        <f t="shared" si="182"/>
        <v>6501.2</v>
      </c>
      <c r="J813" s="69">
        <f>J814</f>
        <v>0</v>
      </c>
      <c r="K813" s="85">
        <f t="shared" si="179"/>
        <v>6501.2</v>
      </c>
      <c r="L813" s="13">
        <f>L814</f>
        <v>0</v>
      </c>
      <c r="M813" s="85">
        <f t="shared" si="184"/>
        <v>6501.2</v>
      </c>
      <c r="N813" s="13">
        <f>N814</f>
        <v>0</v>
      </c>
      <c r="O813" s="85">
        <f t="shared" si="185"/>
        <v>6501.2</v>
      </c>
      <c r="P813" s="13">
        <f>P814</f>
        <v>-2</v>
      </c>
      <c r="Q813" s="85">
        <f t="shared" si="178"/>
        <v>6499.2</v>
      </c>
      <c r="R813" s="13">
        <f>R814</f>
        <v>167</v>
      </c>
      <c r="S813" s="85">
        <f t="shared" si="177"/>
        <v>6666.2</v>
      </c>
      <c r="T813" s="13">
        <f>T814</f>
        <v>496</v>
      </c>
      <c r="U813" s="85">
        <f t="shared" si="183"/>
        <v>7162.2</v>
      </c>
    </row>
    <row r="814" spans="1:21">
      <c r="A814" s="61" t="str">
        <f ca="1">IF(ISERROR(MATCH(F814,Код_КВР,0)),"",INDIRECT(ADDRESS(MATCH(F814,Код_КВР,0)+1,2,,,"КВР")))</f>
        <v>Расходы на выплаты персоналу муниципальных органов</v>
      </c>
      <c r="B814" s="145">
        <v>805</v>
      </c>
      <c r="C814" s="8" t="s">
        <v>195</v>
      </c>
      <c r="D814" s="8" t="s">
        <v>219</v>
      </c>
      <c r="E814" s="145" t="s">
        <v>390</v>
      </c>
      <c r="F814" s="145">
        <v>120</v>
      </c>
      <c r="G814" s="69">
        <v>6501.2</v>
      </c>
      <c r="H814" s="69"/>
      <c r="I814" s="69">
        <f t="shared" si="182"/>
        <v>6501.2</v>
      </c>
      <c r="J814" s="69"/>
      <c r="K814" s="85">
        <f t="shared" si="179"/>
        <v>6501.2</v>
      </c>
      <c r="L814" s="13"/>
      <c r="M814" s="85">
        <f t="shared" si="184"/>
        <v>6501.2</v>
      </c>
      <c r="N814" s="13"/>
      <c r="O814" s="85">
        <f t="shared" si="185"/>
        <v>6501.2</v>
      </c>
      <c r="P814" s="13">
        <v>-2</v>
      </c>
      <c r="Q814" s="85">
        <f t="shared" si="178"/>
        <v>6499.2</v>
      </c>
      <c r="R814" s="13">
        <v>167</v>
      </c>
      <c r="S814" s="85">
        <f t="shared" si="177"/>
        <v>6666.2</v>
      </c>
      <c r="T814" s="13">
        <v>496</v>
      </c>
      <c r="U814" s="85">
        <f t="shared" si="183"/>
        <v>7162.2</v>
      </c>
    </row>
    <row r="815" spans="1:21">
      <c r="A815" s="61" t="str">
        <f ca="1">IF(ISERROR(MATCH(F815,Код_КВР,0)),"",INDIRECT(ADDRESS(MATCH(F815,Код_КВР,0)+1,2,,,"КВР")))</f>
        <v>Закупка товаров, работ и услуг для муниципальных нужд</v>
      </c>
      <c r="B815" s="145">
        <v>805</v>
      </c>
      <c r="C815" s="8" t="s">
        <v>195</v>
      </c>
      <c r="D815" s="8" t="s">
        <v>219</v>
      </c>
      <c r="E815" s="145" t="s">
        <v>390</v>
      </c>
      <c r="F815" s="145">
        <v>200</v>
      </c>
      <c r="G815" s="69">
        <f>G816</f>
        <v>468.6</v>
      </c>
      <c r="H815" s="69">
        <f>H816</f>
        <v>0</v>
      </c>
      <c r="I815" s="69">
        <f t="shared" si="182"/>
        <v>468.6</v>
      </c>
      <c r="J815" s="69">
        <f>J816</f>
        <v>0</v>
      </c>
      <c r="K815" s="85">
        <f t="shared" si="179"/>
        <v>468.6</v>
      </c>
      <c r="L815" s="13">
        <f>L816</f>
        <v>0</v>
      </c>
      <c r="M815" s="85">
        <f t="shared" si="184"/>
        <v>468.6</v>
      </c>
      <c r="N815" s="13">
        <f>N816</f>
        <v>0</v>
      </c>
      <c r="O815" s="85">
        <f t="shared" si="185"/>
        <v>468.6</v>
      </c>
      <c r="P815" s="13">
        <f>P816</f>
        <v>2</v>
      </c>
      <c r="Q815" s="85">
        <f t="shared" si="178"/>
        <v>470.6</v>
      </c>
      <c r="R815" s="13">
        <f>R816</f>
        <v>-167</v>
      </c>
      <c r="S815" s="85">
        <f t="shared" si="177"/>
        <v>303.60000000000002</v>
      </c>
      <c r="T815" s="13">
        <f>T816</f>
        <v>0</v>
      </c>
      <c r="U815" s="85">
        <f t="shared" si="183"/>
        <v>303.60000000000002</v>
      </c>
    </row>
    <row r="816" spans="1:21" ht="33">
      <c r="A816" s="61" t="str">
        <f ca="1">IF(ISERROR(MATCH(F816,Код_КВР,0)),"",INDIRECT(ADDRESS(MATCH(F816,Код_КВР,0)+1,2,,,"КВР")))</f>
        <v>Иные закупки товаров, работ и услуг для обеспечения муниципальных нужд</v>
      </c>
      <c r="B816" s="145">
        <v>805</v>
      </c>
      <c r="C816" s="8" t="s">
        <v>195</v>
      </c>
      <c r="D816" s="8" t="s">
        <v>219</v>
      </c>
      <c r="E816" s="145" t="s">
        <v>390</v>
      </c>
      <c r="F816" s="145">
        <v>240</v>
      </c>
      <c r="G816" s="69">
        <f>G817</f>
        <v>468.6</v>
      </c>
      <c r="H816" s="69">
        <f>H817</f>
        <v>0</v>
      </c>
      <c r="I816" s="69">
        <f t="shared" si="182"/>
        <v>468.6</v>
      </c>
      <c r="J816" s="69">
        <f>J817</f>
        <v>0</v>
      </c>
      <c r="K816" s="85">
        <f t="shared" si="179"/>
        <v>468.6</v>
      </c>
      <c r="L816" s="13">
        <f>L817</f>
        <v>0</v>
      </c>
      <c r="M816" s="85">
        <f t="shared" si="184"/>
        <v>468.6</v>
      </c>
      <c r="N816" s="13">
        <f>N817</f>
        <v>0</v>
      </c>
      <c r="O816" s="85">
        <f t="shared" si="185"/>
        <v>468.6</v>
      </c>
      <c r="P816" s="13">
        <f>P817</f>
        <v>2</v>
      </c>
      <c r="Q816" s="85">
        <f t="shared" si="178"/>
        <v>470.6</v>
      </c>
      <c r="R816" s="13">
        <f>R817</f>
        <v>-167</v>
      </c>
      <c r="S816" s="85">
        <f t="shared" si="177"/>
        <v>303.60000000000002</v>
      </c>
      <c r="T816" s="13">
        <f>T817</f>
        <v>0</v>
      </c>
      <c r="U816" s="85">
        <f t="shared" si="183"/>
        <v>303.60000000000002</v>
      </c>
    </row>
    <row r="817" spans="1:21" ht="33">
      <c r="A817" s="61" t="str">
        <f ca="1">IF(ISERROR(MATCH(F817,Код_КВР,0)),"",INDIRECT(ADDRESS(MATCH(F817,Код_КВР,0)+1,2,,,"КВР")))</f>
        <v xml:space="preserve">Прочая закупка товаров, работ и услуг для обеспечения муниципальных нужд         </v>
      </c>
      <c r="B817" s="145">
        <v>805</v>
      </c>
      <c r="C817" s="8" t="s">
        <v>195</v>
      </c>
      <c r="D817" s="8" t="s">
        <v>219</v>
      </c>
      <c r="E817" s="145" t="s">
        <v>390</v>
      </c>
      <c r="F817" s="145">
        <v>244</v>
      </c>
      <c r="G817" s="69">
        <v>468.6</v>
      </c>
      <c r="H817" s="64"/>
      <c r="I817" s="69">
        <f t="shared" si="182"/>
        <v>468.6</v>
      </c>
      <c r="J817" s="64"/>
      <c r="K817" s="85">
        <f t="shared" si="179"/>
        <v>468.6</v>
      </c>
      <c r="L817" s="85"/>
      <c r="M817" s="85">
        <f t="shared" si="184"/>
        <v>468.6</v>
      </c>
      <c r="N817" s="85"/>
      <c r="O817" s="85">
        <f t="shared" si="185"/>
        <v>468.6</v>
      </c>
      <c r="P817" s="85">
        <v>2</v>
      </c>
      <c r="Q817" s="85">
        <f t="shared" si="178"/>
        <v>470.6</v>
      </c>
      <c r="R817" s="85">
        <v>-167</v>
      </c>
      <c r="S817" s="85">
        <f t="shared" si="177"/>
        <v>303.60000000000002</v>
      </c>
      <c r="T817" s="85"/>
      <c r="U817" s="85">
        <f t="shared" si="183"/>
        <v>303.60000000000002</v>
      </c>
    </row>
    <row r="818" spans="1:21">
      <c r="A818" s="61" t="str">
        <f ca="1">IF(ISERROR(MATCH(C818,Код_Раздел,0)),"",INDIRECT(ADDRESS(MATCH(C818,Код_Раздел,0)+1,2,,,"Раздел")))</f>
        <v>Социальная политика</v>
      </c>
      <c r="B818" s="145">
        <v>805</v>
      </c>
      <c r="C818" s="8" t="s">
        <v>188</v>
      </c>
      <c r="D818" s="8"/>
      <c r="E818" s="145"/>
      <c r="F818" s="145"/>
      <c r="G818" s="69">
        <f>G819+G838</f>
        <v>154405.10000000003</v>
      </c>
      <c r="H818" s="69">
        <f>H819+H838</f>
        <v>0</v>
      </c>
      <c r="I818" s="69">
        <f t="shared" si="182"/>
        <v>154405.10000000003</v>
      </c>
      <c r="J818" s="69">
        <f>J819+J838</f>
        <v>0</v>
      </c>
      <c r="K818" s="85">
        <f t="shared" si="179"/>
        <v>154405.10000000003</v>
      </c>
      <c r="L818" s="13">
        <f>L819+L838</f>
        <v>0</v>
      </c>
      <c r="M818" s="85">
        <f t="shared" si="184"/>
        <v>154405.10000000003</v>
      </c>
      <c r="N818" s="13">
        <f>N819+N838</f>
        <v>0</v>
      </c>
      <c r="O818" s="85">
        <f t="shared" si="185"/>
        <v>154405.10000000003</v>
      </c>
      <c r="P818" s="13">
        <f>P819+P838</f>
        <v>-10</v>
      </c>
      <c r="Q818" s="85">
        <f t="shared" si="178"/>
        <v>154395.10000000003</v>
      </c>
      <c r="R818" s="13">
        <f>R819+R838</f>
        <v>-9058.1</v>
      </c>
      <c r="S818" s="85">
        <f t="shared" si="177"/>
        <v>145337.00000000003</v>
      </c>
      <c r="T818" s="13">
        <f>T819+T838</f>
        <v>4684.7</v>
      </c>
      <c r="U818" s="85">
        <f t="shared" si="183"/>
        <v>150021.70000000004</v>
      </c>
    </row>
    <row r="819" spans="1:21">
      <c r="A819" s="12" t="s">
        <v>179</v>
      </c>
      <c r="B819" s="145">
        <v>805</v>
      </c>
      <c r="C819" s="8" t="s">
        <v>188</v>
      </c>
      <c r="D819" s="8" t="s">
        <v>215</v>
      </c>
      <c r="E819" s="145"/>
      <c r="F819" s="145"/>
      <c r="G819" s="69">
        <f>G820</f>
        <v>22087.200000000001</v>
      </c>
      <c r="H819" s="69">
        <f>H820</f>
        <v>0</v>
      </c>
      <c r="I819" s="69">
        <f t="shared" si="182"/>
        <v>22087.200000000001</v>
      </c>
      <c r="J819" s="69">
        <f>J820</f>
        <v>0</v>
      </c>
      <c r="K819" s="85">
        <f t="shared" si="179"/>
        <v>22087.200000000001</v>
      </c>
      <c r="L819" s="13">
        <f>L820</f>
        <v>0</v>
      </c>
      <c r="M819" s="85">
        <f t="shared" si="184"/>
        <v>22087.200000000001</v>
      </c>
      <c r="N819" s="13">
        <f>N820</f>
        <v>0</v>
      </c>
      <c r="O819" s="85">
        <f t="shared" si="185"/>
        <v>22087.200000000001</v>
      </c>
      <c r="P819" s="13">
        <f>P820</f>
        <v>-10</v>
      </c>
      <c r="Q819" s="85">
        <f t="shared" si="178"/>
        <v>22077.200000000001</v>
      </c>
      <c r="R819" s="13">
        <f>R820</f>
        <v>201.09999999999997</v>
      </c>
      <c r="S819" s="85">
        <f t="shared" si="177"/>
        <v>22278.3</v>
      </c>
      <c r="T819" s="13">
        <f>T820</f>
        <v>-831.8</v>
      </c>
      <c r="U819" s="85">
        <f t="shared" si="183"/>
        <v>21446.5</v>
      </c>
    </row>
    <row r="820" spans="1:21">
      <c r="A820" s="61" t="str">
        <f ca="1">IF(ISERROR(MATCH(E820,Код_КЦСР,0)),"",INDIRECT(ADDRESS(MATCH(E820,Код_КЦСР,0)+1,2,,,"КЦСР")))</f>
        <v>Муниципальная программа «Развитие образования» на 2013-2022 годы</v>
      </c>
      <c r="B820" s="145">
        <v>805</v>
      </c>
      <c r="C820" s="8" t="s">
        <v>188</v>
      </c>
      <c r="D820" s="8" t="s">
        <v>215</v>
      </c>
      <c r="E820" s="145" t="s">
        <v>271</v>
      </c>
      <c r="F820" s="145"/>
      <c r="G820" s="69">
        <f>G821+G826+G832</f>
        <v>22087.200000000001</v>
      </c>
      <c r="H820" s="69">
        <f>H821+H826+H832</f>
        <v>0</v>
      </c>
      <c r="I820" s="69">
        <f t="shared" si="182"/>
        <v>22087.200000000001</v>
      </c>
      <c r="J820" s="69">
        <f>J821+J826+J832</f>
        <v>0</v>
      </c>
      <c r="K820" s="85">
        <f t="shared" si="179"/>
        <v>22087.200000000001</v>
      </c>
      <c r="L820" s="13">
        <f>L821+L826+L832</f>
        <v>0</v>
      </c>
      <c r="M820" s="85">
        <f t="shared" si="184"/>
        <v>22087.200000000001</v>
      </c>
      <c r="N820" s="13">
        <f>N821+N826+N832</f>
        <v>0</v>
      </c>
      <c r="O820" s="85">
        <f t="shared" si="185"/>
        <v>22087.200000000001</v>
      </c>
      <c r="P820" s="13">
        <f>P821+P826+P832</f>
        <v>-10</v>
      </c>
      <c r="Q820" s="85">
        <f t="shared" si="178"/>
        <v>22077.200000000001</v>
      </c>
      <c r="R820" s="13">
        <f>R821+R826+R832</f>
        <v>201.09999999999997</v>
      </c>
      <c r="S820" s="85">
        <f t="shared" si="177"/>
        <v>22278.3</v>
      </c>
      <c r="T820" s="13">
        <f>T821+T826+T832</f>
        <v>-831.8</v>
      </c>
      <c r="U820" s="85">
        <f t="shared" si="183"/>
        <v>21446.5</v>
      </c>
    </row>
    <row r="821" spans="1:21">
      <c r="A821" s="61" t="str">
        <f ca="1">IF(ISERROR(MATCH(E821,Код_КЦСР,0)),"",INDIRECT(ADDRESS(MATCH(E821,Код_КЦСР,0)+1,2,,,"КЦСР")))</f>
        <v>Общее образование</v>
      </c>
      <c r="B821" s="145">
        <v>805</v>
      </c>
      <c r="C821" s="8" t="s">
        <v>188</v>
      </c>
      <c r="D821" s="8" t="s">
        <v>215</v>
      </c>
      <c r="E821" s="145" t="s">
        <v>280</v>
      </c>
      <c r="F821" s="145"/>
      <c r="G821" s="69">
        <f t="shared" ref="G821:T824" si="186">G822</f>
        <v>6276.3</v>
      </c>
      <c r="H821" s="69">
        <f t="shared" si="186"/>
        <v>0</v>
      </c>
      <c r="I821" s="69">
        <f t="shared" si="182"/>
        <v>6276.3</v>
      </c>
      <c r="J821" s="69">
        <f t="shared" si="186"/>
        <v>0</v>
      </c>
      <c r="K821" s="85">
        <f t="shared" si="179"/>
        <v>6276.3</v>
      </c>
      <c r="L821" s="13">
        <f t="shared" si="186"/>
        <v>0</v>
      </c>
      <c r="M821" s="85">
        <f t="shared" si="184"/>
        <v>6276.3</v>
      </c>
      <c r="N821" s="13">
        <f t="shared" si="186"/>
        <v>0</v>
      </c>
      <c r="O821" s="85">
        <f t="shared" si="185"/>
        <v>6276.3</v>
      </c>
      <c r="P821" s="13">
        <f t="shared" si="186"/>
        <v>0</v>
      </c>
      <c r="Q821" s="85">
        <f t="shared" si="178"/>
        <v>6276.3</v>
      </c>
      <c r="R821" s="13">
        <f t="shared" si="186"/>
        <v>-290.10000000000002</v>
      </c>
      <c r="S821" s="85">
        <f t="shared" si="177"/>
        <v>5986.2</v>
      </c>
      <c r="T821" s="13">
        <f t="shared" si="186"/>
        <v>76.900000000000006</v>
      </c>
      <c r="U821" s="85">
        <f t="shared" si="183"/>
        <v>6063.0999999999995</v>
      </c>
    </row>
    <row r="822" spans="1:21" ht="123" customHeight="1">
      <c r="A822" s="61" t="str">
        <f ca="1">IF(ISERROR(MATCH(E822,Код_КЦСР,0)),"",INDIRECT(ADDRESS(MATCH(E822,Код_КЦСР,0)+1,2,,,"КЦСР")))</f>
        <v>Социальная поддержка детей, обучающихся в муниципальных общеобразовательных учреждениях, из многодетных семей в части предоставления денежных выплат на проезд (кроме такси) на городском транспорте, а также на автобусах пригородных и внутрирайонных маршрутов и на приобретение комплекта одежды для посещения школьных занятий, спортивной формы для занятий физической культурой за счет субвенций из областного бюджета</v>
      </c>
      <c r="B822" s="145">
        <v>805</v>
      </c>
      <c r="C822" s="8" t="s">
        <v>188</v>
      </c>
      <c r="D822" s="8" t="s">
        <v>215</v>
      </c>
      <c r="E822" s="145" t="s">
        <v>435</v>
      </c>
      <c r="F822" s="145"/>
      <c r="G822" s="69">
        <f t="shared" si="186"/>
        <v>6276.3</v>
      </c>
      <c r="H822" s="69">
        <f t="shared" si="186"/>
        <v>0</v>
      </c>
      <c r="I822" s="69">
        <f t="shared" si="182"/>
        <v>6276.3</v>
      </c>
      <c r="J822" s="69">
        <f t="shared" si="186"/>
        <v>0</v>
      </c>
      <c r="K822" s="85">
        <f t="shared" si="179"/>
        <v>6276.3</v>
      </c>
      <c r="L822" s="13">
        <f t="shared" si="186"/>
        <v>0</v>
      </c>
      <c r="M822" s="85">
        <f t="shared" si="184"/>
        <v>6276.3</v>
      </c>
      <c r="N822" s="13">
        <f t="shared" si="186"/>
        <v>0</v>
      </c>
      <c r="O822" s="85">
        <f t="shared" si="185"/>
        <v>6276.3</v>
      </c>
      <c r="P822" s="13">
        <f t="shared" si="186"/>
        <v>0</v>
      </c>
      <c r="Q822" s="85">
        <f t="shared" si="178"/>
        <v>6276.3</v>
      </c>
      <c r="R822" s="13">
        <f t="shared" si="186"/>
        <v>-290.10000000000002</v>
      </c>
      <c r="S822" s="85">
        <f t="shared" si="177"/>
        <v>5986.2</v>
      </c>
      <c r="T822" s="13">
        <f t="shared" si="186"/>
        <v>76.900000000000006</v>
      </c>
      <c r="U822" s="85">
        <f t="shared" si="183"/>
        <v>6063.0999999999995</v>
      </c>
    </row>
    <row r="823" spans="1:21">
      <c r="A823" s="61" t="str">
        <f ca="1">IF(ISERROR(MATCH(F823,Код_КВР,0)),"",INDIRECT(ADDRESS(MATCH(F823,Код_КВР,0)+1,2,,,"КВР")))</f>
        <v>Социальное обеспечение и иные выплаты населению</v>
      </c>
      <c r="B823" s="145">
        <v>805</v>
      </c>
      <c r="C823" s="8" t="s">
        <v>188</v>
      </c>
      <c r="D823" s="8" t="s">
        <v>215</v>
      </c>
      <c r="E823" s="145" t="s">
        <v>435</v>
      </c>
      <c r="F823" s="145">
        <v>300</v>
      </c>
      <c r="G823" s="69">
        <f t="shared" si="186"/>
        <v>6276.3</v>
      </c>
      <c r="H823" s="69">
        <f t="shared" si="186"/>
        <v>0</v>
      </c>
      <c r="I823" s="69">
        <f t="shared" si="182"/>
        <v>6276.3</v>
      </c>
      <c r="J823" s="69">
        <f t="shared" si="186"/>
        <v>0</v>
      </c>
      <c r="K823" s="85">
        <f t="shared" si="179"/>
        <v>6276.3</v>
      </c>
      <c r="L823" s="13">
        <f t="shared" si="186"/>
        <v>0</v>
      </c>
      <c r="M823" s="85">
        <f t="shared" si="184"/>
        <v>6276.3</v>
      </c>
      <c r="N823" s="13">
        <f t="shared" si="186"/>
        <v>0</v>
      </c>
      <c r="O823" s="85">
        <f t="shared" si="185"/>
        <v>6276.3</v>
      </c>
      <c r="P823" s="13">
        <f t="shared" si="186"/>
        <v>0</v>
      </c>
      <c r="Q823" s="85">
        <f t="shared" si="178"/>
        <v>6276.3</v>
      </c>
      <c r="R823" s="13">
        <f t="shared" si="186"/>
        <v>-290.10000000000002</v>
      </c>
      <c r="S823" s="85">
        <f t="shared" si="177"/>
        <v>5986.2</v>
      </c>
      <c r="T823" s="13">
        <f t="shared" si="186"/>
        <v>76.900000000000006</v>
      </c>
      <c r="U823" s="85">
        <f t="shared" si="183"/>
        <v>6063.0999999999995</v>
      </c>
    </row>
    <row r="824" spans="1:21" ht="33">
      <c r="A824" s="61" t="str">
        <f ca="1">IF(ISERROR(MATCH(F824,Код_КВР,0)),"",INDIRECT(ADDRESS(MATCH(F824,Код_КВР,0)+1,2,,,"КВР")))</f>
        <v>Социальные выплаты гражданам, кроме публичных нормативных социальных выплат</v>
      </c>
      <c r="B824" s="145">
        <v>805</v>
      </c>
      <c r="C824" s="8" t="s">
        <v>188</v>
      </c>
      <c r="D824" s="8" t="s">
        <v>215</v>
      </c>
      <c r="E824" s="145" t="s">
        <v>435</v>
      </c>
      <c r="F824" s="145">
        <v>320</v>
      </c>
      <c r="G824" s="69">
        <f t="shared" si="186"/>
        <v>6276.3</v>
      </c>
      <c r="H824" s="69">
        <f t="shared" si="186"/>
        <v>0</v>
      </c>
      <c r="I824" s="69">
        <f t="shared" si="182"/>
        <v>6276.3</v>
      </c>
      <c r="J824" s="69">
        <f t="shared" si="186"/>
        <v>0</v>
      </c>
      <c r="K824" s="85">
        <f t="shared" si="179"/>
        <v>6276.3</v>
      </c>
      <c r="L824" s="13">
        <f t="shared" si="186"/>
        <v>0</v>
      </c>
      <c r="M824" s="85">
        <f t="shared" si="184"/>
        <v>6276.3</v>
      </c>
      <c r="N824" s="13">
        <f t="shared" si="186"/>
        <v>0</v>
      </c>
      <c r="O824" s="85">
        <f t="shared" si="185"/>
        <v>6276.3</v>
      </c>
      <c r="P824" s="13">
        <f t="shared" si="186"/>
        <v>0</v>
      </c>
      <c r="Q824" s="85">
        <f t="shared" si="178"/>
        <v>6276.3</v>
      </c>
      <c r="R824" s="13">
        <f t="shared" si="186"/>
        <v>-290.10000000000002</v>
      </c>
      <c r="S824" s="85">
        <f t="shared" si="177"/>
        <v>5986.2</v>
      </c>
      <c r="T824" s="13">
        <f t="shared" si="186"/>
        <v>76.900000000000006</v>
      </c>
      <c r="U824" s="85">
        <f t="shared" si="183"/>
        <v>6063.0999999999995</v>
      </c>
    </row>
    <row r="825" spans="1:21" ht="33">
      <c r="A825" s="61" t="str">
        <f ca="1">IF(ISERROR(MATCH(F825,Код_КВР,0)),"",INDIRECT(ADDRESS(MATCH(F825,Код_КВР,0)+1,2,,,"КВР")))</f>
        <v>Пособия, компенсации и иные социальные выплаты гражданам, кроме публичных нормативных обязательств</v>
      </c>
      <c r="B825" s="145">
        <v>805</v>
      </c>
      <c r="C825" s="8" t="s">
        <v>188</v>
      </c>
      <c r="D825" s="8" t="s">
        <v>215</v>
      </c>
      <c r="E825" s="145" t="s">
        <v>435</v>
      </c>
      <c r="F825" s="145">
        <v>321</v>
      </c>
      <c r="G825" s="69">
        <v>6276.3</v>
      </c>
      <c r="H825" s="64"/>
      <c r="I825" s="69">
        <f t="shared" si="182"/>
        <v>6276.3</v>
      </c>
      <c r="J825" s="64"/>
      <c r="K825" s="85">
        <f t="shared" si="179"/>
        <v>6276.3</v>
      </c>
      <c r="L825" s="85"/>
      <c r="M825" s="85">
        <f t="shared" si="184"/>
        <v>6276.3</v>
      </c>
      <c r="N825" s="85"/>
      <c r="O825" s="85">
        <f t="shared" si="185"/>
        <v>6276.3</v>
      </c>
      <c r="P825" s="85"/>
      <c r="Q825" s="85">
        <f t="shared" si="178"/>
        <v>6276.3</v>
      </c>
      <c r="R825" s="85">
        <v>-290.10000000000002</v>
      </c>
      <c r="S825" s="85">
        <f t="shared" si="177"/>
        <v>5986.2</v>
      </c>
      <c r="T825" s="85">
        <v>76.900000000000006</v>
      </c>
      <c r="U825" s="85">
        <f t="shared" si="183"/>
        <v>6063.0999999999995</v>
      </c>
    </row>
    <row r="826" spans="1:21">
      <c r="A826" s="61" t="str">
        <f ca="1">IF(ISERROR(MATCH(E826,Код_КЦСР,0)),"",INDIRECT(ADDRESS(MATCH(E826,Код_КЦСР,0)+1,2,,,"КЦСР")))</f>
        <v>Кадровое обеспечение муниципальной системы образования</v>
      </c>
      <c r="B826" s="145">
        <v>805</v>
      </c>
      <c r="C826" s="8" t="s">
        <v>188</v>
      </c>
      <c r="D826" s="8" t="s">
        <v>215</v>
      </c>
      <c r="E826" s="145" t="s">
        <v>291</v>
      </c>
      <c r="F826" s="145"/>
      <c r="G826" s="69">
        <f t="shared" ref="G826:T830" si="187">G827</f>
        <v>11634.9</v>
      </c>
      <c r="H826" s="69">
        <f t="shared" si="187"/>
        <v>0</v>
      </c>
      <c r="I826" s="69">
        <f t="shared" si="182"/>
        <v>11634.9</v>
      </c>
      <c r="J826" s="69">
        <f t="shared" si="187"/>
        <v>0</v>
      </c>
      <c r="K826" s="85">
        <f t="shared" si="179"/>
        <v>11634.9</v>
      </c>
      <c r="L826" s="13">
        <f t="shared" si="187"/>
        <v>0</v>
      </c>
      <c r="M826" s="85">
        <f t="shared" si="184"/>
        <v>11634.9</v>
      </c>
      <c r="N826" s="13">
        <f t="shared" si="187"/>
        <v>0</v>
      </c>
      <c r="O826" s="85">
        <f t="shared" si="185"/>
        <v>11634.9</v>
      </c>
      <c r="P826" s="13">
        <f t="shared" si="187"/>
        <v>-10</v>
      </c>
      <c r="Q826" s="85">
        <f t="shared" si="178"/>
        <v>11624.9</v>
      </c>
      <c r="R826" s="13">
        <f t="shared" si="187"/>
        <v>0</v>
      </c>
      <c r="S826" s="85">
        <f t="shared" si="177"/>
        <v>11624.9</v>
      </c>
      <c r="T826" s="13">
        <f t="shared" si="187"/>
        <v>-288.7</v>
      </c>
      <c r="U826" s="85">
        <f t="shared" si="183"/>
        <v>11336.199999999999</v>
      </c>
    </row>
    <row r="827" spans="1:21" ht="33">
      <c r="A827" s="61" t="str">
        <f ca="1">IF(ISERROR(MATCH(E827,Код_КЦСР,0)),"",INDIRECT(ADDRESS(MATCH(E827,Код_КЦСР,0)+1,2,,,"КЦСР")))</f>
        <v xml:space="preserve">Осуществление денежных выплат работникам муниципальных образовательных учреждений     </v>
      </c>
      <c r="B827" s="145">
        <v>805</v>
      </c>
      <c r="C827" s="8" t="s">
        <v>188</v>
      </c>
      <c r="D827" s="8" t="s">
        <v>215</v>
      </c>
      <c r="E827" s="145" t="s">
        <v>296</v>
      </c>
      <c r="F827" s="145"/>
      <c r="G827" s="69">
        <f t="shared" si="187"/>
        <v>11634.9</v>
      </c>
      <c r="H827" s="69">
        <f t="shared" si="187"/>
        <v>0</v>
      </c>
      <c r="I827" s="69">
        <f t="shared" si="182"/>
        <v>11634.9</v>
      </c>
      <c r="J827" s="69">
        <f t="shared" si="187"/>
        <v>0</v>
      </c>
      <c r="K827" s="85">
        <f t="shared" si="179"/>
        <v>11634.9</v>
      </c>
      <c r="L827" s="13">
        <f t="shared" si="187"/>
        <v>0</v>
      </c>
      <c r="M827" s="85">
        <f t="shared" si="184"/>
        <v>11634.9</v>
      </c>
      <c r="N827" s="13">
        <f t="shared" si="187"/>
        <v>0</v>
      </c>
      <c r="O827" s="85">
        <f t="shared" si="185"/>
        <v>11634.9</v>
      </c>
      <c r="P827" s="13">
        <f t="shared" si="187"/>
        <v>-10</v>
      </c>
      <c r="Q827" s="85">
        <f t="shared" si="178"/>
        <v>11624.9</v>
      </c>
      <c r="R827" s="13">
        <f t="shared" si="187"/>
        <v>0</v>
      </c>
      <c r="S827" s="85">
        <f t="shared" si="177"/>
        <v>11624.9</v>
      </c>
      <c r="T827" s="13">
        <f t="shared" si="187"/>
        <v>-288.7</v>
      </c>
      <c r="U827" s="85">
        <f t="shared" si="183"/>
        <v>11336.199999999999</v>
      </c>
    </row>
    <row r="828" spans="1:21" ht="71.25" customHeight="1">
      <c r="A828" s="61" t="str">
        <f ca="1">IF(ISERROR(MATCH(E828,Код_КЦСР,0)),"",INDIRECT(ADDRESS(MATCH(E828,Код_КЦСР,0)+1,2,,,"КЦСР")))</f>
        <v>Ежемесячное социальное пособие на оздоровление отдельным категориям работников муниципальных дошкольных образовательных учреждений в соответствии с решением Череповецкой городской Думы от 29.05.2012 № 94</v>
      </c>
      <c r="B828" s="145">
        <v>805</v>
      </c>
      <c r="C828" s="8" t="s">
        <v>188</v>
      </c>
      <c r="D828" s="8" t="s">
        <v>215</v>
      </c>
      <c r="E828" s="145" t="s">
        <v>455</v>
      </c>
      <c r="F828" s="145"/>
      <c r="G828" s="69">
        <f t="shared" si="187"/>
        <v>11634.9</v>
      </c>
      <c r="H828" s="69">
        <f t="shared" si="187"/>
        <v>0</v>
      </c>
      <c r="I828" s="69">
        <f t="shared" si="182"/>
        <v>11634.9</v>
      </c>
      <c r="J828" s="69">
        <f t="shared" si="187"/>
        <v>0</v>
      </c>
      <c r="K828" s="85">
        <f t="shared" si="179"/>
        <v>11634.9</v>
      </c>
      <c r="L828" s="13">
        <f t="shared" si="187"/>
        <v>0</v>
      </c>
      <c r="M828" s="85">
        <f t="shared" si="184"/>
        <v>11634.9</v>
      </c>
      <c r="N828" s="13">
        <f t="shared" si="187"/>
        <v>0</v>
      </c>
      <c r="O828" s="85">
        <f t="shared" si="185"/>
        <v>11634.9</v>
      </c>
      <c r="P828" s="13">
        <f t="shared" si="187"/>
        <v>-10</v>
      </c>
      <c r="Q828" s="85">
        <f t="shared" si="178"/>
        <v>11624.9</v>
      </c>
      <c r="R828" s="13">
        <f t="shared" si="187"/>
        <v>0</v>
      </c>
      <c r="S828" s="85">
        <f t="shared" si="177"/>
        <v>11624.9</v>
      </c>
      <c r="T828" s="13">
        <f t="shared" si="187"/>
        <v>-288.7</v>
      </c>
      <c r="U828" s="85">
        <f t="shared" si="183"/>
        <v>11336.199999999999</v>
      </c>
    </row>
    <row r="829" spans="1:21">
      <c r="A829" s="61" t="str">
        <f ca="1">IF(ISERROR(MATCH(F829,Код_КВР,0)),"",INDIRECT(ADDRESS(MATCH(F829,Код_КВР,0)+1,2,,,"КВР")))</f>
        <v>Социальное обеспечение и иные выплаты населению</v>
      </c>
      <c r="B829" s="145">
        <v>805</v>
      </c>
      <c r="C829" s="8" t="s">
        <v>188</v>
      </c>
      <c r="D829" s="8" t="s">
        <v>215</v>
      </c>
      <c r="E829" s="145" t="s">
        <v>455</v>
      </c>
      <c r="F829" s="145">
        <v>300</v>
      </c>
      <c r="G829" s="69">
        <f t="shared" si="187"/>
        <v>11634.9</v>
      </c>
      <c r="H829" s="69">
        <f t="shared" si="187"/>
        <v>0</v>
      </c>
      <c r="I829" s="69">
        <f t="shared" si="182"/>
        <v>11634.9</v>
      </c>
      <c r="J829" s="69">
        <f t="shared" si="187"/>
        <v>0</v>
      </c>
      <c r="K829" s="85">
        <f t="shared" si="179"/>
        <v>11634.9</v>
      </c>
      <c r="L829" s="13">
        <f t="shared" si="187"/>
        <v>0</v>
      </c>
      <c r="M829" s="85">
        <f t="shared" si="184"/>
        <v>11634.9</v>
      </c>
      <c r="N829" s="13">
        <f t="shared" si="187"/>
        <v>0</v>
      </c>
      <c r="O829" s="85">
        <f t="shared" si="185"/>
        <v>11634.9</v>
      </c>
      <c r="P829" s="13">
        <f t="shared" si="187"/>
        <v>-10</v>
      </c>
      <c r="Q829" s="85">
        <f t="shared" si="178"/>
        <v>11624.9</v>
      </c>
      <c r="R829" s="13">
        <f t="shared" si="187"/>
        <v>0</v>
      </c>
      <c r="S829" s="85">
        <f t="shared" si="177"/>
        <v>11624.9</v>
      </c>
      <c r="T829" s="13">
        <f t="shared" si="187"/>
        <v>-288.7</v>
      </c>
      <c r="U829" s="85">
        <f t="shared" si="183"/>
        <v>11336.199999999999</v>
      </c>
    </row>
    <row r="830" spans="1:21">
      <c r="A830" s="61" t="str">
        <f ca="1">IF(ISERROR(MATCH(F830,Код_КВР,0)),"",INDIRECT(ADDRESS(MATCH(F830,Код_КВР,0)+1,2,,,"КВР")))</f>
        <v>Публичные нормативные социальные выплаты гражданам</v>
      </c>
      <c r="B830" s="145">
        <v>805</v>
      </c>
      <c r="C830" s="8" t="s">
        <v>188</v>
      </c>
      <c r="D830" s="8" t="s">
        <v>215</v>
      </c>
      <c r="E830" s="145" t="s">
        <v>455</v>
      </c>
      <c r="F830" s="145">
        <v>310</v>
      </c>
      <c r="G830" s="69">
        <f t="shared" si="187"/>
        <v>11634.9</v>
      </c>
      <c r="H830" s="69">
        <f t="shared" si="187"/>
        <v>0</v>
      </c>
      <c r="I830" s="69">
        <f t="shared" si="182"/>
        <v>11634.9</v>
      </c>
      <c r="J830" s="69">
        <f t="shared" si="187"/>
        <v>0</v>
      </c>
      <c r="K830" s="85">
        <f t="shared" si="179"/>
        <v>11634.9</v>
      </c>
      <c r="L830" s="13">
        <f t="shared" si="187"/>
        <v>0</v>
      </c>
      <c r="M830" s="85">
        <f t="shared" si="184"/>
        <v>11634.9</v>
      </c>
      <c r="N830" s="13">
        <f t="shared" si="187"/>
        <v>0</v>
      </c>
      <c r="O830" s="85">
        <f t="shared" si="185"/>
        <v>11634.9</v>
      </c>
      <c r="P830" s="13">
        <f t="shared" si="187"/>
        <v>-10</v>
      </c>
      <c r="Q830" s="85">
        <f t="shared" si="178"/>
        <v>11624.9</v>
      </c>
      <c r="R830" s="13">
        <f t="shared" si="187"/>
        <v>0</v>
      </c>
      <c r="S830" s="85">
        <f t="shared" si="177"/>
        <v>11624.9</v>
      </c>
      <c r="T830" s="13">
        <f t="shared" si="187"/>
        <v>-288.7</v>
      </c>
      <c r="U830" s="85">
        <f t="shared" si="183"/>
        <v>11336.199999999999</v>
      </c>
    </row>
    <row r="831" spans="1:21" ht="33">
      <c r="A831" s="61" t="str">
        <f ca="1">IF(ISERROR(MATCH(F831,Код_КВР,0)),"",INDIRECT(ADDRESS(MATCH(F831,Код_КВР,0)+1,2,,,"КВР")))</f>
        <v>Пособия, компенсации, меры социальной поддержки по публичным нормативным обязательствам</v>
      </c>
      <c r="B831" s="145">
        <v>805</v>
      </c>
      <c r="C831" s="8" t="s">
        <v>188</v>
      </c>
      <c r="D831" s="8" t="s">
        <v>215</v>
      </c>
      <c r="E831" s="145" t="s">
        <v>455</v>
      </c>
      <c r="F831" s="145">
        <v>313</v>
      </c>
      <c r="G831" s="69">
        <v>11634.9</v>
      </c>
      <c r="H831" s="64"/>
      <c r="I831" s="69">
        <f t="shared" si="182"/>
        <v>11634.9</v>
      </c>
      <c r="J831" s="64"/>
      <c r="K831" s="85">
        <f t="shared" si="179"/>
        <v>11634.9</v>
      </c>
      <c r="L831" s="85"/>
      <c r="M831" s="85">
        <f t="shared" si="184"/>
        <v>11634.9</v>
      </c>
      <c r="N831" s="85"/>
      <c r="O831" s="85">
        <f t="shared" si="185"/>
        <v>11634.9</v>
      </c>
      <c r="P831" s="85">
        <v>-10</v>
      </c>
      <c r="Q831" s="85">
        <f t="shared" si="178"/>
        <v>11624.9</v>
      </c>
      <c r="R831" s="85"/>
      <c r="S831" s="85">
        <f t="shared" si="177"/>
        <v>11624.9</v>
      </c>
      <c r="T831" s="85">
        <f>-153.1-135.6</f>
        <v>-288.7</v>
      </c>
      <c r="U831" s="85">
        <f t="shared" si="183"/>
        <v>11336.199999999999</v>
      </c>
    </row>
    <row r="832" spans="1:21" ht="33">
      <c r="A832" s="61" t="str">
        <f ca="1">IF(ISERROR(MATCH(E832,Код_КЦСР,0)),"",INDIRECT(ADDRESS(MATCH(E832,Код_КЦСР,0)+1,2,,,"КЦСР")))</f>
        <v>Социально-педагогическая поддержка детей-сирот и детей, оставшихся без попечения родителей</v>
      </c>
      <c r="B832" s="145">
        <v>805</v>
      </c>
      <c r="C832" s="8" t="s">
        <v>188</v>
      </c>
      <c r="D832" s="8" t="s">
        <v>215</v>
      </c>
      <c r="E832" s="145" t="s">
        <v>412</v>
      </c>
      <c r="F832" s="145"/>
      <c r="G832" s="69">
        <f t="shared" ref="G832:T834" si="188">G833</f>
        <v>4176</v>
      </c>
      <c r="H832" s="69">
        <f t="shared" si="188"/>
        <v>0</v>
      </c>
      <c r="I832" s="69">
        <f t="shared" si="182"/>
        <v>4176</v>
      </c>
      <c r="J832" s="69">
        <f t="shared" si="188"/>
        <v>0</v>
      </c>
      <c r="K832" s="85">
        <f t="shared" si="179"/>
        <v>4176</v>
      </c>
      <c r="L832" s="13">
        <f t="shared" si="188"/>
        <v>0</v>
      </c>
      <c r="M832" s="85">
        <f t="shared" si="184"/>
        <v>4176</v>
      </c>
      <c r="N832" s="13">
        <f t="shared" si="188"/>
        <v>0</v>
      </c>
      <c r="O832" s="85">
        <f t="shared" si="185"/>
        <v>4176</v>
      </c>
      <c r="P832" s="13">
        <f t="shared" si="188"/>
        <v>0</v>
      </c>
      <c r="Q832" s="85">
        <f t="shared" si="178"/>
        <v>4176</v>
      </c>
      <c r="R832" s="13">
        <f t="shared" si="188"/>
        <v>491.2</v>
      </c>
      <c r="S832" s="85">
        <f t="shared" si="177"/>
        <v>4667.2</v>
      </c>
      <c r="T832" s="13">
        <f t="shared" si="188"/>
        <v>-620</v>
      </c>
      <c r="U832" s="85">
        <f t="shared" si="183"/>
        <v>4047.2</v>
      </c>
    </row>
    <row r="833" spans="1:21" ht="66">
      <c r="A833" s="61" t="str">
        <f ca="1">IF(ISERROR(MATCH(E833,Код_КЦСР,0)),"",INDIRECT(ADDRESS(MATCH(E833,Код_КЦСР,0)+1,2,,,"КЦСР")))</f>
        <v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v>
      </c>
      <c r="B833" s="145">
        <v>805</v>
      </c>
      <c r="C833" s="8" t="s">
        <v>188</v>
      </c>
      <c r="D833" s="8" t="s">
        <v>215</v>
      </c>
      <c r="E833" s="145" t="s">
        <v>414</v>
      </c>
      <c r="F833" s="145"/>
      <c r="G833" s="69">
        <f t="shared" si="188"/>
        <v>4176</v>
      </c>
      <c r="H833" s="69">
        <f t="shared" si="188"/>
        <v>0</v>
      </c>
      <c r="I833" s="69">
        <f t="shared" si="182"/>
        <v>4176</v>
      </c>
      <c r="J833" s="69">
        <f t="shared" si="188"/>
        <v>0</v>
      </c>
      <c r="K833" s="85">
        <f t="shared" si="179"/>
        <v>4176</v>
      </c>
      <c r="L833" s="13">
        <f t="shared" si="188"/>
        <v>0</v>
      </c>
      <c r="M833" s="85">
        <f t="shared" si="184"/>
        <v>4176</v>
      </c>
      <c r="N833" s="13">
        <f t="shared" si="188"/>
        <v>0</v>
      </c>
      <c r="O833" s="85">
        <f t="shared" si="185"/>
        <v>4176</v>
      </c>
      <c r="P833" s="13">
        <f t="shared" si="188"/>
        <v>0</v>
      </c>
      <c r="Q833" s="85">
        <f t="shared" si="178"/>
        <v>4176</v>
      </c>
      <c r="R833" s="13">
        <f t="shared" si="188"/>
        <v>491.2</v>
      </c>
      <c r="S833" s="85">
        <f t="shared" si="177"/>
        <v>4667.2</v>
      </c>
      <c r="T833" s="13">
        <f t="shared" si="188"/>
        <v>-620</v>
      </c>
      <c r="U833" s="85">
        <f t="shared" si="183"/>
        <v>4047.2</v>
      </c>
    </row>
    <row r="834" spans="1:21">
      <c r="A834" s="61" t="str">
        <f ca="1">IF(ISERROR(MATCH(F834,Код_КВР,0)),"",INDIRECT(ADDRESS(MATCH(F834,Код_КВР,0)+1,2,,,"КВР")))</f>
        <v>Социальное обеспечение и иные выплаты населению</v>
      </c>
      <c r="B834" s="145">
        <v>805</v>
      </c>
      <c r="C834" s="8" t="s">
        <v>188</v>
      </c>
      <c r="D834" s="8" t="s">
        <v>215</v>
      </c>
      <c r="E834" s="145" t="s">
        <v>414</v>
      </c>
      <c r="F834" s="145">
        <v>300</v>
      </c>
      <c r="G834" s="69">
        <f t="shared" si="188"/>
        <v>4176</v>
      </c>
      <c r="H834" s="69">
        <f t="shared" si="188"/>
        <v>0</v>
      </c>
      <c r="I834" s="69">
        <f t="shared" si="182"/>
        <v>4176</v>
      </c>
      <c r="J834" s="69">
        <f t="shared" si="188"/>
        <v>0</v>
      </c>
      <c r="K834" s="85">
        <f t="shared" si="179"/>
        <v>4176</v>
      </c>
      <c r="L834" s="13">
        <f t="shared" si="188"/>
        <v>0</v>
      </c>
      <c r="M834" s="85">
        <f t="shared" si="184"/>
        <v>4176</v>
      </c>
      <c r="N834" s="13">
        <f t="shared" si="188"/>
        <v>0</v>
      </c>
      <c r="O834" s="85">
        <f t="shared" si="185"/>
        <v>4176</v>
      </c>
      <c r="P834" s="13">
        <f t="shared" si="188"/>
        <v>0</v>
      </c>
      <c r="Q834" s="85">
        <f t="shared" si="178"/>
        <v>4176</v>
      </c>
      <c r="R834" s="13">
        <f t="shared" si="188"/>
        <v>491.2</v>
      </c>
      <c r="S834" s="85">
        <f t="shared" si="177"/>
        <v>4667.2</v>
      </c>
      <c r="T834" s="13">
        <f t="shared" si="188"/>
        <v>-620</v>
      </c>
      <c r="U834" s="85">
        <f t="shared" si="183"/>
        <v>4047.2</v>
      </c>
    </row>
    <row r="835" spans="1:21" ht="33">
      <c r="A835" s="61" t="str">
        <f ca="1">IF(ISERROR(MATCH(F835,Код_КВР,0)),"",INDIRECT(ADDRESS(MATCH(F835,Код_КВР,0)+1,2,,,"КВР")))</f>
        <v>Социальные выплаты гражданам, кроме публичных нормативных социальных выплат</v>
      </c>
      <c r="B835" s="145">
        <v>805</v>
      </c>
      <c r="C835" s="8" t="s">
        <v>188</v>
      </c>
      <c r="D835" s="8" t="s">
        <v>215</v>
      </c>
      <c r="E835" s="145" t="s">
        <v>414</v>
      </c>
      <c r="F835" s="145">
        <v>320</v>
      </c>
      <c r="G835" s="69">
        <f>SUM(G836+G837)</f>
        <v>4176</v>
      </c>
      <c r="H835" s="69">
        <f>SUM(H836+H837)</f>
        <v>0</v>
      </c>
      <c r="I835" s="69">
        <f t="shared" si="182"/>
        <v>4176</v>
      </c>
      <c r="J835" s="69">
        <f>SUM(J836+J837)</f>
        <v>0</v>
      </c>
      <c r="K835" s="85">
        <f t="shared" si="179"/>
        <v>4176</v>
      </c>
      <c r="L835" s="13">
        <f>SUM(L836+L837)</f>
        <v>0</v>
      </c>
      <c r="M835" s="85">
        <f t="shared" si="184"/>
        <v>4176</v>
      </c>
      <c r="N835" s="13">
        <f>SUM(N836+N837)</f>
        <v>0</v>
      </c>
      <c r="O835" s="85">
        <f t="shared" si="185"/>
        <v>4176</v>
      </c>
      <c r="P835" s="13">
        <f>SUM(P836+P837)</f>
        <v>0</v>
      </c>
      <c r="Q835" s="85">
        <f t="shared" si="178"/>
        <v>4176</v>
      </c>
      <c r="R835" s="13">
        <f>SUM(R836+R837)</f>
        <v>491.2</v>
      </c>
      <c r="S835" s="85">
        <f t="shared" si="177"/>
        <v>4667.2</v>
      </c>
      <c r="T835" s="13">
        <f>SUM(T836+T837)</f>
        <v>-620</v>
      </c>
      <c r="U835" s="85">
        <f t="shared" si="183"/>
        <v>4047.2</v>
      </c>
    </row>
    <row r="836" spans="1:21" ht="33">
      <c r="A836" s="61" t="str">
        <f ca="1">IF(ISERROR(MATCH(F836,Код_КВР,0)),"",INDIRECT(ADDRESS(MATCH(F836,Код_КВР,0)+1,2,,,"КВР")))</f>
        <v>Пособия, компенсации и иные социальные выплаты гражданам, кроме публичных нормативных обязательств</v>
      </c>
      <c r="B836" s="145">
        <v>805</v>
      </c>
      <c r="C836" s="8" t="s">
        <v>188</v>
      </c>
      <c r="D836" s="8" t="s">
        <v>215</v>
      </c>
      <c r="E836" s="145" t="s">
        <v>414</v>
      </c>
      <c r="F836" s="145">
        <v>321</v>
      </c>
      <c r="G836" s="69">
        <f>696+1200</f>
        <v>1896</v>
      </c>
      <c r="H836" s="69"/>
      <c r="I836" s="69">
        <f t="shared" si="182"/>
        <v>1896</v>
      </c>
      <c r="J836" s="69"/>
      <c r="K836" s="85">
        <f t="shared" si="179"/>
        <v>1896</v>
      </c>
      <c r="L836" s="13"/>
      <c r="M836" s="85">
        <f t="shared" si="184"/>
        <v>1896</v>
      </c>
      <c r="N836" s="13"/>
      <c r="O836" s="85">
        <f t="shared" si="185"/>
        <v>1896</v>
      </c>
      <c r="P836" s="13"/>
      <c r="Q836" s="85">
        <f t="shared" si="178"/>
        <v>1896</v>
      </c>
      <c r="R836" s="13">
        <v>491.2</v>
      </c>
      <c r="S836" s="85">
        <f t="shared" ref="S836:S902" si="189">Q836+R836</f>
        <v>2387.1999999999998</v>
      </c>
      <c r="T836" s="13">
        <v>580</v>
      </c>
      <c r="U836" s="85">
        <f t="shared" si="183"/>
        <v>2967.2</v>
      </c>
    </row>
    <row r="837" spans="1:21" ht="33">
      <c r="A837" s="61" t="str">
        <f ca="1">IF(ISERROR(MATCH(F837,Код_КВР,0)),"",INDIRECT(ADDRESS(MATCH(F837,Код_КВР,0)+1,2,,,"КВР")))</f>
        <v>Приобретение товаров, работ, услуг в пользу граждан в целях их социального обеспечения</v>
      </c>
      <c r="B837" s="145">
        <v>805</v>
      </c>
      <c r="C837" s="8" t="s">
        <v>188</v>
      </c>
      <c r="D837" s="8" t="s">
        <v>215</v>
      </c>
      <c r="E837" s="145" t="s">
        <v>414</v>
      </c>
      <c r="F837" s="145">
        <v>323</v>
      </c>
      <c r="G837" s="69">
        <v>2280</v>
      </c>
      <c r="H837" s="69"/>
      <c r="I837" s="69">
        <f t="shared" si="182"/>
        <v>2280</v>
      </c>
      <c r="J837" s="69"/>
      <c r="K837" s="85">
        <f t="shared" si="179"/>
        <v>2280</v>
      </c>
      <c r="L837" s="13"/>
      <c r="M837" s="85">
        <f t="shared" si="184"/>
        <v>2280</v>
      </c>
      <c r="N837" s="13"/>
      <c r="O837" s="85">
        <f t="shared" si="185"/>
        <v>2280</v>
      </c>
      <c r="P837" s="13"/>
      <c r="Q837" s="85">
        <f t="shared" si="178"/>
        <v>2280</v>
      </c>
      <c r="R837" s="13"/>
      <c r="S837" s="85">
        <f t="shared" si="189"/>
        <v>2280</v>
      </c>
      <c r="T837" s="13">
        <v>-1200</v>
      </c>
      <c r="U837" s="85">
        <f t="shared" si="183"/>
        <v>1080</v>
      </c>
    </row>
    <row r="838" spans="1:21">
      <c r="A838" s="76" t="s">
        <v>204</v>
      </c>
      <c r="B838" s="145">
        <v>805</v>
      </c>
      <c r="C838" s="8" t="s">
        <v>188</v>
      </c>
      <c r="D838" s="8" t="s">
        <v>216</v>
      </c>
      <c r="E838" s="145"/>
      <c r="F838" s="145"/>
      <c r="G838" s="69">
        <f>G839</f>
        <v>132317.90000000002</v>
      </c>
      <c r="H838" s="69">
        <f>H839</f>
        <v>0</v>
      </c>
      <c r="I838" s="69">
        <f t="shared" si="182"/>
        <v>132317.90000000002</v>
      </c>
      <c r="J838" s="69">
        <f>J839</f>
        <v>0</v>
      </c>
      <c r="K838" s="85">
        <f t="shared" si="179"/>
        <v>132317.90000000002</v>
      </c>
      <c r="L838" s="13">
        <f>L839</f>
        <v>0</v>
      </c>
      <c r="M838" s="85">
        <f t="shared" si="184"/>
        <v>132317.90000000002</v>
      </c>
      <c r="N838" s="13">
        <f>N839</f>
        <v>0</v>
      </c>
      <c r="O838" s="85">
        <f t="shared" si="185"/>
        <v>132317.90000000002</v>
      </c>
      <c r="P838" s="13">
        <f>P839</f>
        <v>0</v>
      </c>
      <c r="Q838" s="85">
        <f t="shared" si="178"/>
        <v>132317.90000000002</v>
      </c>
      <c r="R838" s="13">
        <f>R839</f>
        <v>-9259.2000000000007</v>
      </c>
      <c r="S838" s="85">
        <f t="shared" si="189"/>
        <v>123058.70000000003</v>
      </c>
      <c r="T838" s="13">
        <f>T839</f>
        <v>5516.5</v>
      </c>
      <c r="U838" s="85">
        <f t="shared" si="183"/>
        <v>128575.20000000003</v>
      </c>
    </row>
    <row r="839" spans="1:21">
      <c r="A839" s="61" t="str">
        <f ca="1">IF(ISERROR(MATCH(E839,Код_КЦСР,0)),"",INDIRECT(ADDRESS(MATCH(E839,Код_КЦСР,0)+1,2,,,"КЦСР")))</f>
        <v>Муниципальная программа «Развитие образования» на 2013-2022 годы</v>
      </c>
      <c r="B839" s="145">
        <v>805</v>
      </c>
      <c r="C839" s="8" t="s">
        <v>188</v>
      </c>
      <c r="D839" s="8" t="s">
        <v>216</v>
      </c>
      <c r="E839" s="145" t="s">
        <v>271</v>
      </c>
      <c r="F839" s="145"/>
      <c r="G839" s="69">
        <f>G840+G845+G851</f>
        <v>132317.90000000002</v>
      </c>
      <c r="H839" s="69">
        <f>H840+H845+H851</f>
        <v>0</v>
      </c>
      <c r="I839" s="69">
        <f t="shared" si="182"/>
        <v>132317.90000000002</v>
      </c>
      <c r="J839" s="69">
        <f>J840+J845+J851</f>
        <v>0</v>
      </c>
      <c r="K839" s="85">
        <f t="shared" si="179"/>
        <v>132317.90000000002</v>
      </c>
      <c r="L839" s="13">
        <f>L840+L845+L851</f>
        <v>0</v>
      </c>
      <c r="M839" s="85">
        <f t="shared" si="184"/>
        <v>132317.90000000002</v>
      </c>
      <c r="N839" s="13">
        <f>N840+N845+N851</f>
        <v>0</v>
      </c>
      <c r="O839" s="85">
        <f t="shared" si="185"/>
        <v>132317.90000000002</v>
      </c>
      <c r="P839" s="13">
        <f>P840+P845+P851</f>
        <v>0</v>
      </c>
      <c r="Q839" s="85">
        <f t="shared" si="178"/>
        <v>132317.90000000002</v>
      </c>
      <c r="R839" s="13">
        <f>R840+R845+R851</f>
        <v>-9259.2000000000007</v>
      </c>
      <c r="S839" s="85">
        <f t="shared" si="189"/>
        <v>123058.70000000003</v>
      </c>
      <c r="T839" s="13">
        <f>T840+T845+T851</f>
        <v>5516.5</v>
      </c>
      <c r="U839" s="85">
        <f t="shared" si="183"/>
        <v>128575.20000000003</v>
      </c>
    </row>
    <row r="840" spans="1:21">
      <c r="A840" s="61" t="str">
        <f ca="1">IF(ISERROR(MATCH(E840,Код_КЦСР,0)),"",INDIRECT(ADDRESS(MATCH(E840,Код_КЦСР,0)+1,2,,,"КЦСР")))</f>
        <v>Дошкольное образование</v>
      </c>
      <c r="B840" s="145">
        <v>805</v>
      </c>
      <c r="C840" s="8" t="s">
        <v>188</v>
      </c>
      <c r="D840" s="8" t="s">
        <v>216</v>
      </c>
      <c r="E840" s="145" t="s">
        <v>278</v>
      </c>
      <c r="F840" s="145"/>
      <c r="G840" s="69">
        <f t="shared" ref="G840:T843" si="190">G841</f>
        <v>63969.3</v>
      </c>
      <c r="H840" s="69">
        <f t="shared" si="190"/>
        <v>0</v>
      </c>
      <c r="I840" s="69">
        <f t="shared" si="182"/>
        <v>63969.3</v>
      </c>
      <c r="J840" s="69">
        <f t="shared" si="190"/>
        <v>0</v>
      </c>
      <c r="K840" s="85">
        <f t="shared" si="179"/>
        <v>63969.3</v>
      </c>
      <c r="L840" s="13">
        <f t="shared" si="190"/>
        <v>0</v>
      </c>
      <c r="M840" s="85">
        <f t="shared" si="184"/>
        <v>63969.3</v>
      </c>
      <c r="N840" s="13">
        <f t="shared" si="190"/>
        <v>0</v>
      </c>
      <c r="O840" s="85">
        <f t="shared" si="185"/>
        <v>63969.3</v>
      </c>
      <c r="P840" s="13">
        <f t="shared" si="190"/>
        <v>0</v>
      </c>
      <c r="Q840" s="85">
        <f t="shared" si="178"/>
        <v>63969.3</v>
      </c>
      <c r="R840" s="13">
        <f t="shared" si="190"/>
        <v>-6403.7</v>
      </c>
      <c r="S840" s="85">
        <f t="shared" si="189"/>
        <v>57565.600000000006</v>
      </c>
      <c r="T840" s="13">
        <f t="shared" si="190"/>
        <v>2116.4</v>
      </c>
      <c r="U840" s="85">
        <f t="shared" si="183"/>
        <v>59682.000000000007</v>
      </c>
    </row>
    <row r="841" spans="1:21" ht="66">
      <c r="A841" s="61" t="str">
        <f ca="1">IF(ISERROR(MATCH(E841,Код_КЦСР,0)),"",INDIRECT(ADDRESS(MATCH(E841,Код_КЦСР,0)+1,2,,,"КЦСР")))</f>
        <v>Оказание содействия родителям (законным представителям) детей, посещающих дошкольные образовательные учреждения, реализующие основную образовательную программу дошкольного образования за счет субвенций из областного бюджета</v>
      </c>
      <c r="B841" s="145">
        <v>805</v>
      </c>
      <c r="C841" s="8" t="s">
        <v>188</v>
      </c>
      <c r="D841" s="8" t="s">
        <v>216</v>
      </c>
      <c r="E841" s="145" t="s">
        <v>429</v>
      </c>
      <c r="F841" s="145"/>
      <c r="G841" s="69">
        <f t="shared" si="190"/>
        <v>63969.3</v>
      </c>
      <c r="H841" s="69">
        <f t="shared" si="190"/>
        <v>0</v>
      </c>
      <c r="I841" s="69">
        <f t="shared" si="182"/>
        <v>63969.3</v>
      </c>
      <c r="J841" s="69">
        <f t="shared" si="190"/>
        <v>0</v>
      </c>
      <c r="K841" s="85">
        <f t="shared" si="179"/>
        <v>63969.3</v>
      </c>
      <c r="L841" s="13">
        <f t="shared" si="190"/>
        <v>0</v>
      </c>
      <c r="M841" s="85">
        <f t="shared" si="184"/>
        <v>63969.3</v>
      </c>
      <c r="N841" s="13">
        <f t="shared" si="190"/>
        <v>0</v>
      </c>
      <c r="O841" s="85">
        <f t="shared" si="185"/>
        <v>63969.3</v>
      </c>
      <c r="P841" s="13">
        <f t="shared" si="190"/>
        <v>0</v>
      </c>
      <c r="Q841" s="85">
        <f t="shared" si="178"/>
        <v>63969.3</v>
      </c>
      <c r="R841" s="13">
        <f t="shared" si="190"/>
        <v>-6403.7</v>
      </c>
      <c r="S841" s="85">
        <f t="shared" si="189"/>
        <v>57565.600000000006</v>
      </c>
      <c r="T841" s="13">
        <f t="shared" si="190"/>
        <v>2116.4</v>
      </c>
      <c r="U841" s="85">
        <f t="shared" si="183"/>
        <v>59682.000000000007</v>
      </c>
    </row>
    <row r="842" spans="1:21">
      <c r="A842" s="61" t="str">
        <f ca="1">IF(ISERROR(MATCH(F842,Код_КВР,0)),"",INDIRECT(ADDRESS(MATCH(F842,Код_КВР,0)+1,2,,,"КВР")))</f>
        <v>Социальное обеспечение и иные выплаты населению</v>
      </c>
      <c r="B842" s="145">
        <v>805</v>
      </c>
      <c r="C842" s="8" t="s">
        <v>188</v>
      </c>
      <c r="D842" s="8" t="s">
        <v>216</v>
      </c>
      <c r="E842" s="145" t="s">
        <v>429</v>
      </c>
      <c r="F842" s="145">
        <v>300</v>
      </c>
      <c r="G842" s="69">
        <f t="shared" si="190"/>
        <v>63969.3</v>
      </c>
      <c r="H842" s="69">
        <f t="shared" si="190"/>
        <v>0</v>
      </c>
      <c r="I842" s="69">
        <f t="shared" si="182"/>
        <v>63969.3</v>
      </c>
      <c r="J842" s="69">
        <f t="shared" si="190"/>
        <v>0</v>
      </c>
      <c r="K842" s="85">
        <f t="shared" si="179"/>
        <v>63969.3</v>
      </c>
      <c r="L842" s="13">
        <f t="shared" si="190"/>
        <v>0</v>
      </c>
      <c r="M842" s="85">
        <f t="shared" si="184"/>
        <v>63969.3</v>
      </c>
      <c r="N842" s="13">
        <f t="shared" si="190"/>
        <v>0</v>
      </c>
      <c r="O842" s="85">
        <f t="shared" si="185"/>
        <v>63969.3</v>
      </c>
      <c r="P842" s="13">
        <f t="shared" si="190"/>
        <v>0</v>
      </c>
      <c r="Q842" s="85">
        <f t="shared" ref="Q842:Q908" si="191">O842+P842</f>
        <v>63969.3</v>
      </c>
      <c r="R842" s="13">
        <f t="shared" si="190"/>
        <v>-6403.7</v>
      </c>
      <c r="S842" s="85">
        <f t="shared" si="189"/>
        <v>57565.600000000006</v>
      </c>
      <c r="T842" s="13">
        <f t="shared" si="190"/>
        <v>2116.4</v>
      </c>
      <c r="U842" s="85">
        <f t="shared" si="183"/>
        <v>59682.000000000007</v>
      </c>
    </row>
    <row r="843" spans="1:21" ht="33">
      <c r="A843" s="61" t="str">
        <f ca="1">IF(ISERROR(MATCH(F843,Код_КВР,0)),"",INDIRECT(ADDRESS(MATCH(F843,Код_КВР,0)+1,2,,,"КВР")))</f>
        <v>Социальные выплаты гражданам, кроме публичных нормативных социальных выплат</v>
      </c>
      <c r="B843" s="145">
        <v>805</v>
      </c>
      <c r="C843" s="8" t="s">
        <v>188</v>
      </c>
      <c r="D843" s="8" t="s">
        <v>216</v>
      </c>
      <c r="E843" s="145" t="s">
        <v>429</v>
      </c>
      <c r="F843" s="145">
        <v>320</v>
      </c>
      <c r="G843" s="69">
        <f t="shared" si="190"/>
        <v>63969.3</v>
      </c>
      <c r="H843" s="69">
        <f t="shared" si="190"/>
        <v>0</v>
      </c>
      <c r="I843" s="69">
        <f t="shared" si="182"/>
        <v>63969.3</v>
      </c>
      <c r="J843" s="69">
        <f t="shared" si="190"/>
        <v>0</v>
      </c>
      <c r="K843" s="85">
        <f t="shared" si="179"/>
        <v>63969.3</v>
      </c>
      <c r="L843" s="13">
        <f t="shared" si="190"/>
        <v>0</v>
      </c>
      <c r="M843" s="85">
        <f t="shared" si="184"/>
        <v>63969.3</v>
      </c>
      <c r="N843" s="13">
        <f t="shared" si="190"/>
        <v>0</v>
      </c>
      <c r="O843" s="85">
        <f t="shared" si="185"/>
        <v>63969.3</v>
      </c>
      <c r="P843" s="13">
        <f t="shared" si="190"/>
        <v>0</v>
      </c>
      <c r="Q843" s="85">
        <f t="shared" si="191"/>
        <v>63969.3</v>
      </c>
      <c r="R843" s="13">
        <f t="shared" si="190"/>
        <v>-6403.7</v>
      </c>
      <c r="S843" s="85">
        <f t="shared" si="189"/>
        <v>57565.600000000006</v>
      </c>
      <c r="T843" s="13">
        <f t="shared" si="190"/>
        <v>2116.4</v>
      </c>
      <c r="U843" s="85">
        <f t="shared" si="183"/>
        <v>59682.000000000007</v>
      </c>
    </row>
    <row r="844" spans="1:21" ht="33">
      <c r="A844" s="61" t="str">
        <f ca="1">IF(ISERROR(MATCH(F844,Код_КВР,0)),"",INDIRECT(ADDRESS(MATCH(F844,Код_КВР,0)+1,2,,,"КВР")))</f>
        <v>Пособия, компенсации и иные социальные выплаты гражданам, кроме публичных нормативных обязательств</v>
      </c>
      <c r="B844" s="145">
        <v>805</v>
      </c>
      <c r="C844" s="8" t="s">
        <v>188</v>
      </c>
      <c r="D844" s="8" t="s">
        <v>216</v>
      </c>
      <c r="E844" s="145" t="s">
        <v>429</v>
      </c>
      <c r="F844" s="145">
        <v>321</v>
      </c>
      <c r="G844" s="69">
        <v>63969.3</v>
      </c>
      <c r="H844" s="69"/>
      <c r="I844" s="69">
        <f t="shared" si="182"/>
        <v>63969.3</v>
      </c>
      <c r="J844" s="69"/>
      <c r="K844" s="85">
        <f t="shared" si="179"/>
        <v>63969.3</v>
      </c>
      <c r="L844" s="13"/>
      <c r="M844" s="85">
        <f t="shared" si="184"/>
        <v>63969.3</v>
      </c>
      <c r="N844" s="13"/>
      <c r="O844" s="85">
        <f t="shared" si="185"/>
        <v>63969.3</v>
      </c>
      <c r="P844" s="13"/>
      <c r="Q844" s="85">
        <f t="shared" si="191"/>
        <v>63969.3</v>
      </c>
      <c r="R844" s="13">
        <v>-6403.7</v>
      </c>
      <c r="S844" s="85">
        <f t="shared" si="189"/>
        <v>57565.600000000006</v>
      </c>
      <c r="T844" s="13">
        <v>2116.4</v>
      </c>
      <c r="U844" s="85">
        <f t="shared" si="183"/>
        <v>59682.000000000007</v>
      </c>
    </row>
    <row r="845" spans="1:21">
      <c r="A845" s="61" t="str">
        <f ca="1">IF(ISERROR(MATCH(E845,Код_КЦСР,0)),"",INDIRECT(ADDRESS(MATCH(E845,Код_КЦСР,0)+1,2,,,"КЦСР")))</f>
        <v>Кадровое обеспечение муниципальной системы образования</v>
      </c>
      <c r="B845" s="145">
        <v>805</v>
      </c>
      <c r="C845" s="8" t="s">
        <v>188</v>
      </c>
      <c r="D845" s="8" t="s">
        <v>216</v>
      </c>
      <c r="E845" s="145" t="s">
        <v>291</v>
      </c>
      <c r="F845" s="145"/>
      <c r="G845" s="69">
        <f t="shared" ref="G845:T849" si="192">G846</f>
        <v>12418.6</v>
      </c>
      <c r="H845" s="69">
        <f t="shared" si="192"/>
        <v>0</v>
      </c>
      <c r="I845" s="69">
        <f t="shared" si="182"/>
        <v>12418.6</v>
      </c>
      <c r="J845" s="69">
        <f t="shared" si="192"/>
        <v>0</v>
      </c>
      <c r="K845" s="85">
        <f t="shared" si="179"/>
        <v>12418.6</v>
      </c>
      <c r="L845" s="13">
        <f t="shared" si="192"/>
        <v>0</v>
      </c>
      <c r="M845" s="85">
        <f t="shared" si="184"/>
        <v>12418.6</v>
      </c>
      <c r="N845" s="13">
        <f t="shared" si="192"/>
        <v>0</v>
      </c>
      <c r="O845" s="85">
        <f t="shared" si="185"/>
        <v>12418.6</v>
      </c>
      <c r="P845" s="13">
        <f t="shared" si="192"/>
        <v>0</v>
      </c>
      <c r="Q845" s="85">
        <f t="shared" si="191"/>
        <v>12418.6</v>
      </c>
      <c r="R845" s="13">
        <f t="shared" si="192"/>
        <v>0</v>
      </c>
      <c r="S845" s="85">
        <f t="shared" si="189"/>
        <v>12418.6</v>
      </c>
      <c r="T845" s="13">
        <f t="shared" si="192"/>
        <v>135.6</v>
      </c>
      <c r="U845" s="85">
        <f t="shared" si="183"/>
        <v>12554.2</v>
      </c>
    </row>
    <row r="846" spans="1:21" ht="33">
      <c r="A846" s="61" t="str">
        <f ca="1">IF(ISERROR(MATCH(E846,Код_КЦСР,0)),"",INDIRECT(ADDRESS(MATCH(E846,Код_КЦСР,0)+1,2,,,"КЦСР")))</f>
        <v xml:space="preserve">Осуществление денежных выплат работникам муниципальных образовательных учреждений     </v>
      </c>
      <c r="B846" s="145">
        <v>805</v>
      </c>
      <c r="C846" s="8" t="s">
        <v>188</v>
      </c>
      <c r="D846" s="8" t="s">
        <v>216</v>
      </c>
      <c r="E846" s="145" t="s">
        <v>296</v>
      </c>
      <c r="F846" s="145"/>
      <c r="G846" s="69">
        <f t="shared" si="192"/>
        <v>12418.6</v>
      </c>
      <c r="H846" s="69">
        <f t="shared" si="192"/>
        <v>0</v>
      </c>
      <c r="I846" s="69">
        <f t="shared" si="182"/>
        <v>12418.6</v>
      </c>
      <c r="J846" s="69">
        <f t="shared" si="192"/>
        <v>0</v>
      </c>
      <c r="K846" s="85">
        <f t="shared" si="179"/>
        <v>12418.6</v>
      </c>
      <c r="L846" s="13">
        <f t="shared" si="192"/>
        <v>0</v>
      </c>
      <c r="M846" s="85">
        <f t="shared" si="184"/>
        <v>12418.6</v>
      </c>
      <c r="N846" s="13">
        <f t="shared" si="192"/>
        <v>0</v>
      </c>
      <c r="O846" s="85">
        <f t="shared" si="185"/>
        <v>12418.6</v>
      </c>
      <c r="P846" s="13">
        <f t="shared" si="192"/>
        <v>0</v>
      </c>
      <c r="Q846" s="85">
        <f t="shared" si="191"/>
        <v>12418.6</v>
      </c>
      <c r="R846" s="13">
        <f t="shared" si="192"/>
        <v>0</v>
      </c>
      <c r="S846" s="85">
        <f t="shared" si="189"/>
        <v>12418.6</v>
      </c>
      <c r="T846" s="13">
        <f t="shared" si="192"/>
        <v>135.6</v>
      </c>
      <c r="U846" s="85">
        <f t="shared" si="183"/>
        <v>12554.2</v>
      </c>
    </row>
    <row r="847" spans="1:21" ht="89.25" customHeight="1">
      <c r="A847" s="61" t="str">
        <f ca="1">IF(ISERROR(MATCH(E847,Код_КЦСР,0)),"",INDIRECT(ADDRESS(MATCH(E847,Код_КЦСР,0)+1,2,,,"КЦСР")))</f>
        <v>Компенсация части родительской платы за содержание ребенка в детском саду (присмотр и уход за детьми) штатным работникам муниципальных дошкольных образовательных учреждений в соответствии с решением Череповецкой городской Думы от 30.10.2012 № 203</v>
      </c>
      <c r="B847" s="145">
        <v>805</v>
      </c>
      <c r="C847" s="8" t="s">
        <v>188</v>
      </c>
      <c r="D847" s="8" t="s">
        <v>216</v>
      </c>
      <c r="E847" s="145" t="s">
        <v>456</v>
      </c>
      <c r="F847" s="145"/>
      <c r="G847" s="69">
        <f t="shared" si="192"/>
        <v>12418.6</v>
      </c>
      <c r="H847" s="69">
        <f t="shared" si="192"/>
        <v>0</v>
      </c>
      <c r="I847" s="69">
        <f t="shared" si="182"/>
        <v>12418.6</v>
      </c>
      <c r="J847" s="69">
        <f t="shared" si="192"/>
        <v>0</v>
      </c>
      <c r="K847" s="85">
        <f t="shared" si="179"/>
        <v>12418.6</v>
      </c>
      <c r="L847" s="13">
        <f t="shared" si="192"/>
        <v>0</v>
      </c>
      <c r="M847" s="85">
        <f t="shared" si="184"/>
        <v>12418.6</v>
      </c>
      <c r="N847" s="13">
        <f t="shared" si="192"/>
        <v>0</v>
      </c>
      <c r="O847" s="85">
        <f t="shared" si="185"/>
        <v>12418.6</v>
      </c>
      <c r="P847" s="13">
        <f t="shared" si="192"/>
        <v>0</v>
      </c>
      <c r="Q847" s="85">
        <f t="shared" si="191"/>
        <v>12418.6</v>
      </c>
      <c r="R847" s="13">
        <f t="shared" si="192"/>
        <v>0</v>
      </c>
      <c r="S847" s="85">
        <f t="shared" si="189"/>
        <v>12418.6</v>
      </c>
      <c r="T847" s="13">
        <f t="shared" si="192"/>
        <v>135.6</v>
      </c>
      <c r="U847" s="85">
        <f t="shared" si="183"/>
        <v>12554.2</v>
      </c>
    </row>
    <row r="848" spans="1:21">
      <c r="A848" s="61" t="str">
        <f ca="1">IF(ISERROR(MATCH(F848,Код_КВР,0)),"",INDIRECT(ADDRESS(MATCH(F848,Код_КВР,0)+1,2,,,"КВР")))</f>
        <v>Социальное обеспечение и иные выплаты населению</v>
      </c>
      <c r="B848" s="145">
        <v>805</v>
      </c>
      <c r="C848" s="8" t="s">
        <v>188</v>
      </c>
      <c r="D848" s="8" t="s">
        <v>216</v>
      </c>
      <c r="E848" s="145" t="s">
        <v>456</v>
      </c>
      <c r="F848" s="145">
        <v>300</v>
      </c>
      <c r="G848" s="69">
        <f t="shared" si="192"/>
        <v>12418.6</v>
      </c>
      <c r="H848" s="69">
        <f t="shared" si="192"/>
        <v>0</v>
      </c>
      <c r="I848" s="69">
        <f t="shared" si="182"/>
        <v>12418.6</v>
      </c>
      <c r="J848" s="69">
        <f t="shared" si="192"/>
        <v>0</v>
      </c>
      <c r="K848" s="85">
        <f t="shared" ref="K848:K914" si="193">I848+J848</f>
        <v>12418.6</v>
      </c>
      <c r="L848" s="13">
        <f t="shared" si="192"/>
        <v>0</v>
      </c>
      <c r="M848" s="85">
        <f t="shared" si="184"/>
        <v>12418.6</v>
      </c>
      <c r="N848" s="13">
        <f t="shared" si="192"/>
        <v>0</v>
      </c>
      <c r="O848" s="85">
        <f t="shared" si="185"/>
        <v>12418.6</v>
      </c>
      <c r="P848" s="13">
        <f t="shared" si="192"/>
        <v>0</v>
      </c>
      <c r="Q848" s="85">
        <f t="shared" si="191"/>
        <v>12418.6</v>
      </c>
      <c r="R848" s="13">
        <f t="shared" si="192"/>
        <v>0</v>
      </c>
      <c r="S848" s="85">
        <f t="shared" si="189"/>
        <v>12418.6</v>
      </c>
      <c r="T848" s="13">
        <f t="shared" si="192"/>
        <v>135.6</v>
      </c>
      <c r="U848" s="85">
        <f t="shared" si="183"/>
        <v>12554.2</v>
      </c>
    </row>
    <row r="849" spans="1:21">
      <c r="A849" s="61" t="str">
        <f ca="1">IF(ISERROR(MATCH(F849,Код_КВР,0)),"",INDIRECT(ADDRESS(MATCH(F849,Код_КВР,0)+1,2,,,"КВР")))</f>
        <v>Публичные нормативные социальные выплаты гражданам</v>
      </c>
      <c r="B849" s="145">
        <v>805</v>
      </c>
      <c r="C849" s="8" t="s">
        <v>188</v>
      </c>
      <c r="D849" s="8" t="s">
        <v>216</v>
      </c>
      <c r="E849" s="145" t="s">
        <v>456</v>
      </c>
      <c r="F849" s="145">
        <v>310</v>
      </c>
      <c r="G849" s="69">
        <f t="shared" si="192"/>
        <v>12418.6</v>
      </c>
      <c r="H849" s="69">
        <f t="shared" si="192"/>
        <v>0</v>
      </c>
      <c r="I849" s="69">
        <f t="shared" si="182"/>
        <v>12418.6</v>
      </c>
      <c r="J849" s="69">
        <f t="shared" si="192"/>
        <v>0</v>
      </c>
      <c r="K849" s="85">
        <f t="shared" si="193"/>
        <v>12418.6</v>
      </c>
      <c r="L849" s="13">
        <f t="shared" si="192"/>
        <v>0</v>
      </c>
      <c r="M849" s="85">
        <f t="shared" si="184"/>
        <v>12418.6</v>
      </c>
      <c r="N849" s="13">
        <f t="shared" si="192"/>
        <v>0</v>
      </c>
      <c r="O849" s="85">
        <f t="shared" si="185"/>
        <v>12418.6</v>
      </c>
      <c r="P849" s="13">
        <f t="shared" si="192"/>
        <v>0</v>
      </c>
      <c r="Q849" s="85">
        <f t="shared" si="191"/>
        <v>12418.6</v>
      </c>
      <c r="R849" s="13">
        <f t="shared" si="192"/>
        <v>0</v>
      </c>
      <c r="S849" s="85">
        <f t="shared" si="189"/>
        <v>12418.6</v>
      </c>
      <c r="T849" s="13">
        <f t="shared" si="192"/>
        <v>135.6</v>
      </c>
      <c r="U849" s="85">
        <f t="shared" si="183"/>
        <v>12554.2</v>
      </c>
    </row>
    <row r="850" spans="1:21" ht="33">
      <c r="A850" s="61" t="str">
        <f ca="1">IF(ISERROR(MATCH(F850,Код_КВР,0)),"",INDIRECT(ADDRESS(MATCH(F850,Код_КВР,0)+1,2,,,"КВР")))</f>
        <v>Пособия, компенсации, меры социальной поддержки по публичным нормативным обязательствам</v>
      </c>
      <c r="B850" s="145">
        <v>805</v>
      </c>
      <c r="C850" s="8" t="s">
        <v>188</v>
      </c>
      <c r="D850" s="8" t="s">
        <v>216</v>
      </c>
      <c r="E850" s="145" t="s">
        <v>456</v>
      </c>
      <c r="F850" s="145">
        <v>313</v>
      </c>
      <c r="G850" s="69">
        <v>12418.6</v>
      </c>
      <c r="H850" s="69"/>
      <c r="I850" s="69">
        <f t="shared" si="182"/>
        <v>12418.6</v>
      </c>
      <c r="J850" s="69"/>
      <c r="K850" s="85">
        <f t="shared" si="193"/>
        <v>12418.6</v>
      </c>
      <c r="L850" s="13"/>
      <c r="M850" s="85">
        <f t="shared" si="184"/>
        <v>12418.6</v>
      </c>
      <c r="N850" s="13"/>
      <c r="O850" s="85">
        <f t="shared" si="185"/>
        <v>12418.6</v>
      </c>
      <c r="P850" s="13"/>
      <c r="Q850" s="85">
        <f t="shared" si="191"/>
        <v>12418.6</v>
      </c>
      <c r="R850" s="13"/>
      <c r="S850" s="85">
        <f t="shared" si="189"/>
        <v>12418.6</v>
      </c>
      <c r="T850" s="13">
        <v>135.6</v>
      </c>
      <c r="U850" s="85">
        <f t="shared" si="183"/>
        <v>12554.2</v>
      </c>
    </row>
    <row r="851" spans="1:21" ht="33">
      <c r="A851" s="61" t="str">
        <f ca="1">IF(ISERROR(MATCH(E851,Код_КЦСР,0)),"",INDIRECT(ADDRESS(MATCH(E851,Код_КЦСР,0)+1,2,,,"КЦСР")))</f>
        <v>Социально-педагогическая поддержка детей-сирот и детей, оставшихся без попечения родителей</v>
      </c>
      <c r="B851" s="145">
        <v>805</v>
      </c>
      <c r="C851" s="8" t="s">
        <v>188</v>
      </c>
      <c r="D851" s="8" t="s">
        <v>216</v>
      </c>
      <c r="E851" s="145" t="s">
        <v>412</v>
      </c>
      <c r="F851" s="145"/>
      <c r="G851" s="69">
        <f t="shared" ref="G851:T857" si="194">G852</f>
        <v>55930</v>
      </c>
      <c r="H851" s="69">
        <f t="shared" si="194"/>
        <v>0</v>
      </c>
      <c r="I851" s="69">
        <f t="shared" si="182"/>
        <v>55930</v>
      </c>
      <c r="J851" s="69">
        <f t="shared" si="194"/>
        <v>0</v>
      </c>
      <c r="K851" s="85">
        <f t="shared" si="193"/>
        <v>55930</v>
      </c>
      <c r="L851" s="13">
        <f t="shared" si="194"/>
        <v>0</v>
      </c>
      <c r="M851" s="85">
        <f t="shared" si="184"/>
        <v>55930</v>
      </c>
      <c r="N851" s="13">
        <f t="shared" si="194"/>
        <v>0</v>
      </c>
      <c r="O851" s="85">
        <f t="shared" si="185"/>
        <v>55930</v>
      </c>
      <c r="P851" s="13">
        <f t="shared" si="194"/>
        <v>0</v>
      </c>
      <c r="Q851" s="85">
        <f t="shared" si="191"/>
        <v>55930</v>
      </c>
      <c r="R851" s="13">
        <f t="shared" si="194"/>
        <v>-2855.5</v>
      </c>
      <c r="S851" s="85">
        <f t="shared" si="189"/>
        <v>53074.5</v>
      </c>
      <c r="T851" s="13">
        <f t="shared" si="194"/>
        <v>3264.5</v>
      </c>
      <c r="U851" s="85">
        <f t="shared" si="183"/>
        <v>56339</v>
      </c>
    </row>
    <row r="852" spans="1:21" ht="159.75" customHeight="1">
      <c r="A852" s="61" t="str">
        <f ca="1">IF(ISERROR(MATCH(E852,Код_КЦСР,0)),"",INDIRECT(ADDRESS(MATCH(E852,Код_КЦСР,0)+1,2,,,"КЦСР")))</f>
        <v>Социальная поддержка детей-сирот и детей, оставшихся без попечения родителей, находящихся под опекой (попечительством) в семьях (в том числе в приемных семьях), детей-сирот и детей, оставшихся без попечения родителей, находящихся под надзором в организованных по семейному принципу негосударственных организациях для детей-сирот и детей, оставшихся без попечения родителей, обеспечивающих их содержание и воспитание, лиц из числа детей указанных категорий, а также детей, в отношении которых установлена предварительная опека (попечительство) за счет субвенций из областного бюджета</v>
      </c>
      <c r="B852" s="145">
        <v>805</v>
      </c>
      <c r="C852" s="8" t="s">
        <v>188</v>
      </c>
      <c r="D852" s="8" t="s">
        <v>216</v>
      </c>
      <c r="E852" s="145" t="s">
        <v>433</v>
      </c>
      <c r="F852" s="145"/>
      <c r="G852" s="69">
        <f>G856</f>
        <v>55930</v>
      </c>
      <c r="H852" s="69">
        <f>H856</f>
        <v>0</v>
      </c>
      <c r="I852" s="69">
        <f t="shared" si="182"/>
        <v>55930</v>
      </c>
      <c r="J852" s="69">
        <f>J856</f>
        <v>0</v>
      </c>
      <c r="K852" s="85">
        <f t="shared" si="193"/>
        <v>55930</v>
      </c>
      <c r="L852" s="13">
        <f>L856</f>
        <v>0</v>
      </c>
      <c r="M852" s="85">
        <f t="shared" si="184"/>
        <v>55930</v>
      </c>
      <c r="N852" s="13">
        <f>N856</f>
        <v>0</v>
      </c>
      <c r="O852" s="85">
        <f t="shared" si="185"/>
        <v>55930</v>
      </c>
      <c r="P852" s="13">
        <f>P856</f>
        <v>0</v>
      </c>
      <c r="Q852" s="85">
        <f t="shared" si="191"/>
        <v>55930</v>
      </c>
      <c r="R852" s="13">
        <f>R856</f>
        <v>-2855.5</v>
      </c>
      <c r="S852" s="85">
        <f t="shared" si="189"/>
        <v>53074.5</v>
      </c>
      <c r="T852" s="13">
        <f>T853+T856</f>
        <v>3264.5</v>
      </c>
      <c r="U852" s="85">
        <f t="shared" si="183"/>
        <v>56339</v>
      </c>
    </row>
    <row r="853" spans="1:21">
      <c r="A853" s="61" t="str">
        <f t="shared" ref="A853:A858" ca="1" si="195">IF(ISERROR(MATCH(F853,Код_КВР,0)),"",INDIRECT(ADDRESS(MATCH(F853,Код_КВР,0)+1,2,,,"КВР")))</f>
        <v>Закупка товаров, работ и услуг для муниципальных нужд</v>
      </c>
      <c r="B853" s="145">
        <v>805</v>
      </c>
      <c r="C853" s="8" t="s">
        <v>188</v>
      </c>
      <c r="D853" s="8" t="s">
        <v>216</v>
      </c>
      <c r="E853" s="145" t="s">
        <v>433</v>
      </c>
      <c r="F853" s="145">
        <v>200</v>
      </c>
      <c r="G853" s="69"/>
      <c r="H853" s="69"/>
      <c r="I853" s="69"/>
      <c r="J853" s="69"/>
      <c r="K853" s="85"/>
      <c r="L853" s="13"/>
      <c r="M853" s="85"/>
      <c r="N853" s="13"/>
      <c r="O853" s="85"/>
      <c r="P853" s="13"/>
      <c r="Q853" s="85"/>
      <c r="R853" s="13"/>
      <c r="S853" s="85"/>
      <c r="T853" s="13">
        <f t="shared" si="194"/>
        <v>22535.3</v>
      </c>
      <c r="U853" s="85">
        <f t="shared" si="183"/>
        <v>22535.3</v>
      </c>
    </row>
    <row r="854" spans="1:21" ht="33">
      <c r="A854" s="61" t="str">
        <f t="shared" ca="1" si="195"/>
        <v>Иные закупки товаров, работ и услуг для обеспечения муниципальных нужд</v>
      </c>
      <c r="B854" s="145">
        <v>805</v>
      </c>
      <c r="C854" s="8" t="s">
        <v>188</v>
      </c>
      <c r="D854" s="8" t="s">
        <v>216</v>
      </c>
      <c r="E854" s="145" t="s">
        <v>433</v>
      </c>
      <c r="F854" s="145">
        <v>240</v>
      </c>
      <c r="G854" s="69"/>
      <c r="H854" s="69"/>
      <c r="I854" s="69"/>
      <c r="J854" s="69"/>
      <c r="K854" s="85"/>
      <c r="L854" s="13"/>
      <c r="M854" s="85"/>
      <c r="N854" s="13"/>
      <c r="O854" s="85"/>
      <c r="P854" s="13"/>
      <c r="Q854" s="85"/>
      <c r="R854" s="13"/>
      <c r="S854" s="85"/>
      <c r="T854" s="13">
        <f t="shared" si="194"/>
        <v>22535.3</v>
      </c>
      <c r="U854" s="85">
        <f t="shared" si="183"/>
        <v>22535.3</v>
      </c>
    </row>
    <row r="855" spans="1:21" ht="33">
      <c r="A855" s="61" t="str">
        <f t="shared" ca="1" si="195"/>
        <v xml:space="preserve">Прочая закупка товаров, работ и услуг для обеспечения муниципальных нужд         </v>
      </c>
      <c r="B855" s="145">
        <v>805</v>
      </c>
      <c r="C855" s="8" t="s">
        <v>188</v>
      </c>
      <c r="D855" s="8" t="s">
        <v>216</v>
      </c>
      <c r="E855" s="145" t="s">
        <v>433</v>
      </c>
      <c r="F855" s="145">
        <v>244</v>
      </c>
      <c r="G855" s="69"/>
      <c r="H855" s="69"/>
      <c r="I855" s="69"/>
      <c r="J855" s="69"/>
      <c r="K855" s="85"/>
      <c r="L855" s="13"/>
      <c r="M855" s="85"/>
      <c r="N855" s="13"/>
      <c r="O855" s="85"/>
      <c r="P855" s="13"/>
      <c r="Q855" s="85"/>
      <c r="R855" s="13"/>
      <c r="S855" s="85"/>
      <c r="T855" s="13">
        <f>20635.3+1900</f>
        <v>22535.3</v>
      </c>
      <c r="U855" s="85">
        <f t="shared" si="183"/>
        <v>22535.3</v>
      </c>
    </row>
    <row r="856" spans="1:21">
      <c r="A856" s="61" t="str">
        <f t="shared" ca="1" si="195"/>
        <v>Социальное обеспечение и иные выплаты населению</v>
      </c>
      <c r="B856" s="145">
        <v>805</v>
      </c>
      <c r="C856" s="8" t="s">
        <v>188</v>
      </c>
      <c r="D856" s="8" t="s">
        <v>216</v>
      </c>
      <c r="E856" s="145" t="s">
        <v>433</v>
      </c>
      <c r="F856" s="145">
        <v>300</v>
      </c>
      <c r="G856" s="69">
        <f t="shared" si="194"/>
        <v>55930</v>
      </c>
      <c r="H856" s="69">
        <f t="shared" si="194"/>
        <v>0</v>
      </c>
      <c r="I856" s="69">
        <f t="shared" si="182"/>
        <v>55930</v>
      </c>
      <c r="J856" s="69">
        <f t="shared" si="194"/>
        <v>0</v>
      </c>
      <c r="K856" s="85">
        <f t="shared" si="193"/>
        <v>55930</v>
      </c>
      <c r="L856" s="13">
        <f t="shared" si="194"/>
        <v>0</v>
      </c>
      <c r="M856" s="85">
        <f t="shared" si="184"/>
        <v>55930</v>
      </c>
      <c r="N856" s="13">
        <f t="shared" si="194"/>
        <v>0</v>
      </c>
      <c r="O856" s="85">
        <f t="shared" si="185"/>
        <v>55930</v>
      </c>
      <c r="P856" s="13">
        <f t="shared" si="194"/>
        <v>0</v>
      </c>
      <c r="Q856" s="85">
        <f t="shared" si="191"/>
        <v>55930</v>
      </c>
      <c r="R856" s="13">
        <f t="shared" si="194"/>
        <v>-2855.5</v>
      </c>
      <c r="S856" s="85">
        <f t="shared" si="189"/>
        <v>53074.5</v>
      </c>
      <c r="T856" s="13">
        <f t="shared" si="194"/>
        <v>-19270.8</v>
      </c>
      <c r="U856" s="85">
        <f t="shared" si="183"/>
        <v>33803.699999999997</v>
      </c>
    </row>
    <row r="857" spans="1:21" ht="33">
      <c r="A857" s="61" t="str">
        <f t="shared" ca="1" si="195"/>
        <v>Социальные выплаты гражданам, кроме публичных нормативных социальных выплат</v>
      </c>
      <c r="B857" s="145">
        <v>805</v>
      </c>
      <c r="C857" s="8" t="s">
        <v>188</v>
      </c>
      <c r="D857" s="8" t="s">
        <v>216</v>
      </c>
      <c r="E857" s="145" t="s">
        <v>433</v>
      </c>
      <c r="F857" s="145">
        <v>320</v>
      </c>
      <c r="G857" s="69">
        <f t="shared" si="194"/>
        <v>55930</v>
      </c>
      <c r="H857" s="69">
        <f t="shared" si="194"/>
        <v>0</v>
      </c>
      <c r="I857" s="69">
        <f t="shared" si="182"/>
        <v>55930</v>
      </c>
      <c r="J857" s="69">
        <f t="shared" si="194"/>
        <v>0</v>
      </c>
      <c r="K857" s="85">
        <f t="shared" si="193"/>
        <v>55930</v>
      </c>
      <c r="L857" s="13">
        <f t="shared" si="194"/>
        <v>0</v>
      </c>
      <c r="M857" s="85">
        <f t="shared" si="184"/>
        <v>55930</v>
      </c>
      <c r="N857" s="13">
        <f t="shared" si="194"/>
        <v>0</v>
      </c>
      <c r="O857" s="85">
        <f t="shared" si="185"/>
        <v>55930</v>
      </c>
      <c r="P857" s="13">
        <f t="shared" si="194"/>
        <v>0</v>
      </c>
      <c r="Q857" s="85">
        <f t="shared" si="191"/>
        <v>55930</v>
      </c>
      <c r="R857" s="13">
        <f t="shared" si="194"/>
        <v>-2855.5</v>
      </c>
      <c r="S857" s="85">
        <f t="shared" si="189"/>
        <v>53074.5</v>
      </c>
      <c r="T857" s="13">
        <f t="shared" si="194"/>
        <v>-19270.8</v>
      </c>
      <c r="U857" s="85">
        <f t="shared" si="183"/>
        <v>33803.699999999997</v>
      </c>
    </row>
    <row r="858" spans="1:21" ht="33">
      <c r="A858" s="61" t="str">
        <f t="shared" ca="1" si="195"/>
        <v>Пособия, компенсации и иные социальные выплаты гражданам, кроме публичных нормативных обязательств</v>
      </c>
      <c r="B858" s="145">
        <v>805</v>
      </c>
      <c r="C858" s="8" t="s">
        <v>188</v>
      </c>
      <c r="D858" s="8" t="s">
        <v>216</v>
      </c>
      <c r="E858" s="145" t="s">
        <v>433</v>
      </c>
      <c r="F858" s="145">
        <v>321</v>
      </c>
      <c r="G858" s="69">
        <v>55930</v>
      </c>
      <c r="H858" s="69"/>
      <c r="I858" s="69">
        <f t="shared" si="182"/>
        <v>55930</v>
      </c>
      <c r="J858" s="69"/>
      <c r="K858" s="85">
        <f t="shared" si="193"/>
        <v>55930</v>
      </c>
      <c r="L858" s="13"/>
      <c r="M858" s="85">
        <f t="shared" si="184"/>
        <v>55930</v>
      </c>
      <c r="N858" s="13"/>
      <c r="O858" s="85">
        <f t="shared" si="185"/>
        <v>55930</v>
      </c>
      <c r="P858" s="13"/>
      <c r="Q858" s="85">
        <f t="shared" si="191"/>
        <v>55930</v>
      </c>
      <c r="R858" s="13">
        <v>-2855.5</v>
      </c>
      <c r="S858" s="85">
        <f t="shared" si="189"/>
        <v>53074.5</v>
      </c>
      <c r="T858" s="13">
        <f>-20635.3+1364.5</f>
        <v>-19270.8</v>
      </c>
      <c r="U858" s="85">
        <f t="shared" si="183"/>
        <v>33803.699999999997</v>
      </c>
    </row>
    <row r="859" spans="1:21">
      <c r="A859" s="61" t="str">
        <f ca="1">IF(ISERROR(MATCH(B859,Код_ППП,0)),"",INDIRECT(ADDRESS(MATCH(B859,Код_ППП,0)+1,2,,,"ППП")))</f>
        <v>ФИНАНСОВОЕ УПРАВЛЕНИЕ МЭРИИ ГОРОДА</v>
      </c>
      <c r="B859" s="145">
        <v>807</v>
      </c>
      <c r="C859" s="8"/>
      <c r="D859" s="8"/>
      <c r="E859" s="145"/>
      <c r="F859" s="145"/>
      <c r="G859" s="69">
        <f>G860+G892+G900</f>
        <v>267430.09999999998</v>
      </c>
      <c r="H859" s="69">
        <f>H860+H892+H900</f>
        <v>-73691.899999999994</v>
      </c>
      <c r="I859" s="69">
        <f t="shared" si="182"/>
        <v>193738.19999999998</v>
      </c>
      <c r="J859" s="69">
        <f>J860+J892+J900</f>
        <v>-50801.299999999996</v>
      </c>
      <c r="K859" s="85">
        <f t="shared" si="193"/>
        <v>142936.9</v>
      </c>
      <c r="L859" s="13">
        <f>L860+L892+L900</f>
        <v>-45726.7</v>
      </c>
      <c r="M859" s="85">
        <f t="shared" si="184"/>
        <v>97210.2</v>
      </c>
      <c r="N859" s="13">
        <f>N860+N892+N900</f>
        <v>-4163</v>
      </c>
      <c r="O859" s="85">
        <f t="shared" si="185"/>
        <v>93047.2</v>
      </c>
      <c r="P859" s="13">
        <f>P860+P892+P900</f>
        <v>0</v>
      </c>
      <c r="Q859" s="85">
        <f t="shared" si="191"/>
        <v>93047.2</v>
      </c>
      <c r="R859" s="13">
        <f>R860+R892+R900</f>
        <v>-373.59999999999991</v>
      </c>
      <c r="S859" s="85">
        <f t="shared" si="189"/>
        <v>92673.599999999991</v>
      </c>
      <c r="T859" s="13">
        <f>T860+T892+T900</f>
        <v>0</v>
      </c>
      <c r="U859" s="85">
        <f t="shared" si="183"/>
        <v>92673.599999999991</v>
      </c>
    </row>
    <row r="860" spans="1:21">
      <c r="A860" s="61" t="str">
        <f ca="1">IF(ISERROR(MATCH(C860,Код_Раздел,0)),"",INDIRECT(ADDRESS(MATCH(C860,Код_Раздел,0)+1,2,,,"Раздел")))</f>
        <v>Общегосударственные  вопросы</v>
      </c>
      <c r="B860" s="145">
        <v>807</v>
      </c>
      <c r="C860" s="8" t="s">
        <v>213</v>
      </c>
      <c r="D860" s="8"/>
      <c r="E860" s="145"/>
      <c r="F860" s="145"/>
      <c r="G860" s="69">
        <f>G861+G877+G884</f>
        <v>103836.29999999999</v>
      </c>
      <c r="H860" s="69">
        <f>H861+H877+H884</f>
        <v>-9691.9</v>
      </c>
      <c r="I860" s="69">
        <f t="shared" si="182"/>
        <v>94144.4</v>
      </c>
      <c r="J860" s="69">
        <f>J861+J877+J884</f>
        <v>-630.1</v>
      </c>
      <c r="K860" s="85">
        <f t="shared" si="193"/>
        <v>93514.299999999988</v>
      </c>
      <c r="L860" s="13">
        <f>L861+L877+L884</f>
        <v>-42706.7</v>
      </c>
      <c r="M860" s="85">
        <f t="shared" si="184"/>
        <v>50807.599999999991</v>
      </c>
      <c r="N860" s="13">
        <f>N861+N877+N884</f>
        <v>-4163</v>
      </c>
      <c r="O860" s="85">
        <f t="shared" si="185"/>
        <v>46644.599999999991</v>
      </c>
      <c r="P860" s="13">
        <f>P861+P877+P884</f>
        <v>0</v>
      </c>
      <c r="Q860" s="85">
        <f t="shared" si="191"/>
        <v>46644.599999999991</v>
      </c>
      <c r="R860" s="13">
        <f>R861+R877+R884</f>
        <v>-373.59999999999991</v>
      </c>
      <c r="S860" s="85">
        <f t="shared" si="189"/>
        <v>46270.999999999993</v>
      </c>
      <c r="T860" s="13">
        <f>T861+T877+T884</f>
        <v>0</v>
      </c>
      <c r="U860" s="85">
        <f t="shared" si="183"/>
        <v>46270.999999999993</v>
      </c>
    </row>
    <row r="861" spans="1:21" ht="33">
      <c r="A861" s="12" t="s">
        <v>165</v>
      </c>
      <c r="B861" s="145">
        <v>807</v>
      </c>
      <c r="C861" s="8" t="s">
        <v>213</v>
      </c>
      <c r="D861" s="8" t="s">
        <v>217</v>
      </c>
      <c r="E861" s="145"/>
      <c r="F861" s="145"/>
      <c r="G861" s="69">
        <f>G862</f>
        <v>34284.999999999993</v>
      </c>
      <c r="H861" s="69">
        <f>H862</f>
        <v>0</v>
      </c>
      <c r="I861" s="69">
        <f t="shared" si="182"/>
        <v>34284.999999999993</v>
      </c>
      <c r="J861" s="69">
        <f>J862</f>
        <v>0</v>
      </c>
      <c r="K861" s="85">
        <f t="shared" si="193"/>
        <v>34284.999999999993</v>
      </c>
      <c r="L861" s="13">
        <f>L862</f>
        <v>0</v>
      </c>
      <c r="M861" s="85">
        <f t="shared" si="184"/>
        <v>34284.999999999993</v>
      </c>
      <c r="N861" s="13">
        <f>N862</f>
        <v>0</v>
      </c>
      <c r="O861" s="85">
        <f t="shared" si="185"/>
        <v>34284.999999999993</v>
      </c>
      <c r="P861" s="13">
        <f>P862</f>
        <v>0</v>
      </c>
      <c r="Q861" s="85">
        <f t="shared" si="191"/>
        <v>34284.999999999993</v>
      </c>
      <c r="R861" s="13">
        <f>R862</f>
        <v>-63.5</v>
      </c>
      <c r="S861" s="85">
        <f t="shared" si="189"/>
        <v>34221.499999999993</v>
      </c>
      <c r="T861" s="13">
        <f>T862</f>
        <v>0</v>
      </c>
      <c r="U861" s="85">
        <f t="shared" si="183"/>
        <v>34221.499999999993</v>
      </c>
    </row>
    <row r="862" spans="1:21" ht="33">
      <c r="A862" s="61" t="str">
        <f ca="1">IF(ISERROR(MATCH(E862,Код_КЦСР,0)),"",INDIRECT(ADDRESS(MATCH(E862,Код_КЦСР,0)+1,2,,,"КЦСР")))</f>
        <v>Непрограммные направления деятельности органов местного самоуправления</v>
      </c>
      <c r="B862" s="145">
        <v>807</v>
      </c>
      <c r="C862" s="8" t="s">
        <v>213</v>
      </c>
      <c r="D862" s="8" t="s">
        <v>217</v>
      </c>
      <c r="E862" s="154" t="s">
        <v>299</v>
      </c>
      <c r="F862" s="145"/>
      <c r="G862" s="69">
        <f>G863</f>
        <v>34284.999999999993</v>
      </c>
      <c r="H862" s="69">
        <f>H863</f>
        <v>0</v>
      </c>
      <c r="I862" s="69">
        <f t="shared" si="182"/>
        <v>34284.999999999993</v>
      </c>
      <c r="J862" s="69">
        <f>J863</f>
        <v>0</v>
      </c>
      <c r="K862" s="85">
        <f t="shared" si="193"/>
        <v>34284.999999999993</v>
      </c>
      <c r="L862" s="13">
        <f>L863</f>
        <v>0</v>
      </c>
      <c r="M862" s="85">
        <f t="shared" si="184"/>
        <v>34284.999999999993</v>
      </c>
      <c r="N862" s="13">
        <f>N863</f>
        <v>0</v>
      </c>
      <c r="O862" s="85">
        <f t="shared" si="185"/>
        <v>34284.999999999993</v>
      </c>
      <c r="P862" s="13">
        <f>P863</f>
        <v>0</v>
      </c>
      <c r="Q862" s="85">
        <f t="shared" si="191"/>
        <v>34284.999999999993</v>
      </c>
      <c r="R862" s="13">
        <f>R863</f>
        <v>-63.5</v>
      </c>
      <c r="S862" s="85">
        <f>Q862+R862</f>
        <v>34221.499999999993</v>
      </c>
      <c r="T862" s="13">
        <f>T863</f>
        <v>0</v>
      </c>
      <c r="U862" s="85">
        <f t="shared" si="183"/>
        <v>34221.499999999993</v>
      </c>
    </row>
    <row r="863" spans="1:21">
      <c r="A863" s="61" t="str">
        <f ca="1">IF(ISERROR(MATCH(E863,Код_КЦСР,0)),"",INDIRECT(ADDRESS(MATCH(E863,Код_КЦСР,0)+1,2,,,"КЦСР")))</f>
        <v>Расходы, не включенные в муниципальные программы города Череповца</v>
      </c>
      <c r="B863" s="145">
        <v>807</v>
      </c>
      <c r="C863" s="8" t="s">
        <v>213</v>
      </c>
      <c r="D863" s="8" t="s">
        <v>217</v>
      </c>
      <c r="E863" s="145" t="s">
        <v>301</v>
      </c>
      <c r="F863" s="145"/>
      <c r="G863" s="69">
        <f>G864+G874</f>
        <v>34284.999999999993</v>
      </c>
      <c r="H863" s="69">
        <f>H864+H874</f>
        <v>0</v>
      </c>
      <c r="I863" s="69">
        <f t="shared" si="182"/>
        <v>34284.999999999993</v>
      </c>
      <c r="J863" s="69">
        <f>J864+J874</f>
        <v>0</v>
      </c>
      <c r="K863" s="85">
        <f t="shared" si="193"/>
        <v>34284.999999999993</v>
      </c>
      <c r="L863" s="13">
        <f>L864+L874</f>
        <v>0</v>
      </c>
      <c r="M863" s="85">
        <f t="shared" si="184"/>
        <v>34284.999999999993</v>
      </c>
      <c r="N863" s="13">
        <f>N864+N874</f>
        <v>0</v>
      </c>
      <c r="O863" s="85">
        <f t="shared" si="185"/>
        <v>34284.999999999993</v>
      </c>
      <c r="P863" s="13">
        <f>P864+P874</f>
        <v>0</v>
      </c>
      <c r="Q863" s="85">
        <f t="shared" si="191"/>
        <v>34284.999999999993</v>
      </c>
      <c r="R863" s="13">
        <f>R864+R874</f>
        <v>-63.5</v>
      </c>
      <c r="S863" s="85">
        <f t="shared" si="189"/>
        <v>34221.499999999993</v>
      </c>
      <c r="T863" s="13">
        <f>T864+T874</f>
        <v>0</v>
      </c>
      <c r="U863" s="85">
        <f t="shared" si="183"/>
        <v>34221.499999999993</v>
      </c>
    </row>
    <row r="864" spans="1:21" ht="33">
      <c r="A864" s="61" t="str">
        <f ca="1">IF(ISERROR(MATCH(E864,Код_КЦСР,0)),"",INDIRECT(ADDRESS(MATCH(E864,Код_КЦСР,0)+1,2,,,"КЦСР")))</f>
        <v>Руководство и управление в сфере установленных функций органов местного самоуправления</v>
      </c>
      <c r="B864" s="145">
        <v>807</v>
      </c>
      <c r="C864" s="8" t="s">
        <v>213</v>
      </c>
      <c r="D864" s="8" t="s">
        <v>217</v>
      </c>
      <c r="E864" s="145" t="s">
        <v>303</v>
      </c>
      <c r="F864" s="145"/>
      <c r="G864" s="69">
        <f>G865</f>
        <v>34037.299999999996</v>
      </c>
      <c r="H864" s="69">
        <f>H865</f>
        <v>0</v>
      </c>
      <c r="I864" s="69">
        <f t="shared" si="182"/>
        <v>34037.299999999996</v>
      </c>
      <c r="J864" s="69">
        <f>J865</f>
        <v>0</v>
      </c>
      <c r="K864" s="85">
        <f t="shared" si="193"/>
        <v>34037.299999999996</v>
      </c>
      <c r="L864" s="13">
        <f>L865</f>
        <v>0</v>
      </c>
      <c r="M864" s="85">
        <f t="shared" si="184"/>
        <v>34037.299999999996</v>
      </c>
      <c r="N864" s="13">
        <f>N865</f>
        <v>0</v>
      </c>
      <c r="O864" s="85">
        <f t="shared" si="185"/>
        <v>34037.299999999996</v>
      </c>
      <c r="P864" s="13">
        <f>P865</f>
        <v>0</v>
      </c>
      <c r="Q864" s="85">
        <f t="shared" si="191"/>
        <v>34037.299999999996</v>
      </c>
      <c r="R864" s="13">
        <f>R865</f>
        <v>-63.5</v>
      </c>
      <c r="S864" s="85">
        <f t="shared" si="189"/>
        <v>33973.799999999996</v>
      </c>
      <c r="T864" s="13">
        <f>T865</f>
        <v>0</v>
      </c>
      <c r="U864" s="85">
        <f t="shared" si="183"/>
        <v>33973.799999999996</v>
      </c>
    </row>
    <row r="865" spans="1:21">
      <c r="A865" s="61" t="str">
        <f ca="1">IF(ISERROR(MATCH(E865,Код_КЦСР,0)),"",INDIRECT(ADDRESS(MATCH(E865,Код_КЦСР,0)+1,2,,,"КЦСР")))</f>
        <v>Центральный аппарат</v>
      </c>
      <c r="B865" s="145">
        <v>807</v>
      </c>
      <c r="C865" s="8" t="s">
        <v>213</v>
      </c>
      <c r="D865" s="8" t="s">
        <v>217</v>
      </c>
      <c r="E865" s="145" t="s">
        <v>306</v>
      </c>
      <c r="F865" s="145"/>
      <c r="G865" s="69">
        <f>G866+G868+G871</f>
        <v>34037.299999999996</v>
      </c>
      <c r="H865" s="69">
        <f>H866+H868+H871</f>
        <v>0</v>
      </c>
      <c r="I865" s="69">
        <f t="shared" si="182"/>
        <v>34037.299999999996</v>
      </c>
      <c r="J865" s="69">
        <f>J866+J868+J871</f>
        <v>0</v>
      </c>
      <c r="K865" s="85">
        <f t="shared" si="193"/>
        <v>34037.299999999996</v>
      </c>
      <c r="L865" s="13">
        <f>L866+L868+L871</f>
        <v>0</v>
      </c>
      <c r="M865" s="85">
        <f t="shared" si="184"/>
        <v>34037.299999999996</v>
      </c>
      <c r="N865" s="13">
        <f>N866+N868+N871</f>
        <v>0</v>
      </c>
      <c r="O865" s="85">
        <f t="shared" si="185"/>
        <v>34037.299999999996</v>
      </c>
      <c r="P865" s="13">
        <f>P866+P868+P871</f>
        <v>0</v>
      </c>
      <c r="Q865" s="85">
        <f t="shared" si="191"/>
        <v>34037.299999999996</v>
      </c>
      <c r="R865" s="13">
        <f>R866+R868+R871</f>
        <v>-63.5</v>
      </c>
      <c r="S865" s="85">
        <f t="shared" si="189"/>
        <v>33973.799999999996</v>
      </c>
      <c r="T865" s="13">
        <f>T866+T868+T871</f>
        <v>0</v>
      </c>
      <c r="U865" s="85">
        <f t="shared" si="183"/>
        <v>33973.799999999996</v>
      </c>
    </row>
    <row r="866" spans="1:21" ht="33">
      <c r="A866" s="61" t="str">
        <f t="shared" ref="A866:A872" ca="1" si="196">IF(ISERROR(MATCH(F866,Код_КВР,0)),"",INDIRECT(ADDRESS(MATCH(F866,Код_КВР,0)+1,2,,,"КВР")))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866" s="145">
        <v>807</v>
      </c>
      <c r="C866" s="8" t="s">
        <v>213</v>
      </c>
      <c r="D866" s="8" t="s">
        <v>217</v>
      </c>
      <c r="E866" s="145" t="s">
        <v>306</v>
      </c>
      <c r="F866" s="145">
        <v>100</v>
      </c>
      <c r="G866" s="69">
        <f>G867</f>
        <v>33963.1</v>
      </c>
      <c r="H866" s="69">
        <f>H867</f>
        <v>0</v>
      </c>
      <c r="I866" s="69">
        <f t="shared" ref="I866:I943" si="197">G866+H866</f>
        <v>33963.1</v>
      </c>
      <c r="J866" s="69">
        <f>J867</f>
        <v>0</v>
      </c>
      <c r="K866" s="85">
        <f t="shared" si="193"/>
        <v>33963.1</v>
      </c>
      <c r="L866" s="13">
        <f>L867</f>
        <v>0</v>
      </c>
      <c r="M866" s="85">
        <f t="shared" si="184"/>
        <v>33963.1</v>
      </c>
      <c r="N866" s="13">
        <f>N867</f>
        <v>0</v>
      </c>
      <c r="O866" s="85">
        <f t="shared" si="185"/>
        <v>33963.1</v>
      </c>
      <c r="P866" s="13">
        <f>P867</f>
        <v>0</v>
      </c>
      <c r="Q866" s="85">
        <f t="shared" si="191"/>
        <v>33963.1</v>
      </c>
      <c r="R866" s="13">
        <f>R867</f>
        <v>-63.5</v>
      </c>
      <c r="S866" s="85">
        <f t="shared" si="189"/>
        <v>33899.599999999999</v>
      </c>
      <c r="T866" s="13">
        <f>T867</f>
        <v>0</v>
      </c>
      <c r="U866" s="85">
        <f t="shared" si="183"/>
        <v>33899.599999999999</v>
      </c>
    </row>
    <row r="867" spans="1:21">
      <c r="A867" s="61" t="str">
        <f t="shared" ca="1" si="196"/>
        <v>Расходы на выплаты персоналу муниципальных органов</v>
      </c>
      <c r="B867" s="145">
        <v>807</v>
      </c>
      <c r="C867" s="8" t="s">
        <v>213</v>
      </c>
      <c r="D867" s="8" t="s">
        <v>217</v>
      </c>
      <c r="E867" s="145" t="s">
        <v>306</v>
      </c>
      <c r="F867" s="145">
        <v>120</v>
      </c>
      <c r="G867" s="69">
        <v>33963.1</v>
      </c>
      <c r="H867" s="69"/>
      <c r="I867" s="69">
        <f t="shared" si="197"/>
        <v>33963.1</v>
      </c>
      <c r="J867" s="69"/>
      <c r="K867" s="85">
        <f t="shared" si="193"/>
        <v>33963.1</v>
      </c>
      <c r="L867" s="13"/>
      <c r="M867" s="85">
        <f t="shared" si="184"/>
        <v>33963.1</v>
      </c>
      <c r="N867" s="13"/>
      <c r="O867" s="85">
        <f t="shared" si="185"/>
        <v>33963.1</v>
      </c>
      <c r="P867" s="13"/>
      <c r="Q867" s="85">
        <f t="shared" si="191"/>
        <v>33963.1</v>
      </c>
      <c r="R867" s="13">
        <v>-63.5</v>
      </c>
      <c r="S867" s="85">
        <f t="shared" si="189"/>
        <v>33899.599999999999</v>
      </c>
      <c r="T867" s="13"/>
      <c r="U867" s="85">
        <f t="shared" ref="U867:U930" si="198">S867+T867</f>
        <v>33899.599999999999</v>
      </c>
    </row>
    <row r="868" spans="1:21">
      <c r="A868" s="61" t="str">
        <f t="shared" ca="1" si="196"/>
        <v>Закупка товаров, работ и услуг для муниципальных нужд</v>
      </c>
      <c r="B868" s="145">
        <v>807</v>
      </c>
      <c r="C868" s="8" t="s">
        <v>213</v>
      </c>
      <c r="D868" s="8" t="s">
        <v>217</v>
      </c>
      <c r="E868" s="145" t="s">
        <v>306</v>
      </c>
      <c r="F868" s="145">
        <v>200</v>
      </c>
      <c r="G868" s="69">
        <f>G869</f>
        <v>72.7</v>
      </c>
      <c r="H868" s="69">
        <f>H869</f>
        <v>0</v>
      </c>
      <c r="I868" s="69">
        <f t="shared" si="197"/>
        <v>72.7</v>
      </c>
      <c r="J868" s="69">
        <f>J869</f>
        <v>0</v>
      </c>
      <c r="K868" s="85">
        <f t="shared" si="193"/>
        <v>72.7</v>
      </c>
      <c r="L868" s="13">
        <f>L869</f>
        <v>0</v>
      </c>
      <c r="M868" s="85">
        <f t="shared" ref="M868:M939" si="199">K868+L868</f>
        <v>72.7</v>
      </c>
      <c r="N868" s="13">
        <f>N869</f>
        <v>0</v>
      </c>
      <c r="O868" s="85">
        <f t="shared" ref="O868:O939" si="200">M868+N868</f>
        <v>72.7</v>
      </c>
      <c r="P868" s="13">
        <f>P869</f>
        <v>0</v>
      </c>
      <c r="Q868" s="85">
        <f t="shared" si="191"/>
        <v>72.7</v>
      </c>
      <c r="R868" s="13">
        <f>R869</f>
        <v>0</v>
      </c>
      <c r="S868" s="85">
        <f t="shared" si="189"/>
        <v>72.7</v>
      </c>
      <c r="T868" s="13">
        <f>T869</f>
        <v>0</v>
      </c>
      <c r="U868" s="85">
        <f t="shared" si="198"/>
        <v>72.7</v>
      </c>
    </row>
    <row r="869" spans="1:21" ht="33">
      <c r="A869" s="61" t="str">
        <f t="shared" ca="1" si="196"/>
        <v>Иные закупки товаров, работ и услуг для обеспечения муниципальных нужд</v>
      </c>
      <c r="B869" s="145">
        <v>807</v>
      </c>
      <c r="C869" s="8" t="s">
        <v>213</v>
      </c>
      <c r="D869" s="8" t="s">
        <v>217</v>
      </c>
      <c r="E869" s="145" t="s">
        <v>306</v>
      </c>
      <c r="F869" s="145">
        <v>240</v>
      </c>
      <c r="G869" s="69">
        <f>G870</f>
        <v>72.7</v>
      </c>
      <c r="H869" s="69">
        <f>H870</f>
        <v>0</v>
      </c>
      <c r="I869" s="69">
        <f t="shared" si="197"/>
        <v>72.7</v>
      </c>
      <c r="J869" s="69">
        <f>J870</f>
        <v>0</v>
      </c>
      <c r="K869" s="85">
        <f t="shared" si="193"/>
        <v>72.7</v>
      </c>
      <c r="L869" s="13">
        <f>L870</f>
        <v>0</v>
      </c>
      <c r="M869" s="85">
        <f t="shared" si="199"/>
        <v>72.7</v>
      </c>
      <c r="N869" s="13">
        <f>N870</f>
        <v>0</v>
      </c>
      <c r="O869" s="85">
        <f t="shared" si="200"/>
        <v>72.7</v>
      </c>
      <c r="P869" s="13">
        <f>P870</f>
        <v>0</v>
      </c>
      <c r="Q869" s="85">
        <f t="shared" si="191"/>
        <v>72.7</v>
      </c>
      <c r="R869" s="13">
        <f>R870</f>
        <v>0</v>
      </c>
      <c r="S869" s="85">
        <f t="shared" si="189"/>
        <v>72.7</v>
      </c>
      <c r="T869" s="13">
        <f>T870</f>
        <v>0</v>
      </c>
      <c r="U869" s="85">
        <f t="shared" si="198"/>
        <v>72.7</v>
      </c>
    </row>
    <row r="870" spans="1:21" ht="33">
      <c r="A870" s="61" t="str">
        <f t="shared" ca="1" si="196"/>
        <v xml:space="preserve">Прочая закупка товаров, работ и услуг для обеспечения муниципальных нужд         </v>
      </c>
      <c r="B870" s="145">
        <v>807</v>
      </c>
      <c r="C870" s="8" t="s">
        <v>213</v>
      </c>
      <c r="D870" s="8" t="s">
        <v>217</v>
      </c>
      <c r="E870" s="145" t="s">
        <v>306</v>
      </c>
      <c r="F870" s="145">
        <v>244</v>
      </c>
      <c r="G870" s="69">
        <v>72.7</v>
      </c>
      <c r="H870" s="69"/>
      <c r="I870" s="69">
        <f t="shared" si="197"/>
        <v>72.7</v>
      </c>
      <c r="J870" s="69"/>
      <c r="K870" s="85">
        <f t="shared" si="193"/>
        <v>72.7</v>
      </c>
      <c r="L870" s="13"/>
      <c r="M870" s="85">
        <f t="shared" si="199"/>
        <v>72.7</v>
      </c>
      <c r="N870" s="13"/>
      <c r="O870" s="85">
        <f t="shared" si="200"/>
        <v>72.7</v>
      </c>
      <c r="P870" s="13"/>
      <c r="Q870" s="85">
        <f t="shared" si="191"/>
        <v>72.7</v>
      </c>
      <c r="R870" s="13"/>
      <c r="S870" s="85">
        <f t="shared" si="189"/>
        <v>72.7</v>
      </c>
      <c r="T870" s="13"/>
      <c r="U870" s="85">
        <f t="shared" si="198"/>
        <v>72.7</v>
      </c>
    </row>
    <row r="871" spans="1:21">
      <c r="A871" s="61" t="str">
        <f t="shared" ca="1" si="196"/>
        <v>Иные бюджетные ассигнования</v>
      </c>
      <c r="B871" s="145">
        <v>807</v>
      </c>
      <c r="C871" s="8" t="s">
        <v>213</v>
      </c>
      <c r="D871" s="8" t="s">
        <v>217</v>
      </c>
      <c r="E871" s="145" t="s">
        <v>306</v>
      </c>
      <c r="F871" s="145">
        <v>800</v>
      </c>
      <c r="G871" s="69">
        <f>G872</f>
        <v>1.5</v>
      </c>
      <c r="H871" s="69">
        <f>H872</f>
        <v>0</v>
      </c>
      <c r="I871" s="69">
        <f t="shared" si="197"/>
        <v>1.5</v>
      </c>
      <c r="J871" s="69">
        <f>J872</f>
        <v>0</v>
      </c>
      <c r="K871" s="85">
        <f t="shared" si="193"/>
        <v>1.5</v>
      </c>
      <c r="L871" s="13">
        <f>L872</f>
        <v>0</v>
      </c>
      <c r="M871" s="85">
        <f t="shared" si="199"/>
        <v>1.5</v>
      </c>
      <c r="N871" s="13">
        <f>N872</f>
        <v>0</v>
      </c>
      <c r="O871" s="85">
        <f t="shared" si="200"/>
        <v>1.5</v>
      </c>
      <c r="P871" s="13">
        <f>P872</f>
        <v>0</v>
      </c>
      <c r="Q871" s="85">
        <f t="shared" si="191"/>
        <v>1.5</v>
      </c>
      <c r="R871" s="13">
        <f>R872</f>
        <v>0</v>
      </c>
      <c r="S871" s="85">
        <f t="shared" si="189"/>
        <v>1.5</v>
      </c>
      <c r="T871" s="13">
        <f>T872</f>
        <v>0</v>
      </c>
      <c r="U871" s="85">
        <f t="shared" si="198"/>
        <v>1.5</v>
      </c>
    </row>
    <row r="872" spans="1:21">
      <c r="A872" s="61" t="str">
        <f t="shared" ca="1" si="196"/>
        <v>Уплата налогов, сборов и иных платежей</v>
      </c>
      <c r="B872" s="145">
        <v>807</v>
      </c>
      <c r="C872" s="8" t="s">
        <v>213</v>
      </c>
      <c r="D872" s="8" t="s">
        <v>217</v>
      </c>
      <c r="E872" s="145" t="s">
        <v>306</v>
      </c>
      <c r="F872" s="145">
        <v>850</v>
      </c>
      <c r="G872" s="69">
        <f>G873</f>
        <v>1.5</v>
      </c>
      <c r="H872" s="69">
        <f>H873</f>
        <v>0</v>
      </c>
      <c r="I872" s="69">
        <f t="shared" si="197"/>
        <v>1.5</v>
      </c>
      <c r="J872" s="69">
        <f>J873</f>
        <v>0</v>
      </c>
      <c r="K872" s="85">
        <f t="shared" si="193"/>
        <v>1.5</v>
      </c>
      <c r="L872" s="13">
        <f>L873</f>
        <v>0</v>
      </c>
      <c r="M872" s="85">
        <f t="shared" si="199"/>
        <v>1.5</v>
      </c>
      <c r="N872" s="13">
        <f>N873</f>
        <v>0</v>
      </c>
      <c r="O872" s="85">
        <f t="shared" si="200"/>
        <v>1.5</v>
      </c>
      <c r="P872" s="13">
        <f>P873</f>
        <v>0</v>
      </c>
      <c r="Q872" s="85">
        <f t="shared" si="191"/>
        <v>1.5</v>
      </c>
      <c r="R872" s="13">
        <f>R873</f>
        <v>0</v>
      </c>
      <c r="S872" s="85">
        <f t="shared" si="189"/>
        <v>1.5</v>
      </c>
      <c r="T872" s="13">
        <f>T873</f>
        <v>0</v>
      </c>
      <c r="U872" s="85">
        <f t="shared" si="198"/>
        <v>1.5</v>
      </c>
    </row>
    <row r="873" spans="1:21">
      <c r="A873" s="61" t="str">
        <f ca="1">IF(ISERROR(MATCH(F873,Код_КВР,0)),"",INDIRECT(ADDRESS(MATCH(F873,Код_КВР,0)+1,2,,,"КВР")))</f>
        <v>Уплата прочих налогов, сборов и иных платежей</v>
      </c>
      <c r="B873" s="145">
        <v>807</v>
      </c>
      <c r="C873" s="8" t="s">
        <v>213</v>
      </c>
      <c r="D873" s="8" t="s">
        <v>217</v>
      </c>
      <c r="E873" s="145" t="s">
        <v>306</v>
      </c>
      <c r="F873" s="145">
        <v>852</v>
      </c>
      <c r="G873" s="69">
        <v>1.5</v>
      </c>
      <c r="H873" s="69"/>
      <c r="I873" s="69">
        <f t="shared" si="197"/>
        <v>1.5</v>
      </c>
      <c r="J873" s="69"/>
      <c r="K873" s="85">
        <f t="shared" si="193"/>
        <v>1.5</v>
      </c>
      <c r="L873" s="13"/>
      <c r="M873" s="85">
        <f t="shared" si="199"/>
        <v>1.5</v>
      </c>
      <c r="N873" s="13"/>
      <c r="O873" s="85">
        <f t="shared" si="200"/>
        <v>1.5</v>
      </c>
      <c r="P873" s="13"/>
      <c r="Q873" s="85">
        <f t="shared" si="191"/>
        <v>1.5</v>
      </c>
      <c r="R873" s="13"/>
      <c r="S873" s="85">
        <f t="shared" si="189"/>
        <v>1.5</v>
      </c>
      <c r="T873" s="13"/>
      <c r="U873" s="85">
        <f t="shared" si="198"/>
        <v>1.5</v>
      </c>
    </row>
    <row r="874" spans="1:21" ht="99.75" customHeight="1">
      <c r="A874" s="61" t="str">
        <f ca="1">IF(ISERROR(MATCH(E874,Код_КЦСР,0)),"",INDIRECT(ADDRESS(MATCH(E874,Код_КЦСР,0)+1,2,,,"КЦСР")))</f>
        <v>Осуществление отдельных государственных полномочий в соответствии с законом области от 5 октября 2006 года № 1501-ОЗ «О наделении органов местного самоуправления муниципальных районов и городских округов Вологодской области отдельными государственными полномочиями в сфере регулирования цен (тарифов)» за счет субвенций из областного бюджета</v>
      </c>
      <c r="B874" s="145">
        <v>807</v>
      </c>
      <c r="C874" s="8" t="s">
        <v>213</v>
      </c>
      <c r="D874" s="8" t="s">
        <v>217</v>
      </c>
      <c r="E874" s="145" t="s">
        <v>392</v>
      </c>
      <c r="F874" s="145"/>
      <c r="G874" s="69">
        <f>G875</f>
        <v>247.7</v>
      </c>
      <c r="H874" s="69">
        <f>H875</f>
        <v>0</v>
      </c>
      <c r="I874" s="69">
        <f t="shared" si="197"/>
        <v>247.7</v>
      </c>
      <c r="J874" s="69">
        <f>J875</f>
        <v>0</v>
      </c>
      <c r="K874" s="85">
        <f t="shared" si="193"/>
        <v>247.7</v>
      </c>
      <c r="L874" s="13">
        <f>L875</f>
        <v>0</v>
      </c>
      <c r="M874" s="85">
        <f t="shared" si="199"/>
        <v>247.7</v>
      </c>
      <c r="N874" s="13">
        <f>N875</f>
        <v>0</v>
      </c>
      <c r="O874" s="85">
        <f t="shared" si="200"/>
        <v>247.7</v>
      </c>
      <c r="P874" s="13">
        <f>P875</f>
        <v>0</v>
      </c>
      <c r="Q874" s="85">
        <f t="shared" si="191"/>
        <v>247.7</v>
      </c>
      <c r="R874" s="13">
        <f>R875</f>
        <v>0</v>
      </c>
      <c r="S874" s="85">
        <f t="shared" si="189"/>
        <v>247.7</v>
      </c>
      <c r="T874" s="13">
        <f>T875</f>
        <v>0</v>
      </c>
      <c r="U874" s="85">
        <f t="shared" si="198"/>
        <v>247.7</v>
      </c>
    </row>
    <row r="875" spans="1:21" ht="33">
      <c r="A875" s="61" t="str">
        <f ca="1">IF(ISERROR(MATCH(F875,Код_КВР,0)),"",INDIRECT(ADDRESS(MATCH(F875,Код_КВР,0)+1,2,,,"КВР")))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875" s="145">
        <v>807</v>
      </c>
      <c r="C875" s="8" t="s">
        <v>213</v>
      </c>
      <c r="D875" s="8" t="s">
        <v>217</v>
      </c>
      <c r="E875" s="145" t="s">
        <v>392</v>
      </c>
      <c r="F875" s="145">
        <v>100</v>
      </c>
      <c r="G875" s="69">
        <f>G876</f>
        <v>247.7</v>
      </c>
      <c r="H875" s="69">
        <f>H876</f>
        <v>0</v>
      </c>
      <c r="I875" s="69">
        <f t="shared" si="197"/>
        <v>247.7</v>
      </c>
      <c r="J875" s="69">
        <f>J876</f>
        <v>0</v>
      </c>
      <c r="K875" s="85">
        <f t="shared" si="193"/>
        <v>247.7</v>
      </c>
      <c r="L875" s="13">
        <f>L876</f>
        <v>0</v>
      </c>
      <c r="M875" s="85">
        <f t="shared" si="199"/>
        <v>247.7</v>
      </c>
      <c r="N875" s="13">
        <f>N876</f>
        <v>0</v>
      </c>
      <c r="O875" s="85">
        <f t="shared" si="200"/>
        <v>247.7</v>
      </c>
      <c r="P875" s="13">
        <f>P876</f>
        <v>0</v>
      </c>
      <c r="Q875" s="85">
        <f t="shared" si="191"/>
        <v>247.7</v>
      </c>
      <c r="R875" s="13">
        <f>R876</f>
        <v>0</v>
      </c>
      <c r="S875" s="85">
        <f t="shared" si="189"/>
        <v>247.7</v>
      </c>
      <c r="T875" s="13">
        <f>T876</f>
        <v>0</v>
      </c>
      <c r="U875" s="85">
        <f t="shared" si="198"/>
        <v>247.7</v>
      </c>
    </row>
    <row r="876" spans="1:21">
      <c r="A876" s="61" t="str">
        <f ca="1">IF(ISERROR(MATCH(F876,Код_КВР,0)),"",INDIRECT(ADDRESS(MATCH(F876,Код_КВР,0)+1,2,,,"КВР")))</f>
        <v>Расходы на выплаты персоналу муниципальных органов</v>
      </c>
      <c r="B876" s="145">
        <v>807</v>
      </c>
      <c r="C876" s="8" t="s">
        <v>213</v>
      </c>
      <c r="D876" s="8" t="s">
        <v>217</v>
      </c>
      <c r="E876" s="145" t="s">
        <v>392</v>
      </c>
      <c r="F876" s="145">
        <v>120</v>
      </c>
      <c r="G876" s="69">
        <v>247.7</v>
      </c>
      <c r="H876" s="69"/>
      <c r="I876" s="69">
        <f t="shared" si="197"/>
        <v>247.7</v>
      </c>
      <c r="J876" s="69"/>
      <c r="K876" s="85">
        <f t="shared" si="193"/>
        <v>247.7</v>
      </c>
      <c r="L876" s="13"/>
      <c r="M876" s="85">
        <f t="shared" si="199"/>
        <v>247.7</v>
      </c>
      <c r="N876" s="13"/>
      <c r="O876" s="85">
        <f t="shared" si="200"/>
        <v>247.7</v>
      </c>
      <c r="P876" s="13"/>
      <c r="Q876" s="85">
        <f t="shared" si="191"/>
        <v>247.7</v>
      </c>
      <c r="R876" s="13"/>
      <c r="S876" s="85">
        <f t="shared" si="189"/>
        <v>247.7</v>
      </c>
      <c r="T876" s="13"/>
      <c r="U876" s="85">
        <f t="shared" si="198"/>
        <v>247.7</v>
      </c>
    </row>
    <row r="877" spans="1:21">
      <c r="A877" s="12" t="s">
        <v>200</v>
      </c>
      <c r="B877" s="145">
        <v>807</v>
      </c>
      <c r="C877" s="8" t="s">
        <v>213</v>
      </c>
      <c r="D877" s="8" t="s">
        <v>224</v>
      </c>
      <c r="E877" s="145"/>
      <c r="F877" s="145"/>
      <c r="G877" s="69">
        <f t="shared" ref="G877:T882" si="201">G878</f>
        <v>69251.3</v>
      </c>
      <c r="H877" s="69">
        <f t="shared" si="201"/>
        <v>-9691.9</v>
      </c>
      <c r="I877" s="69">
        <f t="shared" si="197"/>
        <v>59559.4</v>
      </c>
      <c r="J877" s="69">
        <f t="shared" si="201"/>
        <v>-630.1</v>
      </c>
      <c r="K877" s="85">
        <f t="shared" si="193"/>
        <v>58929.3</v>
      </c>
      <c r="L877" s="13">
        <f t="shared" si="201"/>
        <v>-42706.7</v>
      </c>
      <c r="M877" s="85">
        <f t="shared" si="199"/>
        <v>16222.600000000006</v>
      </c>
      <c r="N877" s="13">
        <f t="shared" si="201"/>
        <v>-4163</v>
      </c>
      <c r="O877" s="85">
        <f t="shared" si="200"/>
        <v>12059.600000000006</v>
      </c>
      <c r="P877" s="13">
        <f t="shared" si="201"/>
        <v>0</v>
      </c>
      <c r="Q877" s="85">
        <f t="shared" si="191"/>
        <v>12059.600000000006</v>
      </c>
      <c r="R877" s="13">
        <f t="shared" si="201"/>
        <v>-310.09999999999991</v>
      </c>
      <c r="S877" s="85">
        <f t="shared" si="189"/>
        <v>11749.500000000005</v>
      </c>
      <c r="T877" s="13">
        <f t="shared" si="201"/>
        <v>0</v>
      </c>
      <c r="U877" s="85">
        <f t="shared" si="198"/>
        <v>11749.500000000005</v>
      </c>
    </row>
    <row r="878" spans="1:21" ht="33">
      <c r="A878" s="61" t="str">
        <f ca="1">IF(ISERROR(MATCH(E878,Код_КЦСР,0)),"",INDIRECT(ADDRESS(MATCH(E878,Код_КЦСР,0)+1,2,,,"КЦСР")))</f>
        <v>Непрограммные направления деятельности органов местного самоуправления</v>
      </c>
      <c r="B878" s="145">
        <v>807</v>
      </c>
      <c r="C878" s="8" t="s">
        <v>213</v>
      </c>
      <c r="D878" s="8" t="s">
        <v>224</v>
      </c>
      <c r="E878" s="145" t="s">
        <v>299</v>
      </c>
      <c r="F878" s="145"/>
      <c r="G878" s="69">
        <f t="shared" si="201"/>
        <v>69251.3</v>
      </c>
      <c r="H878" s="69">
        <f t="shared" si="201"/>
        <v>-9691.9</v>
      </c>
      <c r="I878" s="69">
        <f t="shared" si="197"/>
        <v>59559.4</v>
      </c>
      <c r="J878" s="69">
        <f t="shared" si="201"/>
        <v>-630.1</v>
      </c>
      <c r="K878" s="85">
        <f t="shared" si="193"/>
        <v>58929.3</v>
      </c>
      <c r="L878" s="13">
        <f t="shared" si="201"/>
        <v>-42706.7</v>
      </c>
      <c r="M878" s="85">
        <f t="shared" si="199"/>
        <v>16222.600000000006</v>
      </c>
      <c r="N878" s="13">
        <f t="shared" si="201"/>
        <v>-4163</v>
      </c>
      <c r="O878" s="85">
        <f t="shared" si="200"/>
        <v>12059.600000000006</v>
      </c>
      <c r="P878" s="13">
        <f t="shared" si="201"/>
        <v>0</v>
      </c>
      <c r="Q878" s="85">
        <f t="shared" si="191"/>
        <v>12059.600000000006</v>
      </c>
      <c r="R878" s="13">
        <f t="shared" si="201"/>
        <v>-310.09999999999991</v>
      </c>
      <c r="S878" s="85">
        <f t="shared" si="189"/>
        <v>11749.500000000005</v>
      </c>
      <c r="T878" s="13">
        <f t="shared" si="201"/>
        <v>0</v>
      </c>
      <c r="U878" s="85">
        <f t="shared" si="198"/>
        <v>11749.500000000005</v>
      </c>
    </row>
    <row r="879" spans="1:21">
      <c r="A879" s="61" t="str">
        <f ca="1">IF(ISERROR(MATCH(E879,Код_КЦСР,0)),"",INDIRECT(ADDRESS(MATCH(E879,Код_КЦСР,0)+1,2,,,"КЦСР")))</f>
        <v>Расходы, не включенные в муниципальные программы города Череповца</v>
      </c>
      <c r="B879" s="145">
        <v>807</v>
      </c>
      <c r="C879" s="8" t="s">
        <v>213</v>
      </c>
      <c r="D879" s="8" t="s">
        <v>224</v>
      </c>
      <c r="E879" s="145" t="s">
        <v>301</v>
      </c>
      <c r="F879" s="145"/>
      <c r="G879" s="69">
        <f t="shared" si="201"/>
        <v>69251.3</v>
      </c>
      <c r="H879" s="69">
        <f t="shared" si="201"/>
        <v>-9691.9</v>
      </c>
      <c r="I879" s="69">
        <f t="shared" si="197"/>
        <v>59559.4</v>
      </c>
      <c r="J879" s="69">
        <f t="shared" si="201"/>
        <v>-630.1</v>
      </c>
      <c r="K879" s="85">
        <f t="shared" si="193"/>
        <v>58929.3</v>
      </c>
      <c r="L879" s="13">
        <f t="shared" si="201"/>
        <v>-42706.7</v>
      </c>
      <c r="M879" s="85">
        <f t="shared" si="199"/>
        <v>16222.600000000006</v>
      </c>
      <c r="N879" s="13">
        <f t="shared" si="201"/>
        <v>-4163</v>
      </c>
      <c r="O879" s="85">
        <f t="shared" si="200"/>
        <v>12059.600000000006</v>
      </c>
      <c r="P879" s="13">
        <f t="shared" si="201"/>
        <v>0</v>
      </c>
      <c r="Q879" s="85">
        <f t="shared" si="191"/>
        <v>12059.600000000006</v>
      </c>
      <c r="R879" s="13">
        <f t="shared" si="201"/>
        <v>-310.09999999999991</v>
      </c>
      <c r="S879" s="85">
        <f t="shared" si="189"/>
        <v>11749.500000000005</v>
      </c>
      <c r="T879" s="13">
        <f t="shared" si="201"/>
        <v>0</v>
      </c>
      <c r="U879" s="85">
        <f t="shared" si="198"/>
        <v>11749.500000000005</v>
      </c>
    </row>
    <row r="880" spans="1:21">
      <c r="A880" s="61" t="str">
        <f ca="1">IF(ISERROR(MATCH(E880,Код_КЦСР,0)),"",INDIRECT(ADDRESS(MATCH(E880,Код_КЦСР,0)+1,2,,,"КЦСР")))</f>
        <v>Резервные фонды</v>
      </c>
      <c r="B880" s="145">
        <v>807</v>
      </c>
      <c r="C880" s="8" t="s">
        <v>213</v>
      </c>
      <c r="D880" s="8" t="s">
        <v>224</v>
      </c>
      <c r="E880" s="145" t="s">
        <v>442</v>
      </c>
      <c r="F880" s="145"/>
      <c r="G880" s="69">
        <f t="shared" si="201"/>
        <v>69251.3</v>
      </c>
      <c r="H880" s="69">
        <f t="shared" si="201"/>
        <v>-9691.9</v>
      </c>
      <c r="I880" s="69">
        <f t="shared" si="197"/>
        <v>59559.4</v>
      </c>
      <c r="J880" s="69">
        <f t="shared" si="201"/>
        <v>-630.1</v>
      </c>
      <c r="K880" s="85">
        <f t="shared" si="193"/>
        <v>58929.3</v>
      </c>
      <c r="L880" s="13">
        <f t="shared" si="201"/>
        <v>-42706.7</v>
      </c>
      <c r="M880" s="85">
        <f t="shared" si="199"/>
        <v>16222.600000000006</v>
      </c>
      <c r="N880" s="13">
        <f t="shared" si="201"/>
        <v>-4163</v>
      </c>
      <c r="O880" s="85">
        <f t="shared" si="200"/>
        <v>12059.600000000006</v>
      </c>
      <c r="P880" s="13">
        <f t="shared" si="201"/>
        <v>0</v>
      </c>
      <c r="Q880" s="85">
        <f t="shared" si="191"/>
        <v>12059.600000000006</v>
      </c>
      <c r="R880" s="13">
        <f t="shared" si="201"/>
        <v>-310.09999999999991</v>
      </c>
      <c r="S880" s="85">
        <f t="shared" si="189"/>
        <v>11749.500000000005</v>
      </c>
      <c r="T880" s="13">
        <f t="shared" si="201"/>
        <v>0</v>
      </c>
      <c r="U880" s="85">
        <f t="shared" si="198"/>
        <v>11749.500000000005</v>
      </c>
    </row>
    <row r="881" spans="1:21">
      <c r="A881" s="61" t="str">
        <f ca="1">IF(ISERROR(MATCH(E881,Код_КЦСР,0)),"",INDIRECT(ADDRESS(MATCH(E881,Код_КЦСР,0)+1,2,,,"КЦСР")))</f>
        <v>Резервные фонды мэрии города</v>
      </c>
      <c r="B881" s="145">
        <v>807</v>
      </c>
      <c r="C881" s="8" t="s">
        <v>213</v>
      </c>
      <c r="D881" s="8" t="s">
        <v>224</v>
      </c>
      <c r="E881" s="145" t="s">
        <v>443</v>
      </c>
      <c r="F881" s="145"/>
      <c r="G881" s="69">
        <f t="shared" si="201"/>
        <v>69251.3</v>
      </c>
      <c r="H881" s="69">
        <f t="shared" si="201"/>
        <v>-9691.9</v>
      </c>
      <c r="I881" s="69">
        <f t="shared" si="197"/>
        <v>59559.4</v>
      </c>
      <c r="J881" s="69">
        <f t="shared" si="201"/>
        <v>-630.1</v>
      </c>
      <c r="K881" s="85">
        <f t="shared" si="193"/>
        <v>58929.3</v>
      </c>
      <c r="L881" s="13">
        <f t="shared" si="201"/>
        <v>-42706.7</v>
      </c>
      <c r="M881" s="85">
        <f t="shared" si="199"/>
        <v>16222.600000000006</v>
      </c>
      <c r="N881" s="13">
        <f t="shared" si="201"/>
        <v>-4163</v>
      </c>
      <c r="O881" s="85">
        <f t="shared" si="200"/>
        <v>12059.600000000006</v>
      </c>
      <c r="P881" s="13">
        <f t="shared" si="201"/>
        <v>0</v>
      </c>
      <c r="Q881" s="85">
        <f t="shared" si="191"/>
        <v>12059.600000000006</v>
      </c>
      <c r="R881" s="13">
        <f t="shared" si="201"/>
        <v>-310.09999999999991</v>
      </c>
      <c r="S881" s="85">
        <f t="shared" si="189"/>
        <v>11749.500000000005</v>
      </c>
      <c r="T881" s="13">
        <f t="shared" si="201"/>
        <v>0</v>
      </c>
      <c r="U881" s="85">
        <f t="shared" si="198"/>
        <v>11749.500000000005</v>
      </c>
    </row>
    <row r="882" spans="1:21">
      <c r="A882" s="61" t="str">
        <f ca="1">IF(ISERROR(MATCH(F882,Код_КВР,0)),"",INDIRECT(ADDRESS(MATCH(F882,Код_КВР,0)+1,2,,,"КВР")))</f>
        <v>Иные бюджетные ассигнования</v>
      </c>
      <c r="B882" s="145">
        <v>807</v>
      </c>
      <c r="C882" s="8" t="s">
        <v>213</v>
      </c>
      <c r="D882" s="8" t="s">
        <v>224</v>
      </c>
      <c r="E882" s="145" t="s">
        <v>443</v>
      </c>
      <c r="F882" s="145">
        <v>800</v>
      </c>
      <c r="G882" s="69">
        <f t="shared" si="201"/>
        <v>69251.3</v>
      </c>
      <c r="H882" s="69">
        <f t="shared" si="201"/>
        <v>-9691.9</v>
      </c>
      <c r="I882" s="69">
        <f t="shared" si="197"/>
        <v>59559.4</v>
      </c>
      <c r="J882" s="69">
        <f t="shared" si="201"/>
        <v>-630.1</v>
      </c>
      <c r="K882" s="85">
        <f t="shared" si="193"/>
        <v>58929.3</v>
      </c>
      <c r="L882" s="13">
        <f t="shared" si="201"/>
        <v>-42706.7</v>
      </c>
      <c r="M882" s="85">
        <f t="shared" si="199"/>
        <v>16222.600000000006</v>
      </c>
      <c r="N882" s="13">
        <f t="shared" si="201"/>
        <v>-4163</v>
      </c>
      <c r="O882" s="85">
        <f t="shared" si="200"/>
        <v>12059.600000000006</v>
      </c>
      <c r="P882" s="13">
        <f t="shared" si="201"/>
        <v>0</v>
      </c>
      <c r="Q882" s="85">
        <f t="shared" si="191"/>
        <v>12059.600000000006</v>
      </c>
      <c r="R882" s="13">
        <f t="shared" si="201"/>
        <v>-310.09999999999991</v>
      </c>
      <c r="S882" s="85">
        <f t="shared" si="189"/>
        <v>11749.500000000005</v>
      </c>
      <c r="T882" s="13">
        <f t="shared" si="201"/>
        <v>0</v>
      </c>
      <c r="U882" s="85">
        <f t="shared" si="198"/>
        <v>11749.500000000005</v>
      </c>
    </row>
    <row r="883" spans="1:21">
      <c r="A883" s="61" t="str">
        <f ca="1">IF(ISERROR(MATCH(F883,Код_КВР,0)),"",INDIRECT(ADDRESS(MATCH(F883,Код_КВР,0)+1,2,,,"КВР")))</f>
        <v>Резервные средства</v>
      </c>
      <c r="B883" s="145">
        <v>807</v>
      </c>
      <c r="C883" s="8" t="s">
        <v>213</v>
      </c>
      <c r="D883" s="8" t="s">
        <v>224</v>
      </c>
      <c r="E883" s="145" t="s">
        <v>443</v>
      </c>
      <c r="F883" s="145">
        <v>870</v>
      </c>
      <c r="G883" s="69">
        <f>106472.7-363.9-35000-1857.5</f>
        <v>69251.3</v>
      </c>
      <c r="H883" s="69">
        <f>-8478.6-1213.3</f>
        <v>-9691.9</v>
      </c>
      <c r="I883" s="69">
        <f t="shared" si="197"/>
        <v>59559.4</v>
      </c>
      <c r="J883" s="69">
        <f>-504.7-134+8.6</f>
        <v>-630.1</v>
      </c>
      <c r="K883" s="85">
        <f t="shared" si="193"/>
        <v>58929.3</v>
      </c>
      <c r="L883" s="13">
        <v>-42706.7</v>
      </c>
      <c r="M883" s="85">
        <f t="shared" si="199"/>
        <v>16222.600000000006</v>
      </c>
      <c r="N883" s="13">
        <f>-3091-1072</f>
        <v>-4163</v>
      </c>
      <c r="O883" s="85">
        <f t="shared" si="200"/>
        <v>12059.600000000006</v>
      </c>
      <c r="P883" s="13"/>
      <c r="Q883" s="85">
        <f t="shared" si="191"/>
        <v>12059.600000000006</v>
      </c>
      <c r="R883" s="13">
        <f>36.2+653.7-1000</f>
        <v>-310.09999999999991</v>
      </c>
      <c r="S883" s="85">
        <f t="shared" si="189"/>
        <v>11749.500000000005</v>
      </c>
      <c r="T883" s="13"/>
      <c r="U883" s="85">
        <f t="shared" si="198"/>
        <v>11749.500000000005</v>
      </c>
    </row>
    <row r="884" spans="1:21">
      <c r="A884" s="12" t="s">
        <v>237</v>
      </c>
      <c r="B884" s="145">
        <v>807</v>
      </c>
      <c r="C884" s="8" t="s">
        <v>213</v>
      </c>
      <c r="D884" s="8" t="s">
        <v>190</v>
      </c>
      <c r="E884" s="145"/>
      <c r="F884" s="145"/>
      <c r="G884" s="69">
        <f t="shared" ref="G884:T890" si="202">G885</f>
        <v>300</v>
      </c>
      <c r="H884" s="69">
        <f t="shared" si="202"/>
        <v>0</v>
      </c>
      <c r="I884" s="69">
        <f t="shared" si="197"/>
        <v>300</v>
      </c>
      <c r="J884" s="69">
        <f t="shared" si="202"/>
        <v>0</v>
      </c>
      <c r="K884" s="85">
        <f t="shared" si="193"/>
        <v>300</v>
      </c>
      <c r="L884" s="13">
        <f t="shared" si="202"/>
        <v>0</v>
      </c>
      <c r="M884" s="85">
        <f t="shared" si="199"/>
        <v>300</v>
      </c>
      <c r="N884" s="13">
        <f t="shared" si="202"/>
        <v>0</v>
      </c>
      <c r="O884" s="85">
        <f t="shared" si="200"/>
        <v>300</v>
      </c>
      <c r="P884" s="13">
        <f t="shared" si="202"/>
        <v>0</v>
      </c>
      <c r="Q884" s="85">
        <f t="shared" si="191"/>
        <v>300</v>
      </c>
      <c r="R884" s="13">
        <f t="shared" si="202"/>
        <v>0</v>
      </c>
      <c r="S884" s="85">
        <f t="shared" si="189"/>
        <v>300</v>
      </c>
      <c r="T884" s="13">
        <f t="shared" si="202"/>
        <v>0</v>
      </c>
      <c r="U884" s="85">
        <f t="shared" si="198"/>
        <v>300</v>
      </c>
    </row>
    <row r="885" spans="1:21" ht="33">
      <c r="A885" s="61" t="str">
        <f ca="1">IF(ISERROR(MATCH(E885,Код_КЦСР,0)),"",INDIRECT(ADDRESS(MATCH(E885,Код_КЦСР,0)+1,2,,,"КЦСР")))</f>
        <v>Непрограммные направления деятельности органов местного самоуправления</v>
      </c>
      <c r="B885" s="145">
        <v>807</v>
      </c>
      <c r="C885" s="8" t="s">
        <v>213</v>
      </c>
      <c r="D885" s="8" t="s">
        <v>190</v>
      </c>
      <c r="E885" s="145" t="s">
        <v>299</v>
      </c>
      <c r="F885" s="145"/>
      <c r="G885" s="69">
        <f t="shared" si="202"/>
        <v>300</v>
      </c>
      <c r="H885" s="69">
        <f t="shared" si="202"/>
        <v>0</v>
      </c>
      <c r="I885" s="69">
        <f t="shared" si="197"/>
        <v>300</v>
      </c>
      <c r="J885" s="69">
        <f t="shared" si="202"/>
        <v>0</v>
      </c>
      <c r="K885" s="85">
        <f t="shared" si="193"/>
        <v>300</v>
      </c>
      <c r="L885" s="13">
        <f t="shared" si="202"/>
        <v>0</v>
      </c>
      <c r="M885" s="85">
        <f t="shared" si="199"/>
        <v>300</v>
      </c>
      <c r="N885" s="13">
        <f t="shared" si="202"/>
        <v>0</v>
      </c>
      <c r="O885" s="85">
        <f t="shared" si="200"/>
        <v>300</v>
      </c>
      <c r="P885" s="13">
        <f t="shared" si="202"/>
        <v>0</v>
      </c>
      <c r="Q885" s="85">
        <f t="shared" si="191"/>
        <v>300</v>
      </c>
      <c r="R885" s="13">
        <f t="shared" si="202"/>
        <v>0</v>
      </c>
      <c r="S885" s="85">
        <f t="shared" si="189"/>
        <v>300</v>
      </c>
      <c r="T885" s="13">
        <f t="shared" si="202"/>
        <v>0</v>
      </c>
      <c r="U885" s="85">
        <f t="shared" si="198"/>
        <v>300</v>
      </c>
    </row>
    <row r="886" spans="1:21">
      <c r="A886" s="61" t="str">
        <f ca="1">IF(ISERROR(MATCH(E886,Код_КЦСР,0)),"",INDIRECT(ADDRESS(MATCH(E886,Код_КЦСР,0)+1,2,,,"КЦСР")))</f>
        <v>Расходы, не включенные в муниципальные программы города Череповца</v>
      </c>
      <c r="B886" s="145">
        <v>807</v>
      </c>
      <c r="C886" s="8" t="s">
        <v>213</v>
      </c>
      <c r="D886" s="8" t="s">
        <v>190</v>
      </c>
      <c r="E886" s="145" t="s">
        <v>301</v>
      </c>
      <c r="F886" s="145"/>
      <c r="G886" s="69">
        <f t="shared" si="202"/>
        <v>300</v>
      </c>
      <c r="H886" s="69">
        <f t="shared" si="202"/>
        <v>0</v>
      </c>
      <c r="I886" s="69">
        <f t="shared" si="197"/>
        <v>300</v>
      </c>
      <c r="J886" s="69">
        <f t="shared" si="202"/>
        <v>0</v>
      </c>
      <c r="K886" s="85">
        <f t="shared" si="193"/>
        <v>300</v>
      </c>
      <c r="L886" s="13">
        <f t="shared" si="202"/>
        <v>0</v>
      </c>
      <c r="M886" s="85">
        <f t="shared" si="199"/>
        <v>300</v>
      </c>
      <c r="N886" s="13">
        <f t="shared" si="202"/>
        <v>0</v>
      </c>
      <c r="O886" s="85">
        <f t="shared" si="200"/>
        <v>300</v>
      </c>
      <c r="P886" s="13">
        <f t="shared" si="202"/>
        <v>0</v>
      </c>
      <c r="Q886" s="85">
        <f t="shared" si="191"/>
        <v>300</v>
      </c>
      <c r="R886" s="13">
        <f t="shared" si="202"/>
        <v>0</v>
      </c>
      <c r="S886" s="85">
        <f t="shared" si="189"/>
        <v>300</v>
      </c>
      <c r="T886" s="13">
        <f t="shared" si="202"/>
        <v>0</v>
      </c>
      <c r="U886" s="85">
        <f t="shared" si="198"/>
        <v>300</v>
      </c>
    </row>
    <row r="887" spans="1:21" ht="33">
      <c r="A887" s="61" t="str">
        <f ca="1">IF(ISERROR(MATCH(E887,Код_КЦСР,0)),"",INDIRECT(ADDRESS(MATCH(E887,Код_КЦСР,0)+1,2,,,"КЦСР")))</f>
        <v>Реализация функций органов местного самоуправления города, связанных с общегородским управлением</v>
      </c>
      <c r="B887" s="145">
        <v>807</v>
      </c>
      <c r="C887" s="8" t="s">
        <v>213</v>
      </c>
      <c r="D887" s="8" t="s">
        <v>190</v>
      </c>
      <c r="E887" s="145" t="s">
        <v>309</v>
      </c>
      <c r="F887" s="145"/>
      <c r="G887" s="69">
        <f t="shared" si="202"/>
        <v>300</v>
      </c>
      <c r="H887" s="69">
        <f t="shared" si="202"/>
        <v>0</v>
      </c>
      <c r="I887" s="69">
        <f t="shared" si="197"/>
        <v>300</v>
      </c>
      <c r="J887" s="69">
        <f t="shared" si="202"/>
        <v>0</v>
      </c>
      <c r="K887" s="85">
        <f t="shared" si="193"/>
        <v>300</v>
      </c>
      <c r="L887" s="13">
        <f t="shared" si="202"/>
        <v>0</v>
      </c>
      <c r="M887" s="85">
        <f t="shared" si="199"/>
        <v>300</v>
      </c>
      <c r="N887" s="13">
        <f t="shared" si="202"/>
        <v>0</v>
      </c>
      <c r="O887" s="85">
        <f t="shared" si="200"/>
        <v>300</v>
      </c>
      <c r="P887" s="13">
        <f t="shared" si="202"/>
        <v>0</v>
      </c>
      <c r="Q887" s="85">
        <f t="shared" si="191"/>
        <v>300</v>
      </c>
      <c r="R887" s="13">
        <f t="shared" si="202"/>
        <v>0</v>
      </c>
      <c r="S887" s="85">
        <f t="shared" si="189"/>
        <v>300</v>
      </c>
      <c r="T887" s="13">
        <f t="shared" si="202"/>
        <v>0</v>
      </c>
      <c r="U887" s="85">
        <f t="shared" si="198"/>
        <v>300</v>
      </c>
    </row>
    <row r="888" spans="1:21">
      <c r="A888" s="61" t="str">
        <f ca="1">IF(ISERROR(MATCH(E888,Код_КЦСР,0)),"",INDIRECT(ADDRESS(MATCH(E888,Код_КЦСР,0)+1,2,,,"КЦСР")))</f>
        <v>Расходы на судебные издержки и исполнение судебных решений</v>
      </c>
      <c r="B888" s="145">
        <v>807</v>
      </c>
      <c r="C888" s="8" t="s">
        <v>213</v>
      </c>
      <c r="D888" s="8" t="s">
        <v>190</v>
      </c>
      <c r="E888" s="145" t="s">
        <v>311</v>
      </c>
      <c r="F888" s="145"/>
      <c r="G888" s="69">
        <f t="shared" si="202"/>
        <v>300</v>
      </c>
      <c r="H888" s="69">
        <f t="shared" si="202"/>
        <v>0</v>
      </c>
      <c r="I888" s="69">
        <f t="shared" si="197"/>
        <v>300</v>
      </c>
      <c r="J888" s="69">
        <f t="shared" si="202"/>
        <v>0</v>
      </c>
      <c r="K888" s="85">
        <f t="shared" si="193"/>
        <v>300</v>
      </c>
      <c r="L888" s="13">
        <f t="shared" si="202"/>
        <v>0</v>
      </c>
      <c r="M888" s="85">
        <f t="shared" si="199"/>
        <v>300</v>
      </c>
      <c r="N888" s="13">
        <f t="shared" si="202"/>
        <v>0</v>
      </c>
      <c r="O888" s="85">
        <f t="shared" si="200"/>
        <v>300</v>
      </c>
      <c r="P888" s="13">
        <f t="shared" si="202"/>
        <v>0</v>
      </c>
      <c r="Q888" s="85">
        <f t="shared" si="191"/>
        <v>300</v>
      </c>
      <c r="R888" s="13">
        <f t="shared" si="202"/>
        <v>0</v>
      </c>
      <c r="S888" s="85">
        <f t="shared" si="189"/>
        <v>300</v>
      </c>
      <c r="T888" s="13">
        <f t="shared" si="202"/>
        <v>0</v>
      </c>
      <c r="U888" s="85">
        <f t="shared" si="198"/>
        <v>300</v>
      </c>
    </row>
    <row r="889" spans="1:21">
      <c r="A889" s="61" t="str">
        <f ca="1">IF(ISERROR(MATCH(F889,Код_КВР,0)),"",INDIRECT(ADDRESS(MATCH(F889,Код_КВР,0)+1,2,,,"КВР")))</f>
        <v>Иные бюджетные ассигнования</v>
      </c>
      <c r="B889" s="145">
        <v>807</v>
      </c>
      <c r="C889" s="8" t="s">
        <v>213</v>
      </c>
      <c r="D889" s="8" t="s">
        <v>190</v>
      </c>
      <c r="E889" s="145" t="s">
        <v>311</v>
      </c>
      <c r="F889" s="145">
        <v>800</v>
      </c>
      <c r="G889" s="69">
        <f t="shared" si="202"/>
        <v>300</v>
      </c>
      <c r="H889" s="69">
        <f t="shared" si="202"/>
        <v>0</v>
      </c>
      <c r="I889" s="69">
        <f t="shared" si="197"/>
        <v>300</v>
      </c>
      <c r="J889" s="69">
        <f t="shared" si="202"/>
        <v>0</v>
      </c>
      <c r="K889" s="85">
        <f t="shared" si="193"/>
        <v>300</v>
      </c>
      <c r="L889" s="13">
        <f t="shared" si="202"/>
        <v>0</v>
      </c>
      <c r="M889" s="85">
        <f t="shared" si="199"/>
        <v>300</v>
      </c>
      <c r="N889" s="13">
        <f t="shared" si="202"/>
        <v>0</v>
      </c>
      <c r="O889" s="85">
        <f t="shared" si="200"/>
        <v>300</v>
      </c>
      <c r="P889" s="13">
        <f t="shared" si="202"/>
        <v>0</v>
      </c>
      <c r="Q889" s="85">
        <f t="shared" si="191"/>
        <v>300</v>
      </c>
      <c r="R889" s="13">
        <f t="shared" si="202"/>
        <v>0</v>
      </c>
      <c r="S889" s="85">
        <f t="shared" si="189"/>
        <v>300</v>
      </c>
      <c r="T889" s="13">
        <f t="shared" si="202"/>
        <v>0</v>
      </c>
      <c r="U889" s="85">
        <f t="shared" si="198"/>
        <v>300</v>
      </c>
    </row>
    <row r="890" spans="1:21">
      <c r="A890" s="61" t="str">
        <f ca="1">IF(ISERROR(MATCH(F890,Код_КВР,0)),"",INDIRECT(ADDRESS(MATCH(F890,Код_КВР,0)+1,2,,,"КВР")))</f>
        <v>Исполнение судебных актов</v>
      </c>
      <c r="B890" s="145">
        <v>807</v>
      </c>
      <c r="C890" s="8" t="s">
        <v>213</v>
      </c>
      <c r="D890" s="8" t="s">
        <v>190</v>
      </c>
      <c r="E890" s="145" t="s">
        <v>311</v>
      </c>
      <c r="F890" s="145">
        <v>830</v>
      </c>
      <c r="G890" s="69">
        <f t="shared" si="202"/>
        <v>300</v>
      </c>
      <c r="H890" s="69">
        <f t="shared" si="202"/>
        <v>0</v>
      </c>
      <c r="I890" s="69">
        <f t="shared" si="197"/>
        <v>300</v>
      </c>
      <c r="J890" s="69">
        <f t="shared" si="202"/>
        <v>0</v>
      </c>
      <c r="K890" s="85">
        <f t="shared" si="193"/>
        <v>300</v>
      </c>
      <c r="L890" s="13">
        <f t="shared" si="202"/>
        <v>0</v>
      </c>
      <c r="M890" s="85">
        <f t="shared" si="199"/>
        <v>300</v>
      </c>
      <c r="N890" s="13">
        <f t="shared" si="202"/>
        <v>0</v>
      </c>
      <c r="O890" s="85">
        <f t="shared" si="200"/>
        <v>300</v>
      </c>
      <c r="P890" s="13">
        <f t="shared" si="202"/>
        <v>0</v>
      </c>
      <c r="Q890" s="85">
        <f t="shared" si="191"/>
        <v>300</v>
      </c>
      <c r="R890" s="13">
        <f t="shared" si="202"/>
        <v>0</v>
      </c>
      <c r="S890" s="85">
        <f t="shared" si="189"/>
        <v>300</v>
      </c>
      <c r="T890" s="13">
        <f t="shared" si="202"/>
        <v>0</v>
      </c>
      <c r="U890" s="85">
        <f t="shared" si="198"/>
        <v>300</v>
      </c>
    </row>
    <row r="891" spans="1:21" ht="87" customHeight="1">
      <c r="A891" s="61" t="str">
        <f ca="1">IF(ISERROR(MATCH(F891,Код_КВР,0)),"",INDIRECT(ADDRESS(MATCH(F891,Код_КВР,0)+1,2,,,"КВР")))</f>
        <v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v>
      </c>
      <c r="B891" s="145">
        <v>807</v>
      </c>
      <c r="C891" s="8" t="s">
        <v>213</v>
      </c>
      <c r="D891" s="8" t="s">
        <v>190</v>
      </c>
      <c r="E891" s="145" t="s">
        <v>311</v>
      </c>
      <c r="F891" s="145">
        <v>831</v>
      </c>
      <c r="G891" s="69">
        <v>300</v>
      </c>
      <c r="H891" s="69"/>
      <c r="I891" s="69">
        <f t="shared" si="197"/>
        <v>300</v>
      </c>
      <c r="J891" s="69"/>
      <c r="K891" s="85">
        <f t="shared" si="193"/>
        <v>300</v>
      </c>
      <c r="L891" s="13"/>
      <c r="M891" s="85">
        <f t="shared" si="199"/>
        <v>300</v>
      </c>
      <c r="N891" s="13"/>
      <c r="O891" s="85">
        <f t="shared" si="200"/>
        <v>300</v>
      </c>
      <c r="P891" s="13"/>
      <c r="Q891" s="85">
        <f t="shared" si="191"/>
        <v>300</v>
      </c>
      <c r="R891" s="13"/>
      <c r="S891" s="85">
        <f t="shared" si="189"/>
        <v>300</v>
      </c>
      <c r="T891" s="13"/>
      <c r="U891" s="85">
        <f t="shared" si="198"/>
        <v>300</v>
      </c>
    </row>
    <row r="892" spans="1:21">
      <c r="A892" s="61" t="str">
        <f ca="1">IF(ISERROR(MATCH(C892,Код_Раздел,0)),"",INDIRECT(ADDRESS(MATCH(C892,Код_Раздел,0)+1,2,,,"Раздел")))</f>
        <v>Национальная экономика</v>
      </c>
      <c r="B892" s="145">
        <v>807</v>
      </c>
      <c r="C892" s="8" t="s">
        <v>216</v>
      </c>
      <c r="D892" s="8"/>
      <c r="E892" s="145"/>
      <c r="F892" s="145"/>
      <c r="G892" s="69">
        <f t="shared" ref="G892:T897" si="203">G893</f>
        <v>117199.6</v>
      </c>
      <c r="H892" s="69">
        <f t="shared" si="203"/>
        <v>-64000</v>
      </c>
      <c r="I892" s="69">
        <f t="shared" si="197"/>
        <v>53199.600000000006</v>
      </c>
      <c r="J892" s="69">
        <f t="shared" si="203"/>
        <v>-50171.199999999997</v>
      </c>
      <c r="K892" s="85">
        <f t="shared" si="193"/>
        <v>3028.4000000000087</v>
      </c>
      <c r="L892" s="13">
        <f t="shared" si="203"/>
        <v>-3020</v>
      </c>
      <c r="M892" s="85">
        <f t="shared" si="199"/>
        <v>8.4000000000087311</v>
      </c>
      <c r="N892" s="13">
        <f t="shared" si="203"/>
        <v>0</v>
      </c>
      <c r="O892" s="85">
        <f t="shared" si="200"/>
        <v>8.4000000000087311</v>
      </c>
      <c r="P892" s="13">
        <f t="shared" si="203"/>
        <v>0</v>
      </c>
      <c r="Q892" s="85">
        <f t="shared" si="191"/>
        <v>8.4000000000087311</v>
      </c>
      <c r="R892" s="13">
        <f t="shared" si="203"/>
        <v>0</v>
      </c>
      <c r="S892" s="85">
        <f t="shared" si="189"/>
        <v>8.4000000000087311</v>
      </c>
      <c r="T892" s="13">
        <f t="shared" si="203"/>
        <v>0</v>
      </c>
      <c r="U892" s="85">
        <f t="shared" si="198"/>
        <v>8.4000000000087311</v>
      </c>
    </row>
    <row r="893" spans="1:21" ht="21" customHeight="1">
      <c r="A893" s="12" t="s">
        <v>223</v>
      </c>
      <c r="B893" s="145">
        <v>807</v>
      </c>
      <c r="C893" s="8" t="s">
        <v>216</v>
      </c>
      <c r="D893" s="8" t="s">
        <v>196</v>
      </c>
      <c r="E893" s="145"/>
      <c r="F893" s="145"/>
      <c r="G893" s="69">
        <f t="shared" si="203"/>
        <v>117199.6</v>
      </c>
      <c r="H893" s="69">
        <f t="shared" si="203"/>
        <v>-64000</v>
      </c>
      <c r="I893" s="69">
        <f t="shared" si="197"/>
        <v>53199.600000000006</v>
      </c>
      <c r="J893" s="69">
        <f t="shared" si="203"/>
        <v>-50171.199999999997</v>
      </c>
      <c r="K893" s="85">
        <f t="shared" si="193"/>
        <v>3028.4000000000087</v>
      </c>
      <c r="L893" s="13">
        <f t="shared" si="203"/>
        <v>-3020</v>
      </c>
      <c r="M893" s="85">
        <f t="shared" si="199"/>
        <v>8.4000000000087311</v>
      </c>
      <c r="N893" s="13">
        <f t="shared" si="203"/>
        <v>0</v>
      </c>
      <c r="O893" s="85">
        <f t="shared" si="200"/>
        <v>8.4000000000087311</v>
      </c>
      <c r="P893" s="13">
        <f t="shared" si="203"/>
        <v>0</v>
      </c>
      <c r="Q893" s="85">
        <f t="shared" si="191"/>
        <v>8.4000000000087311</v>
      </c>
      <c r="R893" s="13">
        <f t="shared" si="203"/>
        <v>0</v>
      </c>
      <c r="S893" s="85">
        <f t="shared" si="189"/>
        <v>8.4000000000087311</v>
      </c>
      <c r="T893" s="13">
        <f t="shared" si="203"/>
        <v>0</v>
      </c>
      <c r="U893" s="85">
        <f t="shared" si="198"/>
        <v>8.4000000000087311</v>
      </c>
    </row>
    <row r="894" spans="1:21" ht="33">
      <c r="A894" s="61" t="str">
        <f ca="1">IF(ISERROR(MATCH(E894,Код_КЦСР,0)),"",INDIRECT(ADDRESS(MATCH(E894,Код_КЦСР,0)+1,2,,,"КЦСР")))</f>
        <v>Непрограммные направления деятельности органов местного самоуправления</v>
      </c>
      <c r="B894" s="145">
        <v>807</v>
      </c>
      <c r="C894" s="8" t="s">
        <v>216</v>
      </c>
      <c r="D894" s="8" t="s">
        <v>196</v>
      </c>
      <c r="E894" s="145" t="s">
        <v>299</v>
      </c>
      <c r="F894" s="145"/>
      <c r="G894" s="69">
        <f t="shared" si="203"/>
        <v>117199.6</v>
      </c>
      <c r="H894" s="69">
        <f t="shared" si="203"/>
        <v>-64000</v>
      </c>
      <c r="I894" s="69">
        <f t="shared" si="197"/>
        <v>53199.600000000006</v>
      </c>
      <c r="J894" s="69">
        <f t="shared" si="203"/>
        <v>-50171.199999999997</v>
      </c>
      <c r="K894" s="85">
        <f t="shared" si="193"/>
        <v>3028.4000000000087</v>
      </c>
      <c r="L894" s="13">
        <f t="shared" si="203"/>
        <v>-3020</v>
      </c>
      <c r="M894" s="85">
        <f t="shared" si="199"/>
        <v>8.4000000000087311</v>
      </c>
      <c r="N894" s="13">
        <f t="shared" si="203"/>
        <v>0</v>
      </c>
      <c r="O894" s="85">
        <f t="shared" si="200"/>
        <v>8.4000000000087311</v>
      </c>
      <c r="P894" s="13">
        <f t="shared" si="203"/>
        <v>0</v>
      </c>
      <c r="Q894" s="85">
        <f t="shared" si="191"/>
        <v>8.4000000000087311</v>
      </c>
      <c r="R894" s="13">
        <f t="shared" si="203"/>
        <v>0</v>
      </c>
      <c r="S894" s="85">
        <f t="shared" si="189"/>
        <v>8.4000000000087311</v>
      </c>
      <c r="T894" s="13">
        <f t="shared" si="203"/>
        <v>0</v>
      </c>
      <c r="U894" s="85">
        <f t="shared" si="198"/>
        <v>8.4000000000087311</v>
      </c>
    </row>
    <row r="895" spans="1:21" ht="22.5" customHeight="1">
      <c r="A895" s="61" t="str">
        <f ca="1">IF(ISERROR(MATCH(E895,Код_КЦСР,0)),"",INDIRECT(ADDRESS(MATCH(E895,Код_КЦСР,0)+1,2,,,"КЦСР")))</f>
        <v>Расходы, не включенные в муниципальные программы города Череповца</v>
      </c>
      <c r="B895" s="145">
        <v>807</v>
      </c>
      <c r="C895" s="8" t="s">
        <v>216</v>
      </c>
      <c r="D895" s="8" t="s">
        <v>196</v>
      </c>
      <c r="E895" s="145" t="s">
        <v>301</v>
      </c>
      <c r="F895" s="145"/>
      <c r="G895" s="69">
        <f t="shared" si="203"/>
        <v>117199.6</v>
      </c>
      <c r="H895" s="69">
        <f t="shared" si="203"/>
        <v>-64000</v>
      </c>
      <c r="I895" s="69">
        <f t="shared" si="197"/>
        <v>53199.600000000006</v>
      </c>
      <c r="J895" s="69">
        <f t="shared" si="203"/>
        <v>-50171.199999999997</v>
      </c>
      <c r="K895" s="85">
        <f t="shared" si="193"/>
        <v>3028.4000000000087</v>
      </c>
      <c r="L895" s="13">
        <f t="shared" si="203"/>
        <v>-3020</v>
      </c>
      <c r="M895" s="85">
        <f t="shared" si="199"/>
        <v>8.4000000000087311</v>
      </c>
      <c r="N895" s="13">
        <f t="shared" si="203"/>
        <v>0</v>
      </c>
      <c r="O895" s="85">
        <f t="shared" si="200"/>
        <v>8.4000000000087311</v>
      </c>
      <c r="P895" s="13">
        <f t="shared" si="203"/>
        <v>0</v>
      </c>
      <c r="Q895" s="85">
        <f t="shared" si="191"/>
        <v>8.4000000000087311</v>
      </c>
      <c r="R895" s="13">
        <f t="shared" si="203"/>
        <v>0</v>
      </c>
      <c r="S895" s="85">
        <f t="shared" si="189"/>
        <v>8.4000000000087311</v>
      </c>
      <c r="T895" s="13">
        <f t="shared" si="203"/>
        <v>0</v>
      </c>
      <c r="U895" s="85">
        <f t="shared" si="198"/>
        <v>8.4000000000087311</v>
      </c>
    </row>
    <row r="896" spans="1:21" ht="19.5" customHeight="1">
      <c r="A896" s="61" t="str">
        <f ca="1">IF(ISERROR(MATCH(E896,Код_КЦСР,0)),"",INDIRECT(ADDRESS(MATCH(E896,Код_КЦСР,0)+1,2,,,"КЦСР")))</f>
        <v>Кредиторская задолженность, сложившаяся по итогам 2013 года</v>
      </c>
      <c r="B896" s="145">
        <v>807</v>
      </c>
      <c r="C896" s="8" t="s">
        <v>216</v>
      </c>
      <c r="D896" s="8" t="s">
        <v>196</v>
      </c>
      <c r="E896" s="145" t="s">
        <v>371</v>
      </c>
      <c r="F896" s="145"/>
      <c r="G896" s="69">
        <f t="shared" si="203"/>
        <v>117199.6</v>
      </c>
      <c r="H896" s="69">
        <f t="shared" si="203"/>
        <v>-64000</v>
      </c>
      <c r="I896" s="69">
        <f t="shared" si="197"/>
        <v>53199.600000000006</v>
      </c>
      <c r="J896" s="69">
        <f t="shared" si="203"/>
        <v>-50171.199999999997</v>
      </c>
      <c r="K896" s="85">
        <f t="shared" si="193"/>
        <v>3028.4000000000087</v>
      </c>
      <c r="L896" s="13">
        <f t="shared" si="203"/>
        <v>-3020</v>
      </c>
      <c r="M896" s="85">
        <f t="shared" si="199"/>
        <v>8.4000000000087311</v>
      </c>
      <c r="N896" s="13">
        <f t="shared" si="203"/>
        <v>0</v>
      </c>
      <c r="O896" s="85">
        <f t="shared" si="200"/>
        <v>8.4000000000087311</v>
      </c>
      <c r="P896" s="13">
        <f t="shared" si="203"/>
        <v>0</v>
      </c>
      <c r="Q896" s="85">
        <f t="shared" si="191"/>
        <v>8.4000000000087311</v>
      </c>
      <c r="R896" s="13">
        <f t="shared" si="203"/>
        <v>0</v>
      </c>
      <c r="S896" s="85">
        <f t="shared" si="189"/>
        <v>8.4000000000087311</v>
      </c>
      <c r="T896" s="13">
        <f t="shared" si="203"/>
        <v>0</v>
      </c>
      <c r="U896" s="85">
        <f t="shared" si="198"/>
        <v>8.4000000000087311</v>
      </c>
    </row>
    <row r="897" spans="1:21" ht="17.25" customHeight="1">
      <c r="A897" s="61" t="str">
        <f ca="1">IF(ISERROR(MATCH(F897,Код_КВР,0)),"",INDIRECT(ADDRESS(MATCH(F897,Код_КВР,0)+1,2,,,"КВР")))</f>
        <v>Закупка товаров, работ и услуг для муниципальных нужд</v>
      </c>
      <c r="B897" s="145">
        <v>807</v>
      </c>
      <c r="C897" s="8" t="s">
        <v>216</v>
      </c>
      <c r="D897" s="8" t="s">
        <v>196</v>
      </c>
      <c r="E897" s="145" t="s">
        <v>371</v>
      </c>
      <c r="F897" s="145">
        <v>200</v>
      </c>
      <c r="G897" s="69">
        <f t="shared" si="203"/>
        <v>117199.6</v>
      </c>
      <c r="H897" s="69">
        <f t="shared" si="203"/>
        <v>-64000</v>
      </c>
      <c r="I897" s="69">
        <f t="shared" si="197"/>
        <v>53199.600000000006</v>
      </c>
      <c r="J897" s="69">
        <f t="shared" si="203"/>
        <v>-50171.199999999997</v>
      </c>
      <c r="K897" s="85">
        <f t="shared" si="193"/>
        <v>3028.4000000000087</v>
      </c>
      <c r="L897" s="13">
        <f t="shared" si="203"/>
        <v>-3020</v>
      </c>
      <c r="M897" s="85">
        <f t="shared" si="199"/>
        <v>8.4000000000087311</v>
      </c>
      <c r="N897" s="13">
        <f t="shared" si="203"/>
        <v>0</v>
      </c>
      <c r="O897" s="85">
        <f t="shared" si="200"/>
        <v>8.4000000000087311</v>
      </c>
      <c r="P897" s="13">
        <f t="shared" si="203"/>
        <v>0</v>
      </c>
      <c r="Q897" s="85">
        <f t="shared" si="191"/>
        <v>8.4000000000087311</v>
      </c>
      <c r="R897" s="13">
        <f t="shared" si="203"/>
        <v>0</v>
      </c>
      <c r="S897" s="85">
        <f t="shared" si="189"/>
        <v>8.4000000000087311</v>
      </c>
      <c r="T897" s="13">
        <f t="shared" si="203"/>
        <v>0</v>
      </c>
      <c r="U897" s="85">
        <f t="shared" si="198"/>
        <v>8.4000000000087311</v>
      </c>
    </row>
    <row r="898" spans="1:21" ht="33">
      <c r="A898" s="61" t="str">
        <f ca="1">IF(ISERROR(MATCH(F898,Код_КВР,0)),"",INDIRECT(ADDRESS(MATCH(F898,Код_КВР,0)+1,2,,,"КВР")))</f>
        <v>Иные закупки товаров, работ и услуг для обеспечения муниципальных нужд</v>
      </c>
      <c r="B898" s="145">
        <v>807</v>
      </c>
      <c r="C898" s="8" t="s">
        <v>216</v>
      </c>
      <c r="D898" s="8" t="s">
        <v>196</v>
      </c>
      <c r="E898" s="145" t="s">
        <v>371</v>
      </c>
      <c r="F898" s="145">
        <v>240</v>
      </c>
      <c r="G898" s="69">
        <f>G899</f>
        <v>117199.6</v>
      </c>
      <c r="H898" s="69">
        <f>H899</f>
        <v>-64000</v>
      </c>
      <c r="I898" s="69">
        <f t="shared" si="197"/>
        <v>53199.600000000006</v>
      </c>
      <c r="J898" s="69">
        <f>J899</f>
        <v>-50171.199999999997</v>
      </c>
      <c r="K898" s="85">
        <f t="shared" si="193"/>
        <v>3028.4000000000087</v>
      </c>
      <c r="L898" s="13">
        <f>L899</f>
        <v>-3020</v>
      </c>
      <c r="M898" s="85">
        <f t="shared" si="199"/>
        <v>8.4000000000087311</v>
      </c>
      <c r="N898" s="13">
        <f>N899</f>
        <v>0</v>
      </c>
      <c r="O898" s="85">
        <f t="shared" si="200"/>
        <v>8.4000000000087311</v>
      </c>
      <c r="P898" s="13">
        <f>P899</f>
        <v>0</v>
      </c>
      <c r="Q898" s="85">
        <f t="shared" si="191"/>
        <v>8.4000000000087311</v>
      </c>
      <c r="R898" s="13">
        <f>R899</f>
        <v>0</v>
      </c>
      <c r="S898" s="85">
        <f t="shared" si="189"/>
        <v>8.4000000000087311</v>
      </c>
      <c r="T898" s="13">
        <f>T899</f>
        <v>0</v>
      </c>
      <c r="U898" s="85">
        <f t="shared" si="198"/>
        <v>8.4000000000087311</v>
      </c>
    </row>
    <row r="899" spans="1:21" ht="33">
      <c r="A899" s="61" t="str">
        <f ca="1">IF(ISERROR(MATCH(F899,Код_КВР,0)),"",INDIRECT(ADDRESS(MATCH(F899,Код_КВР,0)+1,2,,,"КВР")))</f>
        <v xml:space="preserve">Прочая закупка товаров, работ и услуг для обеспечения муниципальных нужд         </v>
      </c>
      <c r="B899" s="145">
        <v>807</v>
      </c>
      <c r="C899" s="8" t="s">
        <v>216</v>
      </c>
      <c r="D899" s="8" t="s">
        <v>196</v>
      </c>
      <c r="E899" s="145" t="s">
        <v>371</v>
      </c>
      <c r="F899" s="145">
        <v>244</v>
      </c>
      <c r="G899" s="69">
        <v>117199.6</v>
      </c>
      <c r="H899" s="69">
        <v>-64000</v>
      </c>
      <c r="I899" s="69">
        <f t="shared" si="197"/>
        <v>53199.600000000006</v>
      </c>
      <c r="J899" s="69">
        <f>-52847.5+2746-69-0.7</f>
        <v>-50171.199999999997</v>
      </c>
      <c r="K899" s="85">
        <f t="shared" si="193"/>
        <v>3028.4000000000087</v>
      </c>
      <c r="L899" s="13">
        <v>-3020</v>
      </c>
      <c r="M899" s="85">
        <f t="shared" si="199"/>
        <v>8.4000000000087311</v>
      </c>
      <c r="N899" s="13"/>
      <c r="O899" s="85">
        <f t="shared" si="200"/>
        <v>8.4000000000087311</v>
      </c>
      <c r="P899" s="13"/>
      <c r="Q899" s="85">
        <f t="shared" si="191"/>
        <v>8.4000000000087311</v>
      </c>
      <c r="R899" s="13"/>
      <c r="S899" s="85">
        <f t="shared" si="189"/>
        <v>8.4000000000087311</v>
      </c>
      <c r="T899" s="13"/>
      <c r="U899" s="85">
        <f t="shared" si="198"/>
        <v>8.4000000000087311</v>
      </c>
    </row>
    <row r="900" spans="1:21">
      <c r="A900" s="61" t="str">
        <f ca="1">IF(ISERROR(MATCH(C900,Код_Раздел,0)),"",INDIRECT(ADDRESS(MATCH(C900,Код_Раздел,0)+1,2,,,"Раздел")))</f>
        <v>Обслуживание государственного и муниципального долга</v>
      </c>
      <c r="B900" s="145">
        <v>807</v>
      </c>
      <c r="C900" s="8" t="s">
        <v>190</v>
      </c>
      <c r="D900" s="8"/>
      <c r="E900" s="145"/>
      <c r="F900" s="145"/>
      <c r="G900" s="69">
        <f t="shared" ref="G900:T906" si="204">G901</f>
        <v>46394.2</v>
      </c>
      <c r="H900" s="69">
        <f t="shared" si="204"/>
        <v>0</v>
      </c>
      <c r="I900" s="69">
        <f t="shared" si="197"/>
        <v>46394.2</v>
      </c>
      <c r="J900" s="69">
        <f t="shared" si="204"/>
        <v>0</v>
      </c>
      <c r="K900" s="85">
        <f t="shared" si="193"/>
        <v>46394.2</v>
      </c>
      <c r="L900" s="13">
        <f t="shared" si="204"/>
        <v>0</v>
      </c>
      <c r="M900" s="85">
        <f t="shared" si="199"/>
        <v>46394.2</v>
      </c>
      <c r="N900" s="13">
        <f t="shared" si="204"/>
        <v>0</v>
      </c>
      <c r="O900" s="85">
        <f t="shared" si="200"/>
        <v>46394.2</v>
      </c>
      <c r="P900" s="13">
        <f t="shared" si="204"/>
        <v>0</v>
      </c>
      <c r="Q900" s="85">
        <f t="shared" si="191"/>
        <v>46394.2</v>
      </c>
      <c r="R900" s="13">
        <f t="shared" si="204"/>
        <v>0</v>
      </c>
      <c r="S900" s="85">
        <f t="shared" si="189"/>
        <v>46394.2</v>
      </c>
      <c r="T900" s="13">
        <f t="shared" si="204"/>
        <v>0</v>
      </c>
      <c r="U900" s="85">
        <f t="shared" si="198"/>
        <v>46394.2</v>
      </c>
    </row>
    <row r="901" spans="1:21">
      <c r="A901" s="12" t="s">
        <v>261</v>
      </c>
      <c r="B901" s="145">
        <v>807</v>
      </c>
      <c r="C901" s="8" t="s">
        <v>190</v>
      </c>
      <c r="D901" s="8" t="s">
        <v>213</v>
      </c>
      <c r="E901" s="145"/>
      <c r="F901" s="145"/>
      <c r="G901" s="69">
        <f t="shared" si="204"/>
        <v>46394.2</v>
      </c>
      <c r="H901" s="69">
        <f t="shared" si="204"/>
        <v>0</v>
      </c>
      <c r="I901" s="69">
        <f t="shared" si="197"/>
        <v>46394.2</v>
      </c>
      <c r="J901" s="69">
        <f t="shared" si="204"/>
        <v>0</v>
      </c>
      <c r="K901" s="85">
        <f t="shared" si="193"/>
        <v>46394.2</v>
      </c>
      <c r="L901" s="13">
        <f t="shared" si="204"/>
        <v>0</v>
      </c>
      <c r="M901" s="85">
        <f t="shared" si="199"/>
        <v>46394.2</v>
      </c>
      <c r="N901" s="13">
        <f t="shared" si="204"/>
        <v>0</v>
      </c>
      <c r="O901" s="85">
        <f t="shared" si="200"/>
        <v>46394.2</v>
      </c>
      <c r="P901" s="13">
        <f t="shared" si="204"/>
        <v>0</v>
      </c>
      <c r="Q901" s="85">
        <f t="shared" si="191"/>
        <v>46394.2</v>
      </c>
      <c r="R901" s="13">
        <f t="shared" si="204"/>
        <v>0</v>
      </c>
      <c r="S901" s="85">
        <f t="shared" si="189"/>
        <v>46394.2</v>
      </c>
      <c r="T901" s="13">
        <f t="shared" si="204"/>
        <v>0</v>
      </c>
      <c r="U901" s="85">
        <f t="shared" si="198"/>
        <v>46394.2</v>
      </c>
    </row>
    <row r="902" spans="1:21" ht="33">
      <c r="A902" s="61" t="str">
        <f ca="1">IF(ISERROR(MATCH(E902,Код_КЦСР,0)),"",INDIRECT(ADDRESS(MATCH(E902,Код_КЦСР,0)+1,2,,,"КЦСР")))</f>
        <v>Непрограммные направления деятельности органов местного самоуправления</v>
      </c>
      <c r="B902" s="145">
        <v>807</v>
      </c>
      <c r="C902" s="8" t="s">
        <v>190</v>
      </c>
      <c r="D902" s="8" t="s">
        <v>213</v>
      </c>
      <c r="E902" s="145" t="s">
        <v>299</v>
      </c>
      <c r="F902" s="145"/>
      <c r="G902" s="69">
        <f t="shared" si="204"/>
        <v>46394.2</v>
      </c>
      <c r="H902" s="69">
        <f t="shared" si="204"/>
        <v>0</v>
      </c>
      <c r="I902" s="69">
        <f t="shared" si="197"/>
        <v>46394.2</v>
      </c>
      <c r="J902" s="69">
        <f t="shared" si="204"/>
        <v>0</v>
      </c>
      <c r="K902" s="85">
        <f t="shared" si="193"/>
        <v>46394.2</v>
      </c>
      <c r="L902" s="13">
        <f t="shared" si="204"/>
        <v>0</v>
      </c>
      <c r="M902" s="85">
        <f t="shared" si="199"/>
        <v>46394.2</v>
      </c>
      <c r="N902" s="13">
        <f t="shared" si="204"/>
        <v>0</v>
      </c>
      <c r="O902" s="85">
        <f t="shared" si="200"/>
        <v>46394.2</v>
      </c>
      <c r="P902" s="13">
        <f t="shared" si="204"/>
        <v>0</v>
      </c>
      <c r="Q902" s="85">
        <f t="shared" si="191"/>
        <v>46394.2</v>
      </c>
      <c r="R902" s="13">
        <f t="shared" si="204"/>
        <v>0</v>
      </c>
      <c r="S902" s="85">
        <f t="shared" si="189"/>
        <v>46394.2</v>
      </c>
      <c r="T902" s="13">
        <f t="shared" si="204"/>
        <v>0</v>
      </c>
      <c r="U902" s="85">
        <f t="shared" si="198"/>
        <v>46394.2</v>
      </c>
    </row>
    <row r="903" spans="1:21">
      <c r="A903" s="61" t="str">
        <f ca="1">IF(ISERROR(MATCH(E903,Код_КЦСР,0)),"",INDIRECT(ADDRESS(MATCH(E903,Код_КЦСР,0)+1,2,,,"КЦСР")))</f>
        <v>Расходы, не включенные в муниципальные программы города Череповца</v>
      </c>
      <c r="B903" s="145">
        <v>807</v>
      </c>
      <c r="C903" s="8" t="s">
        <v>190</v>
      </c>
      <c r="D903" s="8" t="s">
        <v>213</v>
      </c>
      <c r="E903" s="145" t="s">
        <v>301</v>
      </c>
      <c r="F903" s="145"/>
      <c r="G903" s="69">
        <f t="shared" si="204"/>
        <v>46394.2</v>
      </c>
      <c r="H903" s="69">
        <f t="shared" si="204"/>
        <v>0</v>
      </c>
      <c r="I903" s="69">
        <f t="shared" si="197"/>
        <v>46394.2</v>
      </c>
      <c r="J903" s="69">
        <f t="shared" si="204"/>
        <v>0</v>
      </c>
      <c r="K903" s="85">
        <f t="shared" si="193"/>
        <v>46394.2</v>
      </c>
      <c r="L903" s="13">
        <f t="shared" si="204"/>
        <v>0</v>
      </c>
      <c r="M903" s="85">
        <f t="shared" si="199"/>
        <v>46394.2</v>
      </c>
      <c r="N903" s="13">
        <f t="shared" si="204"/>
        <v>0</v>
      </c>
      <c r="O903" s="85">
        <f t="shared" si="200"/>
        <v>46394.2</v>
      </c>
      <c r="P903" s="13">
        <f t="shared" si="204"/>
        <v>0</v>
      </c>
      <c r="Q903" s="85">
        <f t="shared" si="191"/>
        <v>46394.2</v>
      </c>
      <c r="R903" s="13">
        <f t="shared" si="204"/>
        <v>0</v>
      </c>
      <c r="S903" s="85">
        <f t="shared" ref="S903:S987" si="205">Q903+R903</f>
        <v>46394.2</v>
      </c>
      <c r="T903" s="13">
        <f t="shared" si="204"/>
        <v>0</v>
      </c>
      <c r="U903" s="85">
        <f t="shared" si="198"/>
        <v>46394.2</v>
      </c>
    </row>
    <row r="904" spans="1:21">
      <c r="A904" s="61" t="str">
        <f ca="1">IF(ISERROR(MATCH(E904,Код_КЦСР,0)),"",INDIRECT(ADDRESS(MATCH(E904,Код_КЦСР,0)+1,2,,,"КЦСР")))</f>
        <v>Процентные платежи по долговым обязательствам</v>
      </c>
      <c r="B904" s="145">
        <v>807</v>
      </c>
      <c r="C904" s="8" t="s">
        <v>190</v>
      </c>
      <c r="D904" s="8" t="s">
        <v>213</v>
      </c>
      <c r="E904" s="145" t="s">
        <v>314</v>
      </c>
      <c r="F904" s="145"/>
      <c r="G904" s="69">
        <f t="shared" si="204"/>
        <v>46394.2</v>
      </c>
      <c r="H904" s="69">
        <f t="shared" si="204"/>
        <v>0</v>
      </c>
      <c r="I904" s="69">
        <f t="shared" si="197"/>
        <v>46394.2</v>
      </c>
      <c r="J904" s="69">
        <f t="shared" si="204"/>
        <v>0</v>
      </c>
      <c r="K904" s="85">
        <f t="shared" si="193"/>
        <v>46394.2</v>
      </c>
      <c r="L904" s="13">
        <f t="shared" si="204"/>
        <v>0</v>
      </c>
      <c r="M904" s="85">
        <f t="shared" si="199"/>
        <v>46394.2</v>
      </c>
      <c r="N904" s="13">
        <f t="shared" si="204"/>
        <v>0</v>
      </c>
      <c r="O904" s="85">
        <f t="shared" si="200"/>
        <v>46394.2</v>
      </c>
      <c r="P904" s="13">
        <f t="shared" si="204"/>
        <v>0</v>
      </c>
      <c r="Q904" s="85">
        <f t="shared" si="191"/>
        <v>46394.2</v>
      </c>
      <c r="R904" s="13">
        <f t="shared" si="204"/>
        <v>0</v>
      </c>
      <c r="S904" s="85">
        <f t="shared" si="205"/>
        <v>46394.2</v>
      </c>
      <c r="T904" s="13">
        <f t="shared" si="204"/>
        <v>0</v>
      </c>
      <c r="U904" s="85">
        <f t="shared" si="198"/>
        <v>46394.2</v>
      </c>
    </row>
    <row r="905" spans="1:21">
      <c r="A905" s="61" t="str">
        <f ca="1">IF(ISERROR(MATCH(E905,Код_КЦСР,0)),"",INDIRECT(ADDRESS(MATCH(E905,Код_КЦСР,0)+1,2,,,"КЦСР")))</f>
        <v>Процентные платежи по муниципальному долгу</v>
      </c>
      <c r="B905" s="145">
        <v>807</v>
      </c>
      <c r="C905" s="8" t="s">
        <v>190</v>
      </c>
      <c r="D905" s="8" t="s">
        <v>213</v>
      </c>
      <c r="E905" s="145" t="s">
        <v>315</v>
      </c>
      <c r="F905" s="145"/>
      <c r="G905" s="69">
        <f t="shared" si="204"/>
        <v>46394.2</v>
      </c>
      <c r="H905" s="69">
        <f t="shared" si="204"/>
        <v>0</v>
      </c>
      <c r="I905" s="69">
        <f t="shared" si="197"/>
        <v>46394.2</v>
      </c>
      <c r="J905" s="69">
        <f t="shared" si="204"/>
        <v>0</v>
      </c>
      <c r="K905" s="85">
        <f t="shared" si="193"/>
        <v>46394.2</v>
      </c>
      <c r="L905" s="13">
        <f t="shared" si="204"/>
        <v>0</v>
      </c>
      <c r="M905" s="85">
        <f t="shared" si="199"/>
        <v>46394.2</v>
      </c>
      <c r="N905" s="13">
        <f t="shared" si="204"/>
        <v>0</v>
      </c>
      <c r="O905" s="85">
        <f t="shared" si="200"/>
        <v>46394.2</v>
      </c>
      <c r="P905" s="13">
        <f t="shared" si="204"/>
        <v>0</v>
      </c>
      <c r="Q905" s="85">
        <f t="shared" si="191"/>
        <v>46394.2</v>
      </c>
      <c r="R905" s="13">
        <f t="shared" si="204"/>
        <v>0</v>
      </c>
      <c r="S905" s="85">
        <f t="shared" si="205"/>
        <v>46394.2</v>
      </c>
      <c r="T905" s="13">
        <f t="shared" si="204"/>
        <v>0</v>
      </c>
      <c r="U905" s="85">
        <f t="shared" si="198"/>
        <v>46394.2</v>
      </c>
    </row>
    <row r="906" spans="1:21">
      <c r="A906" s="61" t="str">
        <f ca="1">IF(ISERROR(MATCH(F906,Код_КВР,0)),"",INDIRECT(ADDRESS(MATCH(F906,Код_КВР,0)+1,2,,,"КВР")))</f>
        <v>Обслуживание государственного (муниципального) долга</v>
      </c>
      <c r="B906" s="145">
        <v>807</v>
      </c>
      <c r="C906" s="8" t="s">
        <v>190</v>
      </c>
      <c r="D906" s="8" t="s">
        <v>213</v>
      </c>
      <c r="E906" s="145" t="s">
        <v>315</v>
      </c>
      <c r="F906" s="145">
        <v>700</v>
      </c>
      <c r="G906" s="69">
        <f t="shared" si="204"/>
        <v>46394.2</v>
      </c>
      <c r="H906" s="69">
        <f t="shared" si="204"/>
        <v>0</v>
      </c>
      <c r="I906" s="69">
        <f t="shared" si="197"/>
        <v>46394.2</v>
      </c>
      <c r="J906" s="69">
        <f t="shared" si="204"/>
        <v>0</v>
      </c>
      <c r="K906" s="85">
        <f t="shared" si="193"/>
        <v>46394.2</v>
      </c>
      <c r="L906" s="13">
        <f t="shared" si="204"/>
        <v>0</v>
      </c>
      <c r="M906" s="85">
        <f t="shared" si="199"/>
        <v>46394.2</v>
      </c>
      <c r="N906" s="13">
        <f t="shared" si="204"/>
        <v>0</v>
      </c>
      <c r="O906" s="85">
        <f t="shared" si="200"/>
        <v>46394.2</v>
      </c>
      <c r="P906" s="13">
        <f t="shared" si="204"/>
        <v>0</v>
      </c>
      <c r="Q906" s="85">
        <f t="shared" si="191"/>
        <v>46394.2</v>
      </c>
      <c r="R906" s="13">
        <f t="shared" si="204"/>
        <v>0</v>
      </c>
      <c r="S906" s="85">
        <f t="shared" si="205"/>
        <v>46394.2</v>
      </c>
      <c r="T906" s="13">
        <f t="shared" si="204"/>
        <v>0</v>
      </c>
      <c r="U906" s="85">
        <f t="shared" si="198"/>
        <v>46394.2</v>
      </c>
    </row>
    <row r="907" spans="1:21">
      <c r="A907" s="61" t="str">
        <f ca="1">IF(ISERROR(MATCH(F907,Код_КВР,0)),"",INDIRECT(ADDRESS(MATCH(F907,Код_КВР,0)+1,2,,,"КВР")))</f>
        <v>Обслуживание муниципального долга</v>
      </c>
      <c r="B907" s="145">
        <v>807</v>
      </c>
      <c r="C907" s="8" t="s">
        <v>190</v>
      </c>
      <c r="D907" s="8" t="s">
        <v>213</v>
      </c>
      <c r="E907" s="145" t="s">
        <v>315</v>
      </c>
      <c r="F907" s="145">
        <v>730</v>
      </c>
      <c r="G907" s="69">
        <v>46394.2</v>
      </c>
      <c r="H907" s="69"/>
      <c r="I907" s="69">
        <f t="shared" si="197"/>
        <v>46394.2</v>
      </c>
      <c r="J907" s="69"/>
      <c r="K907" s="85">
        <f t="shared" si="193"/>
        <v>46394.2</v>
      </c>
      <c r="L907" s="13"/>
      <c r="M907" s="85">
        <f t="shared" si="199"/>
        <v>46394.2</v>
      </c>
      <c r="N907" s="13"/>
      <c r="O907" s="85">
        <f t="shared" si="200"/>
        <v>46394.2</v>
      </c>
      <c r="P907" s="13"/>
      <c r="Q907" s="85">
        <f t="shared" si="191"/>
        <v>46394.2</v>
      </c>
      <c r="R907" s="13"/>
      <c r="S907" s="85">
        <f t="shared" si="205"/>
        <v>46394.2</v>
      </c>
      <c r="T907" s="13"/>
      <c r="U907" s="85">
        <f t="shared" si="198"/>
        <v>46394.2</v>
      </c>
    </row>
    <row r="908" spans="1:21">
      <c r="A908" s="61" t="str">
        <f ca="1">IF(ISERROR(MATCH(B908,Код_ППП,0)),"",INDIRECT(ADDRESS(MATCH(B908,Код_ППП,0)+1,2,,,"ППП")))</f>
        <v>УПРАВЛЕНИЕ ПО ДЕЛАМ КУЛЬТУРЫ МЭРИИ ГОРОДА</v>
      </c>
      <c r="B908" s="145">
        <v>808</v>
      </c>
      <c r="C908" s="8"/>
      <c r="D908" s="8"/>
      <c r="E908" s="145"/>
      <c r="F908" s="145"/>
      <c r="G908" s="69">
        <f>G909+G918+G966</f>
        <v>321679.5</v>
      </c>
      <c r="H908" s="69">
        <f>H909+H918+H966</f>
        <v>0</v>
      </c>
      <c r="I908" s="69">
        <f t="shared" si="197"/>
        <v>321679.5</v>
      </c>
      <c r="J908" s="69">
        <f>J909+J918+J966</f>
        <v>-370.69999999999993</v>
      </c>
      <c r="K908" s="85">
        <f t="shared" si="193"/>
        <v>321308.79999999999</v>
      </c>
      <c r="L908" s="13">
        <f>L909+L918+L966</f>
        <v>-237.10000000000002</v>
      </c>
      <c r="M908" s="85">
        <f t="shared" si="199"/>
        <v>321071.7</v>
      </c>
      <c r="N908" s="13">
        <f>N909+N918+N966</f>
        <v>0</v>
      </c>
      <c r="O908" s="85">
        <f t="shared" si="200"/>
        <v>321071.7</v>
      </c>
      <c r="P908" s="13">
        <f>P909+P918+P966</f>
        <v>140.19999999999999</v>
      </c>
      <c r="Q908" s="85">
        <f t="shared" si="191"/>
        <v>321211.90000000002</v>
      </c>
      <c r="R908" s="13">
        <f>R909+R918+R966</f>
        <v>24156.600000000002</v>
      </c>
      <c r="S908" s="85">
        <f t="shared" si="205"/>
        <v>345368.5</v>
      </c>
      <c r="T908" s="13">
        <f>T909+T918+T966</f>
        <v>199.99999999999972</v>
      </c>
      <c r="U908" s="85">
        <f t="shared" si="198"/>
        <v>345568.5</v>
      </c>
    </row>
    <row r="909" spans="1:21">
      <c r="A909" s="61" t="str">
        <f ca="1">IF(ISERROR(MATCH(C909,Код_Раздел,0)),"",INDIRECT(ADDRESS(MATCH(C909,Код_Раздел,0)+1,2,,,"Раздел")))</f>
        <v>Национальная экономика</v>
      </c>
      <c r="B909" s="145">
        <v>808</v>
      </c>
      <c r="C909" s="8" t="s">
        <v>216</v>
      </c>
      <c r="D909" s="8"/>
      <c r="E909" s="145"/>
      <c r="F909" s="145"/>
      <c r="G909" s="69">
        <f t="shared" ref="G909:T916" si="206">G910</f>
        <v>41.4</v>
      </c>
      <c r="H909" s="69">
        <f t="shared" si="206"/>
        <v>0</v>
      </c>
      <c r="I909" s="69">
        <f t="shared" si="197"/>
        <v>41.4</v>
      </c>
      <c r="J909" s="69">
        <f t="shared" si="206"/>
        <v>0</v>
      </c>
      <c r="K909" s="85">
        <f t="shared" si="193"/>
        <v>41.4</v>
      </c>
      <c r="L909" s="13">
        <f t="shared" si="206"/>
        <v>0</v>
      </c>
      <c r="M909" s="85">
        <f t="shared" si="199"/>
        <v>41.4</v>
      </c>
      <c r="N909" s="13">
        <f t="shared" si="206"/>
        <v>0</v>
      </c>
      <c r="O909" s="85">
        <f t="shared" si="200"/>
        <v>41.4</v>
      </c>
      <c r="P909" s="13">
        <f t="shared" si="206"/>
        <v>0</v>
      </c>
      <c r="Q909" s="85">
        <f t="shared" ref="Q909:Q993" si="207">O909+P909</f>
        <v>41.4</v>
      </c>
      <c r="R909" s="13">
        <f t="shared" si="206"/>
        <v>0</v>
      </c>
      <c r="S909" s="85">
        <f t="shared" si="205"/>
        <v>41.4</v>
      </c>
      <c r="T909" s="13">
        <f t="shared" si="206"/>
        <v>0</v>
      </c>
      <c r="U909" s="85">
        <f t="shared" si="198"/>
        <v>41.4</v>
      </c>
    </row>
    <row r="910" spans="1:21">
      <c r="A910" s="12" t="s">
        <v>223</v>
      </c>
      <c r="B910" s="145">
        <v>808</v>
      </c>
      <c r="C910" s="8" t="s">
        <v>216</v>
      </c>
      <c r="D910" s="8" t="s">
        <v>196</v>
      </c>
      <c r="E910" s="145"/>
      <c r="F910" s="145"/>
      <c r="G910" s="69">
        <f t="shared" si="206"/>
        <v>41.4</v>
      </c>
      <c r="H910" s="69">
        <f t="shared" si="206"/>
        <v>0</v>
      </c>
      <c r="I910" s="69">
        <f t="shared" si="197"/>
        <v>41.4</v>
      </c>
      <c r="J910" s="69">
        <f t="shared" si="206"/>
        <v>0</v>
      </c>
      <c r="K910" s="85">
        <f t="shared" si="193"/>
        <v>41.4</v>
      </c>
      <c r="L910" s="13">
        <f t="shared" si="206"/>
        <v>0</v>
      </c>
      <c r="M910" s="85">
        <f t="shared" si="199"/>
        <v>41.4</v>
      </c>
      <c r="N910" s="13">
        <f t="shared" si="206"/>
        <v>0</v>
      </c>
      <c r="O910" s="85">
        <f t="shared" si="200"/>
        <v>41.4</v>
      </c>
      <c r="P910" s="13">
        <f t="shared" si="206"/>
        <v>0</v>
      </c>
      <c r="Q910" s="85">
        <f t="shared" si="207"/>
        <v>41.4</v>
      </c>
      <c r="R910" s="13">
        <f t="shared" si="206"/>
        <v>0</v>
      </c>
      <c r="S910" s="85">
        <f t="shared" si="205"/>
        <v>41.4</v>
      </c>
      <c r="T910" s="13">
        <f t="shared" si="206"/>
        <v>0</v>
      </c>
      <c r="U910" s="85">
        <f t="shared" si="198"/>
        <v>41.4</v>
      </c>
    </row>
    <row r="911" spans="1:21" ht="33">
      <c r="A911" s="61" t="str">
        <f ca="1">IF(ISERROR(MATCH(E911,Код_КЦСР,0)),"",INDIRECT(ADDRESS(MATCH(E911,Код_КЦСР,0)+1,2,,,"КЦСР")))</f>
        <v>Муниципальная программа «Развитие внутреннего и въездного туризма в г. Череповце» на 2014-2022 годы</v>
      </c>
      <c r="B911" s="145">
        <v>808</v>
      </c>
      <c r="C911" s="8" t="s">
        <v>216</v>
      </c>
      <c r="D911" s="8" t="s">
        <v>196</v>
      </c>
      <c r="E911" s="145" t="s">
        <v>1</v>
      </c>
      <c r="F911" s="145"/>
      <c r="G911" s="69">
        <f t="shared" si="206"/>
        <v>41.4</v>
      </c>
      <c r="H911" s="69">
        <f t="shared" si="206"/>
        <v>0</v>
      </c>
      <c r="I911" s="69">
        <f t="shared" si="197"/>
        <v>41.4</v>
      </c>
      <c r="J911" s="69">
        <f t="shared" si="206"/>
        <v>0</v>
      </c>
      <c r="K911" s="85">
        <f t="shared" si="193"/>
        <v>41.4</v>
      </c>
      <c r="L911" s="13">
        <f t="shared" si="206"/>
        <v>0</v>
      </c>
      <c r="M911" s="85">
        <f t="shared" si="199"/>
        <v>41.4</v>
      </c>
      <c r="N911" s="13">
        <f t="shared" si="206"/>
        <v>0</v>
      </c>
      <c r="O911" s="85">
        <f t="shared" si="200"/>
        <v>41.4</v>
      </c>
      <c r="P911" s="13">
        <f t="shared" si="206"/>
        <v>0</v>
      </c>
      <c r="Q911" s="85">
        <f t="shared" si="207"/>
        <v>41.4</v>
      </c>
      <c r="R911" s="13">
        <f t="shared" si="206"/>
        <v>0</v>
      </c>
      <c r="S911" s="85">
        <f t="shared" si="205"/>
        <v>41.4</v>
      </c>
      <c r="T911" s="13">
        <f t="shared" si="206"/>
        <v>0</v>
      </c>
      <c r="U911" s="85">
        <f t="shared" si="198"/>
        <v>41.4</v>
      </c>
    </row>
    <row r="912" spans="1:21">
      <c r="A912" s="61" t="str">
        <f ca="1">IF(ISERROR(MATCH(E912,Код_КЦСР,0)),"",INDIRECT(ADDRESS(MATCH(E912,Код_КЦСР,0)+1,2,,,"КЦСР")))</f>
        <v>Продвижение городского туристского продукта на российском рынке</v>
      </c>
      <c r="B912" s="145">
        <v>808</v>
      </c>
      <c r="C912" s="8" t="s">
        <v>216</v>
      </c>
      <c r="D912" s="8" t="s">
        <v>196</v>
      </c>
      <c r="E912" s="145" t="s">
        <v>2</v>
      </c>
      <c r="F912" s="145"/>
      <c r="G912" s="69">
        <f>G913+G915</f>
        <v>41.4</v>
      </c>
      <c r="H912" s="69">
        <f>H913+H915</f>
        <v>0</v>
      </c>
      <c r="I912" s="69">
        <f t="shared" si="197"/>
        <v>41.4</v>
      </c>
      <c r="J912" s="69">
        <f>J913+J915</f>
        <v>0</v>
      </c>
      <c r="K912" s="85">
        <f t="shared" si="193"/>
        <v>41.4</v>
      </c>
      <c r="L912" s="13">
        <f>L913+L915</f>
        <v>0</v>
      </c>
      <c r="M912" s="85">
        <f t="shared" si="199"/>
        <v>41.4</v>
      </c>
      <c r="N912" s="13">
        <f>N913+N915</f>
        <v>0</v>
      </c>
      <c r="O912" s="85">
        <f t="shared" si="200"/>
        <v>41.4</v>
      </c>
      <c r="P912" s="13">
        <f>P913+P915</f>
        <v>0</v>
      </c>
      <c r="Q912" s="85">
        <f t="shared" si="207"/>
        <v>41.4</v>
      </c>
      <c r="R912" s="13">
        <f>R913+R915</f>
        <v>0</v>
      </c>
      <c r="S912" s="85">
        <f t="shared" si="205"/>
        <v>41.4</v>
      </c>
      <c r="T912" s="13">
        <f>T913+T915</f>
        <v>0</v>
      </c>
      <c r="U912" s="85">
        <f t="shared" si="198"/>
        <v>41.4</v>
      </c>
    </row>
    <row r="913" spans="1:22" ht="33">
      <c r="A913" s="61" t="str">
        <f ca="1">IF(ISERROR(MATCH(F913,Код_КВР,0)),"",INDIRECT(ADDRESS(MATCH(F913,Код_КВР,0)+1,2,,,"КВР")))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913" s="145">
        <v>808</v>
      </c>
      <c r="C913" s="8" t="s">
        <v>216</v>
      </c>
      <c r="D913" s="8" t="s">
        <v>196</v>
      </c>
      <c r="E913" s="145" t="s">
        <v>2</v>
      </c>
      <c r="F913" s="145">
        <v>100</v>
      </c>
      <c r="G913" s="69">
        <f>G914</f>
        <v>11</v>
      </c>
      <c r="H913" s="69">
        <f>H914</f>
        <v>0</v>
      </c>
      <c r="I913" s="69">
        <f t="shared" si="197"/>
        <v>11</v>
      </c>
      <c r="J913" s="69">
        <f>J914</f>
        <v>0</v>
      </c>
      <c r="K913" s="85">
        <f t="shared" si="193"/>
        <v>11</v>
      </c>
      <c r="L913" s="13">
        <f>L914</f>
        <v>0</v>
      </c>
      <c r="M913" s="85">
        <f t="shared" si="199"/>
        <v>11</v>
      </c>
      <c r="N913" s="13">
        <f>N914</f>
        <v>0</v>
      </c>
      <c r="O913" s="85">
        <f t="shared" si="200"/>
        <v>11</v>
      </c>
      <c r="P913" s="13">
        <f>P914</f>
        <v>0</v>
      </c>
      <c r="Q913" s="85">
        <f t="shared" si="207"/>
        <v>11</v>
      </c>
      <c r="R913" s="13">
        <f>R914</f>
        <v>0</v>
      </c>
      <c r="S913" s="85">
        <f t="shared" si="205"/>
        <v>11</v>
      </c>
      <c r="T913" s="13">
        <f>T914</f>
        <v>0</v>
      </c>
      <c r="U913" s="85">
        <f t="shared" si="198"/>
        <v>11</v>
      </c>
    </row>
    <row r="914" spans="1:22">
      <c r="A914" s="61" t="str">
        <f ca="1">IF(ISERROR(MATCH(F914,Код_КВР,0)),"",INDIRECT(ADDRESS(MATCH(F914,Код_КВР,0)+1,2,,,"КВР")))</f>
        <v>Расходы на выплаты персоналу муниципальных органов</v>
      </c>
      <c r="B914" s="145">
        <v>808</v>
      </c>
      <c r="C914" s="8" t="s">
        <v>216</v>
      </c>
      <c r="D914" s="8" t="s">
        <v>196</v>
      </c>
      <c r="E914" s="145" t="s">
        <v>2</v>
      </c>
      <c r="F914" s="145">
        <v>120</v>
      </c>
      <c r="G914" s="69">
        <v>11</v>
      </c>
      <c r="H914" s="69"/>
      <c r="I914" s="69">
        <f t="shared" si="197"/>
        <v>11</v>
      </c>
      <c r="J914" s="69"/>
      <c r="K914" s="85">
        <f t="shared" si="193"/>
        <v>11</v>
      </c>
      <c r="L914" s="13"/>
      <c r="M914" s="85">
        <f t="shared" si="199"/>
        <v>11</v>
      </c>
      <c r="N914" s="13"/>
      <c r="O914" s="85">
        <f t="shared" si="200"/>
        <v>11</v>
      </c>
      <c r="P914" s="13"/>
      <c r="Q914" s="85">
        <f t="shared" si="207"/>
        <v>11</v>
      </c>
      <c r="R914" s="13"/>
      <c r="S914" s="85">
        <f t="shared" si="205"/>
        <v>11</v>
      </c>
      <c r="T914" s="13"/>
      <c r="U914" s="85">
        <f t="shared" si="198"/>
        <v>11</v>
      </c>
    </row>
    <row r="915" spans="1:22" ht="33">
      <c r="A915" s="61" t="str">
        <f ca="1">IF(ISERROR(MATCH(F915,Код_КВР,0)),"",INDIRECT(ADDRESS(MATCH(F915,Код_КВР,0)+1,2,,,"КВР")))</f>
        <v>Предоставление субсидий бюджетным, автономным учреждениям и иным некоммерческим организациям</v>
      </c>
      <c r="B915" s="145">
        <v>808</v>
      </c>
      <c r="C915" s="8" t="s">
        <v>216</v>
      </c>
      <c r="D915" s="8" t="s">
        <v>196</v>
      </c>
      <c r="E915" s="145" t="s">
        <v>2</v>
      </c>
      <c r="F915" s="145">
        <v>600</v>
      </c>
      <c r="G915" s="69">
        <f t="shared" si="206"/>
        <v>30.4</v>
      </c>
      <c r="H915" s="69">
        <f t="shared" si="206"/>
        <v>0</v>
      </c>
      <c r="I915" s="69">
        <f t="shared" si="197"/>
        <v>30.4</v>
      </c>
      <c r="J915" s="69">
        <f t="shared" si="206"/>
        <v>0</v>
      </c>
      <c r="K915" s="85">
        <f t="shared" ref="K915:K1012" si="208">I915+J915</f>
        <v>30.4</v>
      </c>
      <c r="L915" s="13">
        <f t="shared" si="206"/>
        <v>0</v>
      </c>
      <c r="M915" s="85">
        <f t="shared" si="199"/>
        <v>30.4</v>
      </c>
      <c r="N915" s="13">
        <f t="shared" si="206"/>
        <v>0</v>
      </c>
      <c r="O915" s="85">
        <f t="shared" si="200"/>
        <v>30.4</v>
      </c>
      <c r="P915" s="13">
        <f t="shared" si="206"/>
        <v>0</v>
      </c>
      <c r="Q915" s="85">
        <f t="shared" si="207"/>
        <v>30.4</v>
      </c>
      <c r="R915" s="13">
        <f t="shared" si="206"/>
        <v>0</v>
      </c>
      <c r="S915" s="85">
        <f t="shared" si="205"/>
        <v>30.4</v>
      </c>
      <c r="T915" s="13">
        <f t="shared" si="206"/>
        <v>0</v>
      </c>
      <c r="U915" s="85">
        <f t="shared" si="198"/>
        <v>30.4</v>
      </c>
    </row>
    <row r="916" spans="1:22">
      <c r="A916" s="61" t="str">
        <f ca="1">IF(ISERROR(MATCH(F916,Код_КВР,0)),"",INDIRECT(ADDRESS(MATCH(F916,Код_КВР,0)+1,2,,,"КВР")))</f>
        <v>Субсидии бюджетным учреждениям</v>
      </c>
      <c r="B916" s="145">
        <v>808</v>
      </c>
      <c r="C916" s="8" t="s">
        <v>216</v>
      </c>
      <c r="D916" s="8" t="s">
        <v>196</v>
      </c>
      <c r="E916" s="145" t="s">
        <v>2</v>
      </c>
      <c r="F916" s="145">
        <v>610</v>
      </c>
      <c r="G916" s="69">
        <f t="shared" si="206"/>
        <v>30.4</v>
      </c>
      <c r="H916" s="69">
        <f t="shared" si="206"/>
        <v>0</v>
      </c>
      <c r="I916" s="69">
        <f t="shared" si="197"/>
        <v>30.4</v>
      </c>
      <c r="J916" s="69">
        <f t="shared" si="206"/>
        <v>0</v>
      </c>
      <c r="K916" s="85">
        <f t="shared" si="208"/>
        <v>30.4</v>
      </c>
      <c r="L916" s="13">
        <f t="shared" si="206"/>
        <v>0</v>
      </c>
      <c r="M916" s="85">
        <f t="shared" si="199"/>
        <v>30.4</v>
      </c>
      <c r="N916" s="13">
        <f t="shared" si="206"/>
        <v>0</v>
      </c>
      <c r="O916" s="85">
        <f t="shared" si="200"/>
        <v>30.4</v>
      </c>
      <c r="P916" s="13">
        <f t="shared" si="206"/>
        <v>0</v>
      </c>
      <c r="Q916" s="85">
        <f t="shared" si="207"/>
        <v>30.4</v>
      </c>
      <c r="R916" s="13">
        <f t="shared" si="206"/>
        <v>0</v>
      </c>
      <c r="S916" s="85">
        <f t="shared" si="205"/>
        <v>30.4</v>
      </c>
      <c r="T916" s="13">
        <f t="shared" si="206"/>
        <v>0</v>
      </c>
      <c r="U916" s="85">
        <f t="shared" si="198"/>
        <v>30.4</v>
      </c>
    </row>
    <row r="917" spans="1:22">
      <c r="A917" s="61" t="str">
        <f ca="1">IF(ISERROR(MATCH(F917,Код_КВР,0)),"",INDIRECT(ADDRESS(MATCH(F917,Код_КВР,0)+1,2,,,"КВР")))</f>
        <v>Субсидии бюджетным учреждениям на иные цели</v>
      </c>
      <c r="B917" s="145">
        <v>808</v>
      </c>
      <c r="C917" s="8" t="s">
        <v>216</v>
      </c>
      <c r="D917" s="8" t="s">
        <v>196</v>
      </c>
      <c r="E917" s="145" t="s">
        <v>2</v>
      </c>
      <c r="F917" s="145">
        <v>612</v>
      </c>
      <c r="G917" s="69">
        <v>30.4</v>
      </c>
      <c r="H917" s="69"/>
      <c r="I917" s="69">
        <f t="shared" si="197"/>
        <v>30.4</v>
      </c>
      <c r="J917" s="69"/>
      <c r="K917" s="85">
        <f t="shared" si="208"/>
        <v>30.4</v>
      </c>
      <c r="L917" s="13"/>
      <c r="M917" s="85">
        <f t="shared" si="199"/>
        <v>30.4</v>
      </c>
      <c r="N917" s="13"/>
      <c r="O917" s="85">
        <f t="shared" si="200"/>
        <v>30.4</v>
      </c>
      <c r="P917" s="13"/>
      <c r="Q917" s="85">
        <f t="shared" si="207"/>
        <v>30.4</v>
      </c>
      <c r="R917" s="13"/>
      <c r="S917" s="85">
        <f t="shared" si="205"/>
        <v>30.4</v>
      </c>
      <c r="T917" s="13"/>
      <c r="U917" s="85">
        <f t="shared" si="198"/>
        <v>30.4</v>
      </c>
    </row>
    <row r="918" spans="1:22">
      <c r="A918" s="61" t="str">
        <f ca="1">IF(ISERROR(MATCH(C918,Код_Раздел,0)),"",INDIRECT(ADDRESS(MATCH(C918,Код_Раздел,0)+1,2,,,"Раздел")))</f>
        <v>Образование</v>
      </c>
      <c r="B918" s="145">
        <v>808</v>
      </c>
      <c r="C918" s="8" t="s">
        <v>195</v>
      </c>
      <c r="D918" s="8"/>
      <c r="E918" s="145"/>
      <c r="F918" s="145"/>
      <c r="G918" s="69">
        <f>G919+G940</f>
        <v>61155.1</v>
      </c>
      <c r="H918" s="69">
        <f>H919+H940</f>
        <v>0</v>
      </c>
      <c r="I918" s="69">
        <f t="shared" si="197"/>
        <v>61155.1</v>
      </c>
      <c r="J918" s="69">
        <f>J919+J934+J940</f>
        <v>73.099999999999994</v>
      </c>
      <c r="K918" s="85">
        <f t="shared" si="208"/>
        <v>61228.2</v>
      </c>
      <c r="L918" s="13">
        <f>L919+L934+L940</f>
        <v>-50.9</v>
      </c>
      <c r="M918" s="85">
        <f t="shared" si="199"/>
        <v>61177.299999999996</v>
      </c>
      <c r="N918" s="13">
        <f>N919+N934+N940</f>
        <v>0</v>
      </c>
      <c r="O918" s="85">
        <f t="shared" si="200"/>
        <v>61177.299999999996</v>
      </c>
      <c r="P918" s="13">
        <f>P919+P934+P940</f>
        <v>0</v>
      </c>
      <c r="Q918" s="85">
        <f t="shared" si="207"/>
        <v>61177.299999999996</v>
      </c>
      <c r="R918" s="13">
        <f>R919+R934+R940</f>
        <v>488.5</v>
      </c>
      <c r="S918" s="85">
        <f t="shared" si="205"/>
        <v>61665.799999999996</v>
      </c>
      <c r="T918" s="13">
        <f>T919+T934+T940</f>
        <v>266.89999999999998</v>
      </c>
      <c r="U918" s="85">
        <f t="shared" si="198"/>
        <v>61932.7</v>
      </c>
    </row>
    <row r="919" spans="1:22">
      <c r="A919" s="12" t="s">
        <v>250</v>
      </c>
      <c r="B919" s="145">
        <v>808</v>
      </c>
      <c r="C919" s="8" t="s">
        <v>195</v>
      </c>
      <c r="D919" s="8" t="s">
        <v>214</v>
      </c>
      <c r="E919" s="145"/>
      <c r="F919" s="145"/>
      <c r="G919" s="69">
        <f t="shared" ref="G919:T928" si="209">G920</f>
        <v>60888.1</v>
      </c>
      <c r="H919" s="69">
        <f t="shared" si="209"/>
        <v>0</v>
      </c>
      <c r="I919" s="69">
        <f t="shared" si="197"/>
        <v>60888.1</v>
      </c>
      <c r="J919" s="69">
        <f t="shared" si="209"/>
        <v>0</v>
      </c>
      <c r="K919" s="85">
        <f t="shared" si="208"/>
        <v>60888.1</v>
      </c>
      <c r="L919" s="13">
        <f t="shared" si="209"/>
        <v>-50.9</v>
      </c>
      <c r="M919" s="85">
        <f t="shared" si="199"/>
        <v>60837.2</v>
      </c>
      <c r="N919" s="13">
        <f t="shared" si="209"/>
        <v>0</v>
      </c>
      <c r="O919" s="85">
        <f t="shared" si="200"/>
        <v>60837.2</v>
      </c>
      <c r="P919" s="13">
        <f t="shared" si="209"/>
        <v>0</v>
      </c>
      <c r="Q919" s="85">
        <f t="shared" si="207"/>
        <v>60837.2</v>
      </c>
      <c r="R919" s="13">
        <f t="shared" si="209"/>
        <v>330.6</v>
      </c>
      <c r="S919" s="85">
        <f t="shared" si="205"/>
        <v>61167.799999999996</v>
      </c>
      <c r="T919" s="13">
        <f t="shared" si="209"/>
        <v>216.9</v>
      </c>
      <c r="U919" s="85">
        <f t="shared" si="198"/>
        <v>61384.7</v>
      </c>
    </row>
    <row r="920" spans="1:22" ht="33">
      <c r="A920" s="61" t="str">
        <f ca="1">IF(ISERROR(MATCH(E920,Код_КЦСР,0)),"",INDIRECT(ADDRESS(MATCH(E920,Код_КЦСР,0)+1,2,,,"КЦСР")))</f>
        <v>Муниципальная программа «Культура, традиции и народное творчество в городе Череповце» на 2013-2018 годы</v>
      </c>
      <c r="B920" s="145">
        <v>808</v>
      </c>
      <c r="C920" s="8" t="s">
        <v>195</v>
      </c>
      <c r="D920" s="8" t="s">
        <v>214</v>
      </c>
      <c r="E920" s="145" t="s">
        <v>464</v>
      </c>
      <c r="F920" s="145"/>
      <c r="G920" s="69">
        <f t="shared" si="209"/>
        <v>60888.1</v>
      </c>
      <c r="H920" s="69">
        <f t="shared" si="209"/>
        <v>0</v>
      </c>
      <c r="I920" s="69">
        <f t="shared" si="197"/>
        <v>60888.1</v>
      </c>
      <c r="J920" s="69">
        <f t="shared" si="209"/>
        <v>0</v>
      </c>
      <c r="K920" s="85">
        <f t="shared" si="208"/>
        <v>60888.1</v>
      </c>
      <c r="L920" s="13">
        <f t="shared" si="209"/>
        <v>-50.9</v>
      </c>
      <c r="M920" s="85">
        <f t="shared" si="199"/>
        <v>60837.2</v>
      </c>
      <c r="N920" s="13">
        <f t="shared" si="209"/>
        <v>0</v>
      </c>
      <c r="O920" s="85">
        <f t="shared" si="200"/>
        <v>60837.2</v>
      </c>
      <c r="P920" s="13">
        <f t="shared" si="209"/>
        <v>0</v>
      </c>
      <c r="Q920" s="85">
        <f t="shared" si="207"/>
        <v>60837.2</v>
      </c>
      <c r="R920" s="13">
        <f t="shared" si="209"/>
        <v>330.6</v>
      </c>
      <c r="S920" s="85">
        <f t="shared" si="205"/>
        <v>61167.799999999996</v>
      </c>
      <c r="T920" s="13">
        <f t="shared" si="209"/>
        <v>216.9</v>
      </c>
      <c r="U920" s="85">
        <f t="shared" si="198"/>
        <v>61384.7</v>
      </c>
    </row>
    <row r="921" spans="1:22" ht="33">
      <c r="A921" s="61" t="str">
        <f ca="1">IF(ISERROR(MATCH(E921,Код_КЦСР,0)),"",INDIRECT(ADDRESS(MATCH(E921,Код_КЦСР,0)+1,2,,,"КЦСР")))</f>
        <v>Дополнительное образование в сфере культуры и искусства, поддержка юных дарований</v>
      </c>
      <c r="B921" s="145">
        <v>808</v>
      </c>
      <c r="C921" s="8" t="s">
        <v>195</v>
      </c>
      <c r="D921" s="8" t="s">
        <v>214</v>
      </c>
      <c r="E921" s="145" t="s">
        <v>518</v>
      </c>
      <c r="F921" s="145"/>
      <c r="G921" s="69">
        <f>G926</f>
        <v>60888.1</v>
      </c>
      <c r="H921" s="69">
        <f>H926</f>
        <v>0</v>
      </c>
      <c r="I921" s="69">
        <f t="shared" si="197"/>
        <v>60888.1</v>
      </c>
      <c r="J921" s="69">
        <f>J926</f>
        <v>0</v>
      </c>
      <c r="K921" s="85">
        <f t="shared" si="208"/>
        <v>60888.1</v>
      </c>
      <c r="L921" s="13">
        <f>L926</f>
        <v>-50.9</v>
      </c>
      <c r="M921" s="85">
        <f t="shared" si="199"/>
        <v>60837.2</v>
      </c>
      <c r="N921" s="13">
        <f>N926</f>
        <v>0</v>
      </c>
      <c r="O921" s="85">
        <f t="shared" si="200"/>
        <v>60837.2</v>
      </c>
      <c r="P921" s="13">
        <f>P926</f>
        <v>0</v>
      </c>
      <c r="Q921" s="85">
        <f t="shared" si="207"/>
        <v>60837.2</v>
      </c>
      <c r="R921" s="13">
        <f>R926+R930+R922</f>
        <v>330.6</v>
      </c>
      <c r="S921" s="85">
        <f t="shared" si="205"/>
        <v>61167.799999999996</v>
      </c>
      <c r="T921" s="13">
        <f>T926+T930+T922</f>
        <v>216.9</v>
      </c>
      <c r="U921" s="85">
        <f t="shared" si="198"/>
        <v>61384.7</v>
      </c>
    </row>
    <row r="922" spans="1:22" ht="57.95" hidden="1" customHeight="1">
      <c r="A922" s="61" t="str">
        <f ca="1">IF(ISERROR(MATCH(E922,Код_КЦСР,0)),"",INDIRECT(ADDRESS(MATCH(E922,Код_КЦСР,0)+1,2,,,"КЦСР")))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922" s="145">
        <v>808</v>
      </c>
      <c r="C922" s="8" t="s">
        <v>195</v>
      </c>
      <c r="D922" s="8" t="s">
        <v>214</v>
      </c>
      <c r="E922" s="145" t="s">
        <v>520</v>
      </c>
      <c r="F922" s="145"/>
      <c r="G922" s="69"/>
      <c r="H922" s="69"/>
      <c r="I922" s="69"/>
      <c r="J922" s="69"/>
      <c r="K922" s="85"/>
      <c r="L922" s="13"/>
      <c r="M922" s="85"/>
      <c r="N922" s="13"/>
      <c r="O922" s="85"/>
      <c r="P922" s="13"/>
      <c r="Q922" s="85"/>
      <c r="R922" s="13">
        <f>R923</f>
        <v>0</v>
      </c>
      <c r="S922" s="85">
        <f t="shared" si="205"/>
        <v>0</v>
      </c>
      <c r="T922" s="13">
        <f>T923</f>
        <v>0</v>
      </c>
      <c r="U922" s="85">
        <f t="shared" si="198"/>
        <v>0</v>
      </c>
      <c r="V922" s="155" t="s">
        <v>715</v>
      </c>
    </row>
    <row r="923" spans="1:22" ht="33" hidden="1">
      <c r="A923" s="61" t="str">
        <f ca="1">IF(ISERROR(MATCH(F923,Код_КВР,0)),"",INDIRECT(ADDRESS(MATCH(F923,Код_КВР,0)+1,2,,,"КВР")))</f>
        <v>Предоставление субсидий бюджетным, автономным учреждениям и иным некоммерческим организациям</v>
      </c>
      <c r="B923" s="145">
        <v>808</v>
      </c>
      <c r="C923" s="8" t="s">
        <v>195</v>
      </c>
      <c r="D923" s="8" t="s">
        <v>214</v>
      </c>
      <c r="E923" s="145" t="s">
        <v>520</v>
      </c>
      <c r="F923" s="145">
        <v>600</v>
      </c>
      <c r="G923" s="69"/>
      <c r="H923" s="69"/>
      <c r="I923" s="69"/>
      <c r="J923" s="69"/>
      <c r="K923" s="85"/>
      <c r="L923" s="13"/>
      <c r="M923" s="85"/>
      <c r="N923" s="13"/>
      <c r="O923" s="85"/>
      <c r="P923" s="13"/>
      <c r="Q923" s="85"/>
      <c r="R923" s="13">
        <f>R924</f>
        <v>0</v>
      </c>
      <c r="S923" s="85">
        <f t="shared" si="205"/>
        <v>0</v>
      </c>
      <c r="T923" s="13">
        <f>T924</f>
        <v>0</v>
      </c>
      <c r="U923" s="85">
        <f t="shared" si="198"/>
        <v>0</v>
      </c>
      <c r="V923" s="155" t="s">
        <v>715</v>
      </c>
    </row>
    <row r="924" spans="1:22" hidden="1">
      <c r="A924" s="61" t="str">
        <f ca="1">IF(ISERROR(MATCH(F924,Код_КВР,0)),"",INDIRECT(ADDRESS(MATCH(F924,Код_КВР,0)+1,2,,,"КВР")))</f>
        <v>Субсидии бюджетным учреждениям</v>
      </c>
      <c r="B924" s="145">
        <v>808</v>
      </c>
      <c r="C924" s="8" t="s">
        <v>195</v>
      </c>
      <c r="D924" s="8" t="s">
        <v>214</v>
      </c>
      <c r="E924" s="145" t="s">
        <v>520</v>
      </c>
      <c r="F924" s="145">
        <v>610</v>
      </c>
      <c r="G924" s="69"/>
      <c r="H924" s="69"/>
      <c r="I924" s="69"/>
      <c r="J924" s="69"/>
      <c r="K924" s="85"/>
      <c r="L924" s="13"/>
      <c r="M924" s="85"/>
      <c r="N924" s="13"/>
      <c r="O924" s="85"/>
      <c r="P924" s="13"/>
      <c r="Q924" s="85"/>
      <c r="R924" s="13">
        <f>R925</f>
        <v>0</v>
      </c>
      <c r="S924" s="85">
        <f t="shared" si="205"/>
        <v>0</v>
      </c>
      <c r="T924" s="13">
        <f>T925</f>
        <v>0</v>
      </c>
      <c r="U924" s="85">
        <f t="shared" si="198"/>
        <v>0</v>
      </c>
      <c r="V924" s="155" t="s">
        <v>715</v>
      </c>
    </row>
    <row r="925" spans="1:22" ht="21.95" hidden="1" customHeight="1">
      <c r="A925" s="61" t="str">
        <f ca="1">IF(ISERROR(MATCH(F925,Код_КВР,0)),"",INDIRECT(ADDRESS(MATCH(F925,Код_КВР,0)+1,2,,,"КВР")))</f>
        <v>Субсидии бюджетным учреждениям на иные цели</v>
      </c>
      <c r="B925" s="145">
        <v>808</v>
      </c>
      <c r="C925" s="8" t="s">
        <v>195</v>
      </c>
      <c r="D925" s="8" t="s">
        <v>214</v>
      </c>
      <c r="E925" s="145" t="s">
        <v>520</v>
      </c>
      <c r="F925" s="145">
        <v>612</v>
      </c>
      <c r="G925" s="69"/>
      <c r="H925" s="69"/>
      <c r="I925" s="69"/>
      <c r="J925" s="69"/>
      <c r="K925" s="85"/>
      <c r="L925" s="13"/>
      <c r="M925" s="85"/>
      <c r="N925" s="13"/>
      <c r="O925" s="85"/>
      <c r="P925" s="13"/>
      <c r="Q925" s="85"/>
      <c r="R925" s="13"/>
      <c r="S925" s="85">
        <f t="shared" si="205"/>
        <v>0</v>
      </c>
      <c r="T925" s="13"/>
      <c r="U925" s="85">
        <f t="shared" si="198"/>
        <v>0</v>
      </c>
      <c r="V925" s="155" t="s">
        <v>715</v>
      </c>
    </row>
    <row r="926" spans="1:22">
      <c r="A926" s="61" t="str">
        <f ca="1">IF(ISERROR(MATCH(E926,Код_КЦСР,0)),"",INDIRECT(ADDRESS(MATCH(E926,Код_КЦСР,0)+1,2,,,"КЦСР")))</f>
        <v>Оказание муниципальных услуг</v>
      </c>
      <c r="B926" s="145">
        <v>808</v>
      </c>
      <c r="C926" s="8" t="s">
        <v>195</v>
      </c>
      <c r="D926" s="8" t="s">
        <v>214</v>
      </c>
      <c r="E926" s="145" t="s">
        <v>521</v>
      </c>
      <c r="F926" s="145"/>
      <c r="G926" s="69">
        <f t="shared" si="209"/>
        <v>60888.1</v>
      </c>
      <c r="H926" s="69">
        <f t="shared" si="209"/>
        <v>0</v>
      </c>
      <c r="I926" s="69">
        <f t="shared" si="197"/>
        <v>60888.1</v>
      </c>
      <c r="J926" s="69">
        <f t="shared" si="209"/>
        <v>0</v>
      </c>
      <c r="K926" s="85">
        <f t="shared" si="208"/>
        <v>60888.1</v>
      </c>
      <c r="L926" s="13">
        <f t="shared" si="209"/>
        <v>-50.9</v>
      </c>
      <c r="M926" s="85">
        <f t="shared" si="199"/>
        <v>60837.2</v>
      </c>
      <c r="N926" s="13">
        <f t="shared" si="209"/>
        <v>0</v>
      </c>
      <c r="O926" s="85">
        <f t="shared" si="200"/>
        <v>60837.2</v>
      </c>
      <c r="P926" s="13">
        <f t="shared" si="209"/>
        <v>0</v>
      </c>
      <c r="Q926" s="85">
        <f t="shared" si="207"/>
        <v>60837.2</v>
      </c>
      <c r="R926" s="13">
        <f t="shared" si="209"/>
        <v>330.6</v>
      </c>
      <c r="S926" s="85">
        <f t="shared" si="205"/>
        <v>61167.799999999996</v>
      </c>
      <c r="T926" s="13">
        <f t="shared" si="209"/>
        <v>216.9</v>
      </c>
      <c r="U926" s="85">
        <f t="shared" si="198"/>
        <v>61384.7</v>
      </c>
    </row>
    <row r="927" spans="1:22" ht="33">
      <c r="A927" s="61" t="str">
        <f ca="1">IF(ISERROR(MATCH(F927,Код_КВР,0)),"",INDIRECT(ADDRESS(MATCH(F927,Код_КВР,0)+1,2,,,"КВР")))</f>
        <v>Предоставление субсидий бюджетным, автономным учреждениям и иным некоммерческим организациям</v>
      </c>
      <c r="B927" s="145">
        <v>808</v>
      </c>
      <c r="C927" s="8" t="s">
        <v>195</v>
      </c>
      <c r="D927" s="8" t="s">
        <v>214</v>
      </c>
      <c r="E927" s="145" t="s">
        <v>521</v>
      </c>
      <c r="F927" s="145">
        <v>600</v>
      </c>
      <c r="G927" s="69">
        <f t="shared" si="209"/>
        <v>60888.1</v>
      </c>
      <c r="H927" s="69">
        <f t="shared" si="209"/>
        <v>0</v>
      </c>
      <c r="I927" s="69">
        <f t="shared" si="197"/>
        <v>60888.1</v>
      </c>
      <c r="J927" s="69">
        <f t="shared" si="209"/>
        <v>0</v>
      </c>
      <c r="K927" s="85">
        <f t="shared" si="208"/>
        <v>60888.1</v>
      </c>
      <c r="L927" s="13">
        <f t="shared" si="209"/>
        <v>-50.9</v>
      </c>
      <c r="M927" s="85">
        <f t="shared" si="199"/>
        <v>60837.2</v>
      </c>
      <c r="N927" s="13">
        <f t="shared" si="209"/>
        <v>0</v>
      </c>
      <c r="O927" s="85">
        <f t="shared" si="200"/>
        <v>60837.2</v>
      </c>
      <c r="P927" s="13">
        <f t="shared" si="209"/>
        <v>0</v>
      </c>
      <c r="Q927" s="85">
        <f t="shared" si="207"/>
        <v>60837.2</v>
      </c>
      <c r="R927" s="13">
        <f t="shared" si="209"/>
        <v>330.6</v>
      </c>
      <c r="S927" s="85">
        <f t="shared" si="205"/>
        <v>61167.799999999996</v>
      </c>
      <c r="T927" s="13">
        <f t="shared" si="209"/>
        <v>216.9</v>
      </c>
      <c r="U927" s="85">
        <f t="shared" si="198"/>
        <v>61384.7</v>
      </c>
    </row>
    <row r="928" spans="1:22">
      <c r="A928" s="61" t="str">
        <f ca="1">IF(ISERROR(MATCH(F928,Код_КВР,0)),"",INDIRECT(ADDRESS(MATCH(F928,Код_КВР,0)+1,2,,,"КВР")))</f>
        <v>Субсидии бюджетным учреждениям</v>
      </c>
      <c r="B928" s="145">
        <v>808</v>
      </c>
      <c r="C928" s="8" t="s">
        <v>195</v>
      </c>
      <c r="D928" s="8" t="s">
        <v>214</v>
      </c>
      <c r="E928" s="145" t="s">
        <v>521</v>
      </c>
      <c r="F928" s="145">
        <v>610</v>
      </c>
      <c r="G928" s="69">
        <f t="shared" si="209"/>
        <v>60888.1</v>
      </c>
      <c r="H928" s="69">
        <f t="shared" si="209"/>
        <v>0</v>
      </c>
      <c r="I928" s="69">
        <f t="shared" si="197"/>
        <v>60888.1</v>
      </c>
      <c r="J928" s="69">
        <f t="shared" si="209"/>
        <v>0</v>
      </c>
      <c r="K928" s="85">
        <f t="shared" si="208"/>
        <v>60888.1</v>
      </c>
      <c r="L928" s="13">
        <f t="shared" si="209"/>
        <v>-50.9</v>
      </c>
      <c r="M928" s="85">
        <f t="shared" si="199"/>
        <v>60837.2</v>
      </c>
      <c r="N928" s="13">
        <f t="shared" si="209"/>
        <v>0</v>
      </c>
      <c r="O928" s="85">
        <f t="shared" si="200"/>
        <v>60837.2</v>
      </c>
      <c r="P928" s="13">
        <f t="shared" si="209"/>
        <v>0</v>
      </c>
      <c r="Q928" s="85">
        <f t="shared" si="207"/>
        <v>60837.2</v>
      </c>
      <c r="R928" s="13">
        <f t="shared" si="209"/>
        <v>330.6</v>
      </c>
      <c r="S928" s="85">
        <f t="shared" si="205"/>
        <v>61167.799999999996</v>
      </c>
      <c r="T928" s="13">
        <f t="shared" si="209"/>
        <v>216.9</v>
      </c>
      <c r="U928" s="85">
        <f t="shared" si="198"/>
        <v>61384.7</v>
      </c>
    </row>
    <row r="929" spans="1:22" ht="49.5">
      <c r="A929" s="61" t="str">
        <f ca="1">IF(ISERROR(MATCH(F929,Код_КВР,0)),"",INDIRECT(ADDRESS(MATCH(F929,Код_КВР,0)+1,2,,,"КВР")))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29" s="145">
        <v>808</v>
      </c>
      <c r="C929" s="8" t="s">
        <v>195</v>
      </c>
      <c r="D929" s="8" t="s">
        <v>214</v>
      </c>
      <c r="E929" s="145" t="s">
        <v>521</v>
      </c>
      <c r="F929" s="145">
        <v>611</v>
      </c>
      <c r="G929" s="69">
        <v>60888.1</v>
      </c>
      <c r="H929" s="69"/>
      <c r="I929" s="69">
        <f t="shared" si="197"/>
        <v>60888.1</v>
      </c>
      <c r="J929" s="69"/>
      <c r="K929" s="85">
        <f t="shared" si="208"/>
        <v>60888.1</v>
      </c>
      <c r="L929" s="13">
        <v>-50.9</v>
      </c>
      <c r="M929" s="85">
        <f t="shared" si="199"/>
        <v>60837.2</v>
      </c>
      <c r="N929" s="13"/>
      <c r="O929" s="85">
        <f t="shared" si="200"/>
        <v>60837.2</v>
      </c>
      <c r="P929" s="13"/>
      <c r="Q929" s="85">
        <f t="shared" si="207"/>
        <v>60837.2</v>
      </c>
      <c r="R929" s="13">
        <f>338.5-7.9</f>
        <v>330.6</v>
      </c>
      <c r="S929" s="85">
        <f t="shared" si="205"/>
        <v>61167.799999999996</v>
      </c>
      <c r="T929" s="13">
        <v>216.9</v>
      </c>
      <c r="U929" s="85">
        <f t="shared" si="198"/>
        <v>61384.7</v>
      </c>
    </row>
    <row r="930" spans="1:22" ht="41.25" hidden="1" customHeight="1">
      <c r="A930" s="61" t="str">
        <f ca="1">IF(ISERROR(MATCH(E930,Код_КЦСР,0)),"",INDIRECT(ADDRESS(MATCH(E930,Код_КЦСР,0)+1,2,,,"КЦСР")))</f>
        <v>Реализация мероприятий федеральной целевой программы «Культура России» (2012-2018 годы) за счет субсидий из федерального бюджета</v>
      </c>
      <c r="B930" s="145">
        <v>808</v>
      </c>
      <c r="C930" s="8" t="s">
        <v>195</v>
      </c>
      <c r="D930" s="8" t="s">
        <v>214</v>
      </c>
      <c r="E930" s="145" t="s">
        <v>644</v>
      </c>
      <c r="F930" s="145"/>
      <c r="G930" s="69"/>
      <c r="H930" s="69"/>
      <c r="I930" s="69"/>
      <c r="J930" s="69"/>
      <c r="K930" s="85"/>
      <c r="L930" s="13"/>
      <c r="M930" s="85"/>
      <c r="N930" s="13"/>
      <c r="O930" s="85"/>
      <c r="P930" s="13"/>
      <c r="Q930" s="85"/>
      <c r="R930" s="13">
        <f>R931</f>
        <v>0</v>
      </c>
      <c r="S930" s="85">
        <f t="shared" si="205"/>
        <v>0</v>
      </c>
      <c r="T930" s="13">
        <f>T931</f>
        <v>0</v>
      </c>
      <c r="U930" s="85">
        <f t="shared" si="198"/>
        <v>0</v>
      </c>
      <c r="V930" s="155" t="s">
        <v>715</v>
      </c>
    </row>
    <row r="931" spans="1:22" ht="33" hidden="1">
      <c r="A931" s="61" t="str">
        <f ca="1">IF(ISERROR(MATCH(F931,Код_КВР,0)),"",INDIRECT(ADDRESS(MATCH(F931,Код_КВР,0)+1,2,,,"КВР")))</f>
        <v>Предоставление субсидий бюджетным, автономным учреждениям и иным некоммерческим организациям</v>
      </c>
      <c r="B931" s="145">
        <v>808</v>
      </c>
      <c r="C931" s="8" t="s">
        <v>195</v>
      </c>
      <c r="D931" s="8" t="s">
        <v>214</v>
      </c>
      <c r="E931" s="145" t="s">
        <v>644</v>
      </c>
      <c r="F931" s="145">
        <v>600</v>
      </c>
      <c r="G931" s="69"/>
      <c r="H931" s="69"/>
      <c r="I931" s="69"/>
      <c r="J931" s="69"/>
      <c r="K931" s="85"/>
      <c r="L931" s="13"/>
      <c r="M931" s="85"/>
      <c r="N931" s="13"/>
      <c r="O931" s="85"/>
      <c r="P931" s="13"/>
      <c r="Q931" s="85"/>
      <c r="R931" s="13">
        <f>R932</f>
        <v>0</v>
      </c>
      <c r="S931" s="85">
        <f t="shared" si="205"/>
        <v>0</v>
      </c>
      <c r="T931" s="13">
        <f>T932</f>
        <v>0</v>
      </c>
      <c r="U931" s="85">
        <f t="shared" ref="U931:U998" si="210">S931+T931</f>
        <v>0</v>
      </c>
      <c r="V931" s="155" t="s">
        <v>715</v>
      </c>
    </row>
    <row r="932" spans="1:22" hidden="1">
      <c r="A932" s="61" t="str">
        <f ca="1">IF(ISERROR(MATCH(F932,Код_КВР,0)),"",INDIRECT(ADDRESS(MATCH(F932,Код_КВР,0)+1,2,,,"КВР")))</f>
        <v>Субсидии бюджетным учреждениям</v>
      </c>
      <c r="B932" s="145">
        <v>808</v>
      </c>
      <c r="C932" s="8" t="s">
        <v>195</v>
      </c>
      <c r="D932" s="8" t="s">
        <v>214</v>
      </c>
      <c r="E932" s="145" t="s">
        <v>644</v>
      </c>
      <c r="F932" s="145">
        <v>610</v>
      </c>
      <c r="G932" s="69"/>
      <c r="H932" s="69"/>
      <c r="I932" s="69"/>
      <c r="J932" s="69"/>
      <c r="K932" s="85"/>
      <c r="L932" s="13"/>
      <c r="M932" s="85"/>
      <c r="N932" s="13"/>
      <c r="O932" s="85"/>
      <c r="P932" s="13"/>
      <c r="Q932" s="85"/>
      <c r="R932" s="13">
        <f>R933</f>
        <v>0</v>
      </c>
      <c r="S932" s="85">
        <f t="shared" si="205"/>
        <v>0</v>
      </c>
      <c r="T932" s="13">
        <f>T933</f>
        <v>0</v>
      </c>
      <c r="U932" s="85">
        <f t="shared" si="210"/>
        <v>0</v>
      </c>
      <c r="V932" s="155" t="s">
        <v>715</v>
      </c>
    </row>
    <row r="933" spans="1:22" ht="24.75" hidden="1" customHeight="1">
      <c r="A933" s="61" t="str">
        <f ca="1">IF(ISERROR(MATCH(F933,Код_КВР,0)),"",INDIRECT(ADDRESS(MATCH(F933,Код_КВР,0)+1,2,,,"КВР")))</f>
        <v>Субсидии бюджетным учреждениям на иные цели</v>
      </c>
      <c r="B933" s="145">
        <v>808</v>
      </c>
      <c r="C933" s="8" t="s">
        <v>195</v>
      </c>
      <c r="D933" s="8" t="s">
        <v>214</v>
      </c>
      <c r="E933" s="145" t="s">
        <v>644</v>
      </c>
      <c r="F933" s="145">
        <v>612</v>
      </c>
      <c r="G933" s="69"/>
      <c r="H933" s="69"/>
      <c r="I933" s="69"/>
      <c r="J933" s="69"/>
      <c r="K933" s="85"/>
      <c r="L933" s="13"/>
      <c r="M933" s="85"/>
      <c r="N933" s="13"/>
      <c r="O933" s="85"/>
      <c r="P933" s="13"/>
      <c r="Q933" s="85"/>
      <c r="R933" s="13"/>
      <c r="S933" s="85">
        <f t="shared" si="205"/>
        <v>0</v>
      </c>
      <c r="T933" s="13"/>
      <c r="U933" s="85">
        <f t="shared" si="210"/>
        <v>0</v>
      </c>
      <c r="V933" s="155" t="s">
        <v>715</v>
      </c>
    </row>
    <row r="934" spans="1:22">
      <c r="A934" s="12" t="s">
        <v>199</v>
      </c>
      <c r="B934" s="145">
        <v>808</v>
      </c>
      <c r="C934" s="8" t="s">
        <v>195</v>
      </c>
      <c r="D934" s="8" t="s">
        <v>195</v>
      </c>
      <c r="E934" s="145"/>
      <c r="F934" s="145"/>
      <c r="G934" s="69"/>
      <c r="H934" s="69"/>
      <c r="I934" s="69"/>
      <c r="J934" s="69">
        <f>J935</f>
        <v>73.099999999999994</v>
      </c>
      <c r="K934" s="85">
        <f t="shared" si="208"/>
        <v>73.099999999999994</v>
      </c>
      <c r="L934" s="13">
        <f>L935</f>
        <v>0</v>
      </c>
      <c r="M934" s="85">
        <f t="shared" si="199"/>
        <v>73.099999999999994</v>
      </c>
      <c r="N934" s="13">
        <f>N935</f>
        <v>0</v>
      </c>
      <c r="O934" s="85">
        <f t="shared" si="200"/>
        <v>73.099999999999994</v>
      </c>
      <c r="P934" s="13">
        <f>P935</f>
        <v>0</v>
      </c>
      <c r="Q934" s="85">
        <f t="shared" si="207"/>
        <v>73.099999999999994</v>
      </c>
      <c r="R934" s="13">
        <f>R935</f>
        <v>0</v>
      </c>
      <c r="S934" s="85">
        <f t="shared" si="205"/>
        <v>73.099999999999994</v>
      </c>
      <c r="T934" s="13">
        <f>T935</f>
        <v>0</v>
      </c>
      <c r="U934" s="85">
        <f t="shared" si="210"/>
        <v>73.099999999999994</v>
      </c>
    </row>
    <row r="935" spans="1:22" ht="33">
      <c r="A935" s="61" t="str">
        <f ca="1">IF(ISERROR(MATCH(E935,Код_КЦСР,0)),"",INDIRECT(ADDRESS(MATCH(E935,Код_КЦСР,0)+1,2,,,"КЦСР")))</f>
        <v>Муниципальная программа «Социальная поддержка граждан» на 2014-2018 годы</v>
      </c>
      <c r="B935" s="145">
        <v>808</v>
      </c>
      <c r="C935" s="8" t="s">
        <v>195</v>
      </c>
      <c r="D935" s="8" t="s">
        <v>195</v>
      </c>
      <c r="E935" s="145" t="s">
        <v>5</v>
      </c>
      <c r="F935" s="145"/>
      <c r="G935" s="69"/>
      <c r="H935" s="69"/>
      <c r="I935" s="69"/>
      <c r="J935" s="69">
        <f>J936</f>
        <v>73.099999999999994</v>
      </c>
      <c r="K935" s="85">
        <f t="shared" si="208"/>
        <v>73.099999999999994</v>
      </c>
      <c r="L935" s="13">
        <f>L936</f>
        <v>0</v>
      </c>
      <c r="M935" s="85">
        <f t="shared" si="199"/>
        <v>73.099999999999994</v>
      </c>
      <c r="N935" s="13">
        <f>N936</f>
        <v>0</v>
      </c>
      <c r="O935" s="85">
        <f t="shared" si="200"/>
        <v>73.099999999999994</v>
      </c>
      <c r="P935" s="13">
        <f>P936</f>
        <v>0</v>
      </c>
      <c r="Q935" s="85">
        <f t="shared" si="207"/>
        <v>73.099999999999994</v>
      </c>
      <c r="R935" s="13">
        <f>R936</f>
        <v>0</v>
      </c>
      <c r="S935" s="85">
        <f t="shared" si="205"/>
        <v>73.099999999999994</v>
      </c>
      <c r="T935" s="13">
        <f>T936</f>
        <v>0</v>
      </c>
      <c r="U935" s="85">
        <f t="shared" si="210"/>
        <v>73.099999999999994</v>
      </c>
    </row>
    <row r="936" spans="1:22" ht="89.25" customHeight="1">
      <c r="A936" s="61" t="str">
        <f ca="1">IF(ISERROR(MATCH(E936,Код_КЦСР,0)),"",INDIRECT(ADDRESS(MATCH(E936,Код_КЦСР,0)+1,2,,,"КЦСР")))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936" s="145">
        <v>808</v>
      </c>
      <c r="C936" s="8" t="s">
        <v>195</v>
      </c>
      <c r="D936" s="8" t="s">
        <v>195</v>
      </c>
      <c r="E936" s="145" t="s">
        <v>406</v>
      </c>
      <c r="F936" s="145"/>
      <c r="G936" s="69"/>
      <c r="H936" s="69"/>
      <c r="I936" s="69"/>
      <c r="J936" s="69">
        <f>J937</f>
        <v>73.099999999999994</v>
      </c>
      <c r="K936" s="85">
        <f>I936+J936</f>
        <v>73.099999999999994</v>
      </c>
      <c r="L936" s="13">
        <f>L937</f>
        <v>0</v>
      </c>
      <c r="M936" s="85">
        <f t="shared" si="199"/>
        <v>73.099999999999994</v>
      </c>
      <c r="N936" s="13">
        <f>N937</f>
        <v>0</v>
      </c>
      <c r="O936" s="85">
        <f t="shared" si="200"/>
        <v>73.099999999999994</v>
      </c>
      <c r="P936" s="13">
        <f>P937</f>
        <v>0</v>
      </c>
      <c r="Q936" s="85">
        <f t="shared" si="207"/>
        <v>73.099999999999994</v>
      </c>
      <c r="R936" s="13">
        <f>R937</f>
        <v>0</v>
      </c>
      <c r="S936" s="85">
        <f t="shared" si="205"/>
        <v>73.099999999999994</v>
      </c>
      <c r="T936" s="13">
        <f>T937</f>
        <v>0</v>
      </c>
      <c r="U936" s="85">
        <f t="shared" si="210"/>
        <v>73.099999999999994</v>
      </c>
    </row>
    <row r="937" spans="1:22" ht="33">
      <c r="A937" s="61" t="str">
        <f ca="1">IF(ISERROR(MATCH(F937,Код_КВР,0)),"",INDIRECT(ADDRESS(MATCH(F937,Код_КВР,0)+1,2,,,"КВР")))</f>
        <v>Предоставление субсидий бюджетным, автономным учреждениям и иным некоммерческим организациям</v>
      </c>
      <c r="B937" s="145">
        <v>808</v>
      </c>
      <c r="C937" s="8" t="s">
        <v>195</v>
      </c>
      <c r="D937" s="8" t="s">
        <v>195</v>
      </c>
      <c r="E937" s="145" t="s">
        <v>406</v>
      </c>
      <c r="F937" s="145">
        <v>600</v>
      </c>
      <c r="G937" s="69"/>
      <c r="H937" s="69"/>
      <c r="I937" s="69"/>
      <c r="J937" s="69">
        <f>J938</f>
        <v>73.099999999999994</v>
      </c>
      <c r="K937" s="85">
        <f>I937+J937</f>
        <v>73.099999999999994</v>
      </c>
      <c r="L937" s="13">
        <f>L938</f>
        <v>0</v>
      </c>
      <c r="M937" s="85">
        <f t="shared" si="199"/>
        <v>73.099999999999994</v>
      </c>
      <c r="N937" s="13">
        <f>N938</f>
        <v>0</v>
      </c>
      <c r="O937" s="85">
        <f t="shared" si="200"/>
        <v>73.099999999999994</v>
      </c>
      <c r="P937" s="13">
        <f>P938</f>
        <v>0</v>
      </c>
      <c r="Q937" s="85">
        <f t="shared" si="207"/>
        <v>73.099999999999994</v>
      </c>
      <c r="R937" s="13">
        <f>R938</f>
        <v>0</v>
      </c>
      <c r="S937" s="85">
        <f t="shared" si="205"/>
        <v>73.099999999999994</v>
      </c>
      <c r="T937" s="13">
        <f>T938</f>
        <v>0</v>
      </c>
      <c r="U937" s="85">
        <f t="shared" si="210"/>
        <v>73.099999999999994</v>
      </c>
    </row>
    <row r="938" spans="1:22">
      <c r="A938" s="61" t="str">
        <f ca="1">IF(ISERROR(MATCH(F938,Код_КВР,0)),"",INDIRECT(ADDRESS(MATCH(F938,Код_КВР,0)+1,2,,,"КВР")))</f>
        <v>Субсидии бюджетным учреждениям</v>
      </c>
      <c r="B938" s="145">
        <v>808</v>
      </c>
      <c r="C938" s="8" t="s">
        <v>195</v>
      </c>
      <c r="D938" s="8" t="s">
        <v>195</v>
      </c>
      <c r="E938" s="145" t="s">
        <v>406</v>
      </c>
      <c r="F938" s="145">
        <v>610</v>
      </c>
      <c r="G938" s="69"/>
      <c r="H938" s="69"/>
      <c r="I938" s="69"/>
      <c r="J938" s="69">
        <f>J939</f>
        <v>73.099999999999994</v>
      </c>
      <c r="K938" s="85">
        <f>I938+J938</f>
        <v>73.099999999999994</v>
      </c>
      <c r="L938" s="13">
        <f>L939</f>
        <v>0</v>
      </c>
      <c r="M938" s="85">
        <f t="shared" si="199"/>
        <v>73.099999999999994</v>
      </c>
      <c r="N938" s="13">
        <f>N939</f>
        <v>0</v>
      </c>
      <c r="O938" s="85">
        <f t="shared" si="200"/>
        <v>73.099999999999994</v>
      </c>
      <c r="P938" s="13">
        <f>P939</f>
        <v>0</v>
      </c>
      <c r="Q938" s="85">
        <f t="shared" si="207"/>
        <v>73.099999999999994</v>
      </c>
      <c r="R938" s="13">
        <f>R939</f>
        <v>0</v>
      </c>
      <c r="S938" s="85">
        <f t="shared" si="205"/>
        <v>73.099999999999994</v>
      </c>
      <c r="T938" s="13">
        <f>T939</f>
        <v>0</v>
      </c>
      <c r="U938" s="85">
        <f t="shared" si="210"/>
        <v>73.099999999999994</v>
      </c>
    </row>
    <row r="939" spans="1:22">
      <c r="A939" s="61" t="str">
        <f ca="1">IF(ISERROR(MATCH(F939,Код_КВР,0)),"",INDIRECT(ADDRESS(MATCH(F939,Код_КВР,0)+1,2,,,"КВР")))</f>
        <v>Субсидии бюджетным учреждениям на иные цели</v>
      </c>
      <c r="B939" s="145">
        <v>808</v>
      </c>
      <c r="C939" s="8" t="s">
        <v>195</v>
      </c>
      <c r="D939" s="8" t="s">
        <v>195</v>
      </c>
      <c r="E939" s="145" t="s">
        <v>406</v>
      </c>
      <c r="F939" s="145">
        <v>612</v>
      </c>
      <c r="G939" s="69"/>
      <c r="H939" s="69"/>
      <c r="I939" s="69"/>
      <c r="J939" s="69">
        <v>73.099999999999994</v>
      </c>
      <c r="K939" s="85">
        <f>I939+J939</f>
        <v>73.099999999999994</v>
      </c>
      <c r="L939" s="13"/>
      <c r="M939" s="85">
        <f t="shared" si="199"/>
        <v>73.099999999999994</v>
      </c>
      <c r="N939" s="13"/>
      <c r="O939" s="85">
        <f t="shared" si="200"/>
        <v>73.099999999999994</v>
      </c>
      <c r="P939" s="13"/>
      <c r="Q939" s="85">
        <f t="shared" si="207"/>
        <v>73.099999999999994</v>
      </c>
      <c r="R939" s="13"/>
      <c r="S939" s="85">
        <f t="shared" si="205"/>
        <v>73.099999999999994</v>
      </c>
      <c r="T939" s="13"/>
      <c r="U939" s="85">
        <f t="shared" si="210"/>
        <v>73.099999999999994</v>
      </c>
    </row>
    <row r="940" spans="1:22">
      <c r="A940" s="12" t="s">
        <v>251</v>
      </c>
      <c r="B940" s="145">
        <v>808</v>
      </c>
      <c r="C940" s="8" t="s">
        <v>195</v>
      </c>
      <c r="D940" s="8" t="s">
        <v>219</v>
      </c>
      <c r="E940" s="145"/>
      <c r="F940" s="145"/>
      <c r="G940" s="69">
        <f>G941+G956</f>
        <v>267</v>
      </c>
      <c r="H940" s="69">
        <f>H941+H956</f>
        <v>0</v>
      </c>
      <c r="I940" s="69">
        <f t="shared" si="197"/>
        <v>267</v>
      </c>
      <c r="J940" s="69">
        <f>J941+J956</f>
        <v>0</v>
      </c>
      <c r="K940" s="85">
        <f t="shared" si="208"/>
        <v>267</v>
      </c>
      <c r="L940" s="13">
        <f>L941+L956</f>
        <v>0</v>
      </c>
      <c r="M940" s="85">
        <f t="shared" ref="M940:M1027" si="211">K940+L940</f>
        <v>267</v>
      </c>
      <c r="N940" s="13">
        <f>N941+N956</f>
        <v>0</v>
      </c>
      <c r="O940" s="85">
        <f t="shared" ref="O940:O1027" si="212">M940+N940</f>
        <v>267</v>
      </c>
      <c r="P940" s="13">
        <f>P941+P956</f>
        <v>0</v>
      </c>
      <c r="Q940" s="85">
        <f t="shared" si="207"/>
        <v>267</v>
      </c>
      <c r="R940" s="13">
        <f>R941+R956</f>
        <v>157.9</v>
      </c>
      <c r="S940" s="85">
        <f t="shared" si="205"/>
        <v>424.9</v>
      </c>
      <c r="T940" s="13">
        <f>T941+T956</f>
        <v>50</v>
      </c>
      <c r="U940" s="85">
        <f t="shared" si="210"/>
        <v>474.9</v>
      </c>
    </row>
    <row r="941" spans="1:22" ht="33">
      <c r="A941" s="61" t="str">
        <f ca="1">IF(ISERROR(MATCH(E941,Код_КЦСР,0)),"",INDIRECT(ADDRESS(MATCH(E941,Код_КЦСР,0)+1,2,,,"КЦСР")))</f>
        <v>Муниципальная программа «Культура, традиции и народное творчество в городе Череповце» на 2013-2018 годы</v>
      </c>
      <c r="B941" s="145">
        <v>808</v>
      </c>
      <c r="C941" s="8" t="s">
        <v>195</v>
      </c>
      <c r="D941" s="8" t="s">
        <v>219</v>
      </c>
      <c r="E941" s="145" t="s">
        <v>464</v>
      </c>
      <c r="F941" s="145"/>
      <c r="G941" s="69">
        <f t="shared" ref="G941:T945" si="213">G942</f>
        <v>76</v>
      </c>
      <c r="H941" s="69">
        <f t="shared" si="213"/>
        <v>0</v>
      </c>
      <c r="I941" s="69">
        <f t="shared" si="197"/>
        <v>76</v>
      </c>
      <c r="J941" s="69">
        <f t="shared" si="213"/>
        <v>0</v>
      </c>
      <c r="K941" s="85">
        <f t="shared" si="208"/>
        <v>76</v>
      </c>
      <c r="L941" s="13">
        <f t="shared" si="213"/>
        <v>0</v>
      </c>
      <c r="M941" s="85">
        <f t="shared" si="211"/>
        <v>76</v>
      </c>
      <c r="N941" s="13">
        <f t="shared" si="213"/>
        <v>0</v>
      </c>
      <c r="O941" s="85">
        <f t="shared" si="212"/>
        <v>76</v>
      </c>
      <c r="P941" s="13">
        <f t="shared" si="213"/>
        <v>0</v>
      </c>
      <c r="Q941" s="85">
        <f t="shared" si="207"/>
        <v>76</v>
      </c>
      <c r="R941" s="13">
        <f>R942+R947</f>
        <v>157.9</v>
      </c>
      <c r="S941" s="85">
        <f t="shared" si="205"/>
        <v>233.9</v>
      </c>
      <c r="T941" s="13">
        <f>T942+T947</f>
        <v>0</v>
      </c>
      <c r="U941" s="85">
        <f t="shared" si="210"/>
        <v>233.9</v>
      </c>
    </row>
    <row r="942" spans="1:22">
      <c r="A942" s="61" t="str">
        <f ca="1">IF(ISERROR(MATCH(E942,Код_КЦСР,0)),"",INDIRECT(ADDRESS(MATCH(E942,Код_КЦСР,0)+1,2,,,"КЦСР")))</f>
        <v>Совершенствование культурно-досуговой деятельности</v>
      </c>
      <c r="B942" s="145">
        <v>808</v>
      </c>
      <c r="C942" s="8" t="s">
        <v>195</v>
      </c>
      <c r="D942" s="8" t="s">
        <v>219</v>
      </c>
      <c r="E942" s="145" t="s">
        <v>493</v>
      </c>
      <c r="F942" s="145"/>
      <c r="G942" s="69">
        <f t="shared" si="213"/>
        <v>76</v>
      </c>
      <c r="H942" s="69">
        <f t="shared" si="213"/>
        <v>0</v>
      </c>
      <c r="I942" s="69">
        <f t="shared" si="197"/>
        <v>76</v>
      </c>
      <c r="J942" s="69">
        <f t="shared" si="213"/>
        <v>0</v>
      </c>
      <c r="K942" s="85">
        <f t="shared" si="208"/>
        <v>76</v>
      </c>
      <c r="L942" s="13">
        <f t="shared" si="213"/>
        <v>0</v>
      </c>
      <c r="M942" s="85">
        <f t="shared" si="211"/>
        <v>76</v>
      </c>
      <c r="N942" s="13">
        <f t="shared" si="213"/>
        <v>0</v>
      </c>
      <c r="O942" s="85">
        <f t="shared" si="212"/>
        <v>76</v>
      </c>
      <c r="P942" s="13">
        <f t="shared" si="213"/>
        <v>0</v>
      </c>
      <c r="Q942" s="85">
        <f t="shared" si="207"/>
        <v>76</v>
      </c>
      <c r="R942" s="13">
        <f t="shared" si="213"/>
        <v>0</v>
      </c>
      <c r="S942" s="85">
        <f t="shared" si="205"/>
        <v>76</v>
      </c>
      <c r="T942" s="13">
        <f t="shared" si="213"/>
        <v>0</v>
      </c>
      <c r="U942" s="85">
        <f t="shared" si="210"/>
        <v>76</v>
      </c>
    </row>
    <row r="943" spans="1:22" ht="82.5">
      <c r="A943" s="61" t="str">
        <f ca="1">IF(ISERROR(MATCH(E943,Код_КЦСР,0)),"",INDIRECT(ADDRESS(MATCH(E943,Код_КЦСР,0)+1,2,,,"КЦСР")))</f>
        <v>Ведомственная целевая программа «Отрасль «Культура города Череповца» (2012-2014 годы) (Приобщение населения города к народным традициям, старинному быту и обычаям русского народа, организация и проведение конкурсов, фестивалей и смотров самодеятельного художественного творчества, выставок)</v>
      </c>
      <c r="B943" s="145">
        <v>808</v>
      </c>
      <c r="C943" s="8" t="s">
        <v>195</v>
      </c>
      <c r="D943" s="8" t="s">
        <v>219</v>
      </c>
      <c r="E943" s="145" t="s">
        <v>499</v>
      </c>
      <c r="F943" s="145"/>
      <c r="G943" s="69">
        <f t="shared" si="213"/>
        <v>76</v>
      </c>
      <c r="H943" s="69">
        <f t="shared" si="213"/>
        <v>0</v>
      </c>
      <c r="I943" s="69">
        <f t="shared" si="197"/>
        <v>76</v>
      </c>
      <c r="J943" s="69">
        <f t="shared" si="213"/>
        <v>0</v>
      </c>
      <c r="K943" s="85">
        <f t="shared" si="208"/>
        <v>76</v>
      </c>
      <c r="L943" s="13">
        <f t="shared" si="213"/>
        <v>0</v>
      </c>
      <c r="M943" s="85">
        <f t="shared" si="211"/>
        <v>76</v>
      </c>
      <c r="N943" s="13">
        <f t="shared" si="213"/>
        <v>0</v>
      </c>
      <c r="O943" s="85">
        <f t="shared" si="212"/>
        <v>76</v>
      </c>
      <c r="P943" s="13">
        <f t="shared" si="213"/>
        <v>0</v>
      </c>
      <c r="Q943" s="85">
        <f t="shared" si="207"/>
        <v>76</v>
      </c>
      <c r="R943" s="13">
        <f t="shared" si="213"/>
        <v>0</v>
      </c>
      <c r="S943" s="85">
        <f t="shared" si="205"/>
        <v>76</v>
      </c>
      <c r="T943" s="13">
        <f t="shared" si="213"/>
        <v>0</v>
      </c>
      <c r="U943" s="85">
        <f t="shared" si="210"/>
        <v>76</v>
      </c>
    </row>
    <row r="944" spans="1:22" ht="33">
      <c r="A944" s="61" t="str">
        <f ca="1">IF(ISERROR(MATCH(F944,Код_КВР,0)),"",INDIRECT(ADDRESS(MATCH(F944,Код_КВР,0)+1,2,,,"КВР")))</f>
        <v>Предоставление субсидий бюджетным, автономным учреждениям и иным некоммерческим организациям</v>
      </c>
      <c r="B944" s="145">
        <v>808</v>
      </c>
      <c r="C944" s="8" t="s">
        <v>195</v>
      </c>
      <c r="D944" s="8" t="s">
        <v>219</v>
      </c>
      <c r="E944" s="145" t="s">
        <v>499</v>
      </c>
      <c r="F944" s="145">
        <v>600</v>
      </c>
      <c r="G944" s="69">
        <f t="shared" si="213"/>
        <v>76</v>
      </c>
      <c r="H944" s="69">
        <f t="shared" si="213"/>
        <v>0</v>
      </c>
      <c r="I944" s="69">
        <f t="shared" ref="I944:I1035" si="214">G944+H944</f>
        <v>76</v>
      </c>
      <c r="J944" s="69">
        <f t="shared" si="213"/>
        <v>0</v>
      </c>
      <c r="K944" s="85">
        <f t="shared" si="208"/>
        <v>76</v>
      </c>
      <c r="L944" s="13">
        <f t="shared" si="213"/>
        <v>0</v>
      </c>
      <c r="M944" s="85">
        <f t="shared" si="211"/>
        <v>76</v>
      </c>
      <c r="N944" s="13">
        <f t="shared" si="213"/>
        <v>0</v>
      </c>
      <c r="O944" s="85">
        <f t="shared" si="212"/>
        <v>76</v>
      </c>
      <c r="P944" s="13">
        <f t="shared" si="213"/>
        <v>0</v>
      </c>
      <c r="Q944" s="85">
        <f t="shared" si="207"/>
        <v>76</v>
      </c>
      <c r="R944" s="13">
        <f t="shared" si="213"/>
        <v>0</v>
      </c>
      <c r="S944" s="85">
        <f t="shared" si="205"/>
        <v>76</v>
      </c>
      <c r="T944" s="13">
        <f t="shared" si="213"/>
        <v>0</v>
      </c>
      <c r="U944" s="85">
        <f t="shared" si="210"/>
        <v>76</v>
      </c>
    </row>
    <row r="945" spans="1:21">
      <c r="A945" s="61" t="str">
        <f ca="1">IF(ISERROR(MATCH(F945,Код_КВР,0)),"",INDIRECT(ADDRESS(MATCH(F945,Код_КВР,0)+1,2,,,"КВР")))</f>
        <v>Субсидии бюджетным учреждениям</v>
      </c>
      <c r="B945" s="145">
        <v>808</v>
      </c>
      <c r="C945" s="8" t="s">
        <v>195</v>
      </c>
      <c r="D945" s="8" t="s">
        <v>219</v>
      </c>
      <c r="E945" s="145" t="s">
        <v>499</v>
      </c>
      <c r="F945" s="145">
        <v>610</v>
      </c>
      <c r="G945" s="69">
        <f t="shared" si="213"/>
        <v>76</v>
      </c>
      <c r="H945" s="69">
        <f t="shared" si="213"/>
        <v>0</v>
      </c>
      <c r="I945" s="69">
        <f t="shared" si="214"/>
        <v>76</v>
      </c>
      <c r="J945" s="69">
        <f t="shared" si="213"/>
        <v>0</v>
      </c>
      <c r="K945" s="85">
        <f t="shared" si="208"/>
        <v>76</v>
      </c>
      <c r="L945" s="13">
        <f t="shared" si="213"/>
        <v>0</v>
      </c>
      <c r="M945" s="85">
        <f t="shared" si="211"/>
        <v>76</v>
      </c>
      <c r="N945" s="13">
        <f t="shared" si="213"/>
        <v>0</v>
      </c>
      <c r="O945" s="85">
        <f t="shared" si="212"/>
        <v>76</v>
      </c>
      <c r="P945" s="13">
        <f t="shared" si="213"/>
        <v>0</v>
      </c>
      <c r="Q945" s="85">
        <f t="shared" si="207"/>
        <v>76</v>
      </c>
      <c r="R945" s="13">
        <f t="shared" si="213"/>
        <v>0</v>
      </c>
      <c r="S945" s="85">
        <f t="shared" si="205"/>
        <v>76</v>
      </c>
      <c r="T945" s="13">
        <f t="shared" si="213"/>
        <v>0</v>
      </c>
      <c r="U945" s="85">
        <f t="shared" si="210"/>
        <v>76</v>
      </c>
    </row>
    <row r="946" spans="1:21">
      <c r="A946" s="61" t="str">
        <f ca="1">IF(ISERROR(MATCH(F946,Код_КВР,0)),"",INDIRECT(ADDRESS(MATCH(F946,Код_КВР,0)+1,2,,,"КВР")))</f>
        <v>Субсидии бюджетным учреждениям на иные цели</v>
      </c>
      <c r="B946" s="145">
        <v>808</v>
      </c>
      <c r="C946" s="8" t="s">
        <v>195</v>
      </c>
      <c r="D946" s="8" t="s">
        <v>219</v>
      </c>
      <c r="E946" s="145" t="s">
        <v>499</v>
      </c>
      <c r="F946" s="145">
        <v>612</v>
      </c>
      <c r="G946" s="69">
        <v>76</v>
      </c>
      <c r="H946" s="69"/>
      <c r="I946" s="69">
        <f t="shared" si="214"/>
        <v>76</v>
      </c>
      <c r="J946" s="69"/>
      <c r="K946" s="85">
        <f t="shared" si="208"/>
        <v>76</v>
      </c>
      <c r="L946" s="13"/>
      <c r="M946" s="85">
        <f t="shared" si="211"/>
        <v>76</v>
      </c>
      <c r="N946" s="13"/>
      <c r="O946" s="85">
        <f t="shared" si="212"/>
        <v>76</v>
      </c>
      <c r="P946" s="13"/>
      <c r="Q946" s="85">
        <f t="shared" si="207"/>
        <v>76</v>
      </c>
      <c r="R946" s="13"/>
      <c r="S946" s="85">
        <f t="shared" si="205"/>
        <v>76</v>
      </c>
      <c r="T946" s="13"/>
      <c r="U946" s="85">
        <f t="shared" si="210"/>
        <v>76</v>
      </c>
    </row>
    <row r="947" spans="1:21" ht="33">
      <c r="A947" s="61" t="str">
        <f ca="1">IF(ISERROR(MATCH(E947,Код_КЦСР,0)),"",INDIRECT(ADDRESS(MATCH(E947,Код_КЦСР,0)+1,2,,,"КЦСР")))</f>
        <v>Дополнительное образование в сфере культуры и искусства, поддержка юных дарований</v>
      </c>
      <c r="B947" s="145">
        <v>808</v>
      </c>
      <c r="C947" s="8" t="s">
        <v>195</v>
      </c>
      <c r="D947" s="8" t="s">
        <v>219</v>
      </c>
      <c r="E947" s="145" t="s">
        <v>518</v>
      </c>
      <c r="F947" s="145"/>
      <c r="G947" s="69"/>
      <c r="H947" s="69"/>
      <c r="I947" s="69"/>
      <c r="J947" s="69"/>
      <c r="K947" s="85"/>
      <c r="L947" s="13"/>
      <c r="M947" s="85"/>
      <c r="N947" s="13"/>
      <c r="O947" s="85"/>
      <c r="P947" s="13"/>
      <c r="Q947" s="85"/>
      <c r="R947" s="13">
        <f>R948+R952</f>
        <v>157.9</v>
      </c>
      <c r="S947" s="85">
        <f t="shared" si="205"/>
        <v>157.9</v>
      </c>
      <c r="T947" s="13">
        <f>T948+T952</f>
        <v>0</v>
      </c>
      <c r="U947" s="85">
        <f t="shared" si="210"/>
        <v>157.9</v>
      </c>
    </row>
    <row r="948" spans="1:21" ht="60.75" customHeight="1">
      <c r="A948" s="61" t="str">
        <f ca="1">IF(ISERROR(MATCH(E948,Код_КЦСР,0)),"",INDIRECT(ADDRESS(MATCH(E948,Код_КЦСР,0)+1,2,,,"КЦСР")))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948" s="145">
        <v>808</v>
      </c>
      <c r="C948" s="8" t="s">
        <v>195</v>
      </c>
      <c r="D948" s="8" t="s">
        <v>219</v>
      </c>
      <c r="E948" s="145" t="s">
        <v>520</v>
      </c>
      <c r="F948" s="145"/>
      <c r="G948" s="69"/>
      <c r="H948" s="69"/>
      <c r="I948" s="69"/>
      <c r="J948" s="69"/>
      <c r="K948" s="85"/>
      <c r="L948" s="13"/>
      <c r="M948" s="85"/>
      <c r="N948" s="13"/>
      <c r="O948" s="85"/>
      <c r="P948" s="13"/>
      <c r="Q948" s="85"/>
      <c r="R948" s="13">
        <f>R949</f>
        <v>7.9</v>
      </c>
      <c r="S948" s="85">
        <f t="shared" si="205"/>
        <v>7.9</v>
      </c>
      <c r="T948" s="13">
        <f>T949</f>
        <v>0</v>
      </c>
      <c r="U948" s="85">
        <f t="shared" si="210"/>
        <v>7.9</v>
      </c>
    </row>
    <row r="949" spans="1:21" ht="33">
      <c r="A949" s="61" t="str">
        <f ca="1">IF(ISERROR(MATCH(F949,Код_КВР,0)),"",INDIRECT(ADDRESS(MATCH(F949,Код_КВР,0)+1,2,,,"КВР")))</f>
        <v>Предоставление субсидий бюджетным, автономным учреждениям и иным некоммерческим организациям</v>
      </c>
      <c r="B949" s="145">
        <v>808</v>
      </c>
      <c r="C949" s="8" t="s">
        <v>195</v>
      </c>
      <c r="D949" s="8" t="s">
        <v>219</v>
      </c>
      <c r="E949" s="145" t="s">
        <v>520</v>
      </c>
      <c r="F949" s="145">
        <v>600</v>
      </c>
      <c r="G949" s="69"/>
      <c r="H949" s="69"/>
      <c r="I949" s="69"/>
      <c r="J949" s="69"/>
      <c r="K949" s="85"/>
      <c r="L949" s="13"/>
      <c r="M949" s="85"/>
      <c r="N949" s="13"/>
      <c r="O949" s="85"/>
      <c r="P949" s="13"/>
      <c r="Q949" s="85"/>
      <c r="R949" s="13">
        <f>R950</f>
        <v>7.9</v>
      </c>
      <c r="S949" s="85">
        <f t="shared" si="205"/>
        <v>7.9</v>
      </c>
      <c r="T949" s="13">
        <f>T950</f>
        <v>0</v>
      </c>
      <c r="U949" s="85">
        <f t="shared" si="210"/>
        <v>7.9</v>
      </c>
    </row>
    <row r="950" spans="1:21">
      <c r="A950" s="61" t="str">
        <f ca="1">IF(ISERROR(MATCH(F950,Код_КВР,0)),"",INDIRECT(ADDRESS(MATCH(F950,Код_КВР,0)+1,2,,,"КВР")))</f>
        <v>Субсидии бюджетным учреждениям</v>
      </c>
      <c r="B950" s="145">
        <v>808</v>
      </c>
      <c r="C950" s="8" t="s">
        <v>195</v>
      </c>
      <c r="D950" s="8" t="s">
        <v>219</v>
      </c>
      <c r="E950" s="145" t="s">
        <v>520</v>
      </c>
      <c r="F950" s="145">
        <v>610</v>
      </c>
      <c r="G950" s="69"/>
      <c r="H950" s="69"/>
      <c r="I950" s="69"/>
      <c r="J950" s="69"/>
      <c r="K950" s="85"/>
      <c r="L950" s="13"/>
      <c r="M950" s="85"/>
      <c r="N950" s="13"/>
      <c r="O950" s="85"/>
      <c r="P950" s="13"/>
      <c r="Q950" s="85"/>
      <c r="R950" s="13">
        <f>R951</f>
        <v>7.9</v>
      </c>
      <c r="S950" s="85">
        <f t="shared" si="205"/>
        <v>7.9</v>
      </c>
      <c r="T950" s="13">
        <f>T951</f>
        <v>0</v>
      </c>
      <c r="U950" s="85">
        <f t="shared" si="210"/>
        <v>7.9</v>
      </c>
    </row>
    <row r="951" spans="1:21">
      <c r="A951" s="61" t="str">
        <f ca="1">IF(ISERROR(MATCH(F951,Код_КВР,0)),"",INDIRECT(ADDRESS(MATCH(F951,Код_КВР,0)+1,2,,,"КВР")))</f>
        <v>Субсидии бюджетным учреждениям на иные цели</v>
      </c>
      <c r="B951" s="145">
        <v>808</v>
      </c>
      <c r="C951" s="8" t="s">
        <v>195</v>
      </c>
      <c r="D951" s="8" t="s">
        <v>219</v>
      </c>
      <c r="E951" s="145" t="s">
        <v>520</v>
      </c>
      <c r="F951" s="145">
        <v>612</v>
      </c>
      <c r="G951" s="69"/>
      <c r="H951" s="69"/>
      <c r="I951" s="69"/>
      <c r="J951" s="69"/>
      <c r="K951" s="85"/>
      <c r="L951" s="13"/>
      <c r="M951" s="85"/>
      <c r="N951" s="13"/>
      <c r="O951" s="85"/>
      <c r="P951" s="13"/>
      <c r="Q951" s="85"/>
      <c r="R951" s="13">
        <v>7.9</v>
      </c>
      <c r="S951" s="85">
        <f t="shared" si="205"/>
        <v>7.9</v>
      </c>
      <c r="T951" s="13"/>
      <c r="U951" s="85">
        <f t="shared" si="210"/>
        <v>7.9</v>
      </c>
    </row>
    <row r="952" spans="1:21" ht="33">
      <c r="A952" s="61" t="str">
        <f ca="1">IF(ISERROR(MATCH(E952,Код_КЦСР,0)),"",INDIRECT(ADDRESS(MATCH(E952,Код_КЦСР,0)+1,2,,,"КЦСР")))</f>
        <v>Реализация мероприятий федеральной целевой программы «Культура России» (2012-2018 годы) за счет субсидий из федерального бюджета</v>
      </c>
      <c r="B952" s="145">
        <v>808</v>
      </c>
      <c r="C952" s="8" t="s">
        <v>195</v>
      </c>
      <c r="D952" s="8" t="s">
        <v>219</v>
      </c>
      <c r="E952" s="145" t="s">
        <v>644</v>
      </c>
      <c r="F952" s="145"/>
      <c r="G952" s="69"/>
      <c r="H952" s="69"/>
      <c r="I952" s="69"/>
      <c r="J952" s="69"/>
      <c r="K952" s="85"/>
      <c r="L952" s="13"/>
      <c r="M952" s="85"/>
      <c r="N952" s="13"/>
      <c r="O952" s="85"/>
      <c r="P952" s="13"/>
      <c r="Q952" s="85"/>
      <c r="R952" s="13">
        <f>R953</f>
        <v>150</v>
      </c>
      <c r="S952" s="85">
        <f t="shared" si="205"/>
        <v>150</v>
      </c>
      <c r="T952" s="13">
        <f>T953</f>
        <v>0</v>
      </c>
      <c r="U952" s="85">
        <f t="shared" si="210"/>
        <v>150</v>
      </c>
    </row>
    <row r="953" spans="1:21" ht="33">
      <c r="A953" s="61" t="str">
        <f ca="1">IF(ISERROR(MATCH(F953,Код_КВР,0)),"",INDIRECT(ADDRESS(MATCH(F953,Код_КВР,0)+1,2,,,"КВР")))</f>
        <v>Предоставление субсидий бюджетным, автономным учреждениям и иным некоммерческим организациям</v>
      </c>
      <c r="B953" s="145">
        <v>808</v>
      </c>
      <c r="C953" s="8" t="s">
        <v>195</v>
      </c>
      <c r="D953" s="8" t="s">
        <v>219</v>
      </c>
      <c r="E953" s="145" t="s">
        <v>644</v>
      </c>
      <c r="F953" s="145">
        <v>600</v>
      </c>
      <c r="G953" s="69"/>
      <c r="H953" s="69"/>
      <c r="I953" s="69"/>
      <c r="J953" s="69"/>
      <c r="K953" s="85"/>
      <c r="L953" s="13"/>
      <c r="M953" s="85"/>
      <c r="N953" s="13"/>
      <c r="O953" s="85"/>
      <c r="P953" s="13"/>
      <c r="Q953" s="85"/>
      <c r="R953" s="13">
        <f>R954</f>
        <v>150</v>
      </c>
      <c r="S953" s="85">
        <f t="shared" si="205"/>
        <v>150</v>
      </c>
      <c r="T953" s="13">
        <f>T954</f>
        <v>0</v>
      </c>
      <c r="U953" s="85">
        <f t="shared" si="210"/>
        <v>150</v>
      </c>
    </row>
    <row r="954" spans="1:21">
      <c r="A954" s="61" t="str">
        <f ca="1">IF(ISERROR(MATCH(F954,Код_КВР,0)),"",INDIRECT(ADDRESS(MATCH(F954,Код_КВР,0)+1,2,,,"КВР")))</f>
        <v>Субсидии бюджетным учреждениям</v>
      </c>
      <c r="B954" s="145">
        <v>808</v>
      </c>
      <c r="C954" s="8" t="s">
        <v>195</v>
      </c>
      <c r="D954" s="8" t="s">
        <v>219</v>
      </c>
      <c r="E954" s="145" t="s">
        <v>644</v>
      </c>
      <c r="F954" s="145">
        <v>610</v>
      </c>
      <c r="G954" s="69"/>
      <c r="H954" s="69"/>
      <c r="I954" s="69"/>
      <c r="J954" s="69"/>
      <c r="K954" s="85"/>
      <c r="L954" s="13"/>
      <c r="M954" s="85"/>
      <c r="N954" s="13"/>
      <c r="O954" s="85"/>
      <c r="P954" s="13"/>
      <c r="Q954" s="85"/>
      <c r="R954" s="13">
        <f>R955</f>
        <v>150</v>
      </c>
      <c r="S954" s="85">
        <f t="shared" si="205"/>
        <v>150</v>
      </c>
      <c r="T954" s="13">
        <f>T955</f>
        <v>0</v>
      </c>
      <c r="U954" s="85">
        <f t="shared" si="210"/>
        <v>150</v>
      </c>
    </row>
    <row r="955" spans="1:21">
      <c r="A955" s="61" t="str">
        <f ca="1">IF(ISERROR(MATCH(F955,Код_КВР,0)),"",INDIRECT(ADDRESS(MATCH(F955,Код_КВР,0)+1,2,,,"КВР")))</f>
        <v>Субсидии бюджетным учреждениям на иные цели</v>
      </c>
      <c r="B955" s="145">
        <v>808</v>
      </c>
      <c r="C955" s="8" t="s">
        <v>195</v>
      </c>
      <c r="D955" s="8" t="s">
        <v>219</v>
      </c>
      <c r="E955" s="145" t="s">
        <v>644</v>
      </c>
      <c r="F955" s="145">
        <v>612</v>
      </c>
      <c r="G955" s="69"/>
      <c r="H955" s="69"/>
      <c r="I955" s="69"/>
      <c r="J955" s="69"/>
      <c r="K955" s="85"/>
      <c r="L955" s="13"/>
      <c r="M955" s="85"/>
      <c r="N955" s="13"/>
      <c r="O955" s="85"/>
      <c r="P955" s="13"/>
      <c r="Q955" s="85"/>
      <c r="R955" s="13">
        <v>150</v>
      </c>
      <c r="S955" s="85">
        <f t="shared" si="205"/>
        <v>150</v>
      </c>
      <c r="T955" s="13"/>
      <c r="U955" s="85">
        <f t="shared" si="210"/>
        <v>150</v>
      </c>
    </row>
    <row r="956" spans="1:21" ht="33">
      <c r="A956" s="61" t="str">
        <f ca="1">IF(ISERROR(MATCH(E956,Код_КЦСР,0)),"",INDIRECT(ADDRESS(MATCH(E956,Код_КЦСР,0)+1,2,,,"КЦСР")))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956" s="145">
        <v>808</v>
      </c>
      <c r="C956" s="8" t="s">
        <v>195</v>
      </c>
      <c r="D956" s="8" t="s">
        <v>219</v>
      </c>
      <c r="E956" s="145" t="s">
        <v>79</v>
      </c>
      <c r="F956" s="145"/>
      <c r="G956" s="69">
        <f>G957</f>
        <v>191</v>
      </c>
      <c r="H956" s="69">
        <f>H957</f>
        <v>0</v>
      </c>
      <c r="I956" s="69">
        <f t="shared" si="214"/>
        <v>191</v>
      </c>
      <c r="J956" s="69">
        <f>J957</f>
        <v>0</v>
      </c>
      <c r="K956" s="85">
        <f t="shared" si="208"/>
        <v>191</v>
      </c>
      <c r="L956" s="13">
        <f>L957</f>
        <v>0</v>
      </c>
      <c r="M956" s="85">
        <f t="shared" si="211"/>
        <v>191</v>
      </c>
      <c r="N956" s="13">
        <f>N957</f>
        <v>0</v>
      </c>
      <c r="O956" s="85">
        <f t="shared" si="212"/>
        <v>191</v>
      </c>
      <c r="P956" s="13">
        <f>P957</f>
        <v>0</v>
      </c>
      <c r="Q956" s="85">
        <f t="shared" si="207"/>
        <v>191</v>
      </c>
      <c r="R956" s="13">
        <f>R957</f>
        <v>0</v>
      </c>
      <c r="S956" s="85">
        <f t="shared" si="205"/>
        <v>191</v>
      </c>
      <c r="T956" s="13">
        <f>T957</f>
        <v>50</v>
      </c>
      <c r="U956" s="85">
        <f t="shared" si="210"/>
        <v>241</v>
      </c>
    </row>
    <row r="957" spans="1:21" ht="20.25" customHeight="1">
      <c r="A957" s="61" t="str">
        <f ca="1">IF(ISERROR(MATCH(E957,Код_КЦСР,0)),"",INDIRECT(ADDRESS(MATCH(E957,Код_КЦСР,0)+1,2,,,"КЦСР")))</f>
        <v>Обеспечение пожарной безопасности муниципальных учреждений города</v>
      </c>
      <c r="B957" s="145">
        <v>808</v>
      </c>
      <c r="C957" s="8" t="s">
        <v>195</v>
      </c>
      <c r="D957" s="8" t="s">
        <v>219</v>
      </c>
      <c r="E957" s="145" t="s">
        <v>81</v>
      </c>
      <c r="F957" s="145"/>
      <c r="G957" s="69">
        <f>G958+G962</f>
        <v>191</v>
      </c>
      <c r="H957" s="69">
        <f>H958+H962</f>
        <v>0</v>
      </c>
      <c r="I957" s="69">
        <f t="shared" si="214"/>
        <v>191</v>
      </c>
      <c r="J957" s="69">
        <f>J958+J962</f>
        <v>0</v>
      </c>
      <c r="K957" s="85">
        <f t="shared" si="208"/>
        <v>191</v>
      </c>
      <c r="L957" s="13">
        <f>L958+L962</f>
        <v>0</v>
      </c>
      <c r="M957" s="85">
        <f t="shared" si="211"/>
        <v>191</v>
      </c>
      <c r="N957" s="13">
        <f>N958+N962</f>
        <v>0</v>
      </c>
      <c r="O957" s="85">
        <f t="shared" si="212"/>
        <v>191</v>
      </c>
      <c r="P957" s="13">
        <f>P958+P962</f>
        <v>0</v>
      </c>
      <c r="Q957" s="85">
        <f t="shared" si="207"/>
        <v>191</v>
      </c>
      <c r="R957" s="13">
        <f>R958+R962</f>
        <v>0</v>
      </c>
      <c r="S957" s="85">
        <f t="shared" si="205"/>
        <v>191</v>
      </c>
      <c r="T957" s="13">
        <f>T958+T962</f>
        <v>50</v>
      </c>
      <c r="U957" s="85">
        <f t="shared" si="210"/>
        <v>241</v>
      </c>
    </row>
    <row r="958" spans="1:21" ht="49.5">
      <c r="A958" s="61" t="str">
        <f ca="1">IF(ISERROR(MATCH(E958,Код_КЦСР,0)),"",INDIRECT(ADDRESS(MATCH(E958,Код_КЦСР,0)+1,2,,,"КЦСР")))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958" s="145">
        <v>808</v>
      </c>
      <c r="C958" s="8" t="s">
        <v>195</v>
      </c>
      <c r="D958" s="8" t="s">
        <v>219</v>
      </c>
      <c r="E958" s="145" t="s">
        <v>83</v>
      </c>
      <c r="F958" s="145"/>
      <c r="G958" s="69">
        <f t="shared" ref="G958:T960" si="215">G959</f>
        <v>191</v>
      </c>
      <c r="H958" s="69">
        <f t="shared" si="215"/>
        <v>0</v>
      </c>
      <c r="I958" s="69">
        <f t="shared" si="214"/>
        <v>191</v>
      </c>
      <c r="J958" s="69">
        <f t="shared" si="215"/>
        <v>0</v>
      </c>
      <c r="K958" s="85">
        <f t="shared" si="208"/>
        <v>191</v>
      </c>
      <c r="L958" s="13">
        <f t="shared" si="215"/>
        <v>0</v>
      </c>
      <c r="M958" s="85">
        <f t="shared" si="211"/>
        <v>191</v>
      </c>
      <c r="N958" s="13">
        <f t="shared" si="215"/>
        <v>0</v>
      </c>
      <c r="O958" s="85">
        <f t="shared" si="212"/>
        <v>191</v>
      </c>
      <c r="P958" s="13">
        <f t="shared" si="215"/>
        <v>0</v>
      </c>
      <c r="Q958" s="85">
        <f t="shared" si="207"/>
        <v>191</v>
      </c>
      <c r="R958" s="13">
        <f t="shared" si="215"/>
        <v>0</v>
      </c>
      <c r="S958" s="85">
        <f t="shared" si="205"/>
        <v>191</v>
      </c>
      <c r="T958" s="13">
        <f t="shared" si="215"/>
        <v>50</v>
      </c>
      <c r="U958" s="85">
        <f t="shared" si="210"/>
        <v>241</v>
      </c>
    </row>
    <row r="959" spans="1:21" ht="33">
      <c r="A959" s="61" t="str">
        <f ca="1">IF(ISERROR(MATCH(F959,Код_КВР,0)),"",INDIRECT(ADDRESS(MATCH(F959,Код_КВР,0)+1,2,,,"КВР")))</f>
        <v>Предоставление субсидий бюджетным, автономным учреждениям и иным некоммерческим организациям</v>
      </c>
      <c r="B959" s="145">
        <v>808</v>
      </c>
      <c r="C959" s="8" t="s">
        <v>195</v>
      </c>
      <c r="D959" s="8" t="s">
        <v>219</v>
      </c>
      <c r="E959" s="145" t="s">
        <v>83</v>
      </c>
      <c r="F959" s="145">
        <v>600</v>
      </c>
      <c r="G959" s="69">
        <f t="shared" si="215"/>
        <v>191</v>
      </c>
      <c r="H959" s="69">
        <f t="shared" si="215"/>
        <v>0</v>
      </c>
      <c r="I959" s="69">
        <f t="shared" si="214"/>
        <v>191</v>
      </c>
      <c r="J959" s="69">
        <f t="shared" si="215"/>
        <v>0</v>
      </c>
      <c r="K959" s="85">
        <f t="shared" si="208"/>
        <v>191</v>
      </c>
      <c r="L959" s="13">
        <f t="shared" si="215"/>
        <v>0</v>
      </c>
      <c r="M959" s="85">
        <f t="shared" si="211"/>
        <v>191</v>
      </c>
      <c r="N959" s="13">
        <f t="shared" si="215"/>
        <v>0</v>
      </c>
      <c r="O959" s="85">
        <f t="shared" si="212"/>
        <v>191</v>
      </c>
      <c r="P959" s="13">
        <f t="shared" si="215"/>
        <v>0</v>
      </c>
      <c r="Q959" s="85">
        <f t="shared" si="207"/>
        <v>191</v>
      </c>
      <c r="R959" s="13">
        <f t="shared" si="215"/>
        <v>0</v>
      </c>
      <c r="S959" s="85">
        <f t="shared" si="205"/>
        <v>191</v>
      </c>
      <c r="T959" s="13">
        <f t="shared" si="215"/>
        <v>50</v>
      </c>
      <c r="U959" s="85">
        <f t="shared" si="210"/>
        <v>241</v>
      </c>
    </row>
    <row r="960" spans="1:21">
      <c r="A960" s="61" t="str">
        <f ca="1">IF(ISERROR(MATCH(F960,Код_КВР,0)),"",INDIRECT(ADDRESS(MATCH(F960,Код_КВР,0)+1,2,,,"КВР")))</f>
        <v>Субсидии бюджетным учреждениям</v>
      </c>
      <c r="B960" s="145">
        <v>808</v>
      </c>
      <c r="C960" s="8" t="s">
        <v>195</v>
      </c>
      <c r="D960" s="8" t="s">
        <v>219</v>
      </c>
      <c r="E960" s="145" t="s">
        <v>83</v>
      </c>
      <c r="F960" s="145">
        <v>610</v>
      </c>
      <c r="G960" s="69">
        <f t="shared" si="215"/>
        <v>191</v>
      </c>
      <c r="H960" s="69">
        <f t="shared" si="215"/>
        <v>0</v>
      </c>
      <c r="I960" s="69">
        <f t="shared" si="214"/>
        <v>191</v>
      </c>
      <c r="J960" s="69">
        <f t="shared" si="215"/>
        <v>0</v>
      </c>
      <c r="K960" s="85">
        <f t="shared" si="208"/>
        <v>191</v>
      </c>
      <c r="L960" s="13">
        <f t="shared" si="215"/>
        <v>0</v>
      </c>
      <c r="M960" s="85">
        <f t="shared" si="211"/>
        <v>191</v>
      </c>
      <c r="N960" s="13">
        <f t="shared" si="215"/>
        <v>0</v>
      </c>
      <c r="O960" s="85">
        <f t="shared" si="212"/>
        <v>191</v>
      </c>
      <c r="P960" s="13">
        <f t="shared" si="215"/>
        <v>0</v>
      </c>
      <c r="Q960" s="85">
        <f t="shared" si="207"/>
        <v>191</v>
      </c>
      <c r="R960" s="13">
        <f t="shared" si="215"/>
        <v>0</v>
      </c>
      <c r="S960" s="85">
        <f t="shared" si="205"/>
        <v>191</v>
      </c>
      <c r="T960" s="13">
        <f t="shared" si="215"/>
        <v>50</v>
      </c>
      <c r="U960" s="85">
        <f t="shared" si="210"/>
        <v>241</v>
      </c>
    </row>
    <row r="961" spans="1:22">
      <c r="A961" s="61" t="str">
        <f ca="1">IF(ISERROR(MATCH(F961,Код_КВР,0)),"",INDIRECT(ADDRESS(MATCH(F961,Код_КВР,0)+1,2,,,"КВР")))</f>
        <v>Субсидии бюджетным учреждениям на иные цели</v>
      </c>
      <c r="B961" s="145">
        <v>808</v>
      </c>
      <c r="C961" s="8" t="s">
        <v>195</v>
      </c>
      <c r="D961" s="8" t="s">
        <v>219</v>
      </c>
      <c r="E961" s="145" t="s">
        <v>83</v>
      </c>
      <c r="F961" s="145">
        <v>612</v>
      </c>
      <c r="G961" s="69">
        <v>191</v>
      </c>
      <c r="H961" s="69"/>
      <c r="I961" s="69">
        <f t="shared" si="214"/>
        <v>191</v>
      </c>
      <c r="J961" s="69"/>
      <c r="K961" s="85">
        <f t="shared" si="208"/>
        <v>191</v>
      </c>
      <c r="L961" s="13"/>
      <c r="M961" s="85">
        <f t="shared" si="211"/>
        <v>191</v>
      </c>
      <c r="N961" s="13"/>
      <c r="O961" s="85">
        <f t="shared" si="212"/>
        <v>191</v>
      </c>
      <c r="P961" s="13"/>
      <c r="Q961" s="85">
        <f t="shared" si="207"/>
        <v>191</v>
      </c>
      <c r="R961" s="13"/>
      <c r="S961" s="85">
        <f t="shared" si="205"/>
        <v>191</v>
      </c>
      <c r="T961" s="13">
        <v>50</v>
      </c>
      <c r="U961" s="85">
        <f t="shared" si="210"/>
        <v>241</v>
      </c>
    </row>
    <row r="962" spans="1:22" hidden="1">
      <c r="A962" s="61" t="str">
        <f ca="1">IF(ISERROR(MATCH(E962,Код_КЦСР,0)),"",INDIRECT(ADDRESS(MATCH(E962,Код_КЦСР,0)+1,2,,,"КЦСР")))</f>
        <v>Ремонт и оборудование эвакуационных путей  зданий</v>
      </c>
      <c r="B962" s="145">
        <v>808</v>
      </c>
      <c r="C962" s="8" t="s">
        <v>195</v>
      </c>
      <c r="D962" s="8" t="s">
        <v>219</v>
      </c>
      <c r="E962" s="145" t="s">
        <v>87</v>
      </c>
      <c r="F962" s="145"/>
      <c r="G962" s="69">
        <f t="shared" ref="G962:T964" si="216">G963</f>
        <v>0</v>
      </c>
      <c r="H962" s="69">
        <f t="shared" si="216"/>
        <v>0</v>
      </c>
      <c r="I962" s="69">
        <f t="shared" si="214"/>
        <v>0</v>
      </c>
      <c r="J962" s="69">
        <f t="shared" si="216"/>
        <v>0</v>
      </c>
      <c r="K962" s="85">
        <f t="shared" si="208"/>
        <v>0</v>
      </c>
      <c r="L962" s="13">
        <f t="shared" si="216"/>
        <v>0</v>
      </c>
      <c r="M962" s="85">
        <f t="shared" si="211"/>
        <v>0</v>
      </c>
      <c r="N962" s="13">
        <f t="shared" si="216"/>
        <v>0</v>
      </c>
      <c r="O962" s="85">
        <f t="shared" si="212"/>
        <v>0</v>
      </c>
      <c r="P962" s="13">
        <f t="shared" si="216"/>
        <v>0</v>
      </c>
      <c r="Q962" s="85">
        <f t="shared" si="207"/>
        <v>0</v>
      </c>
      <c r="R962" s="13">
        <f t="shared" si="216"/>
        <v>0</v>
      </c>
      <c r="S962" s="85">
        <f t="shared" si="205"/>
        <v>0</v>
      </c>
      <c r="T962" s="13">
        <f t="shared" si="216"/>
        <v>0</v>
      </c>
      <c r="U962" s="85">
        <f t="shared" si="210"/>
        <v>0</v>
      </c>
      <c r="V962" s="155" t="s">
        <v>715</v>
      </c>
    </row>
    <row r="963" spans="1:22" ht="33" hidden="1">
      <c r="A963" s="61" t="str">
        <f ca="1">IF(ISERROR(MATCH(F963,Код_КВР,0)),"",INDIRECT(ADDRESS(MATCH(F963,Код_КВР,0)+1,2,,,"КВР")))</f>
        <v>Предоставление субсидий бюджетным, автономным учреждениям и иным некоммерческим организациям</v>
      </c>
      <c r="B963" s="145">
        <v>808</v>
      </c>
      <c r="C963" s="8" t="s">
        <v>195</v>
      </c>
      <c r="D963" s="8" t="s">
        <v>219</v>
      </c>
      <c r="E963" s="145" t="s">
        <v>87</v>
      </c>
      <c r="F963" s="145">
        <v>600</v>
      </c>
      <c r="G963" s="69">
        <f t="shared" si="216"/>
        <v>0</v>
      </c>
      <c r="H963" s="69">
        <f t="shared" si="216"/>
        <v>0</v>
      </c>
      <c r="I963" s="69">
        <f t="shared" si="214"/>
        <v>0</v>
      </c>
      <c r="J963" s="69">
        <f t="shared" si="216"/>
        <v>0</v>
      </c>
      <c r="K963" s="85">
        <f t="shared" si="208"/>
        <v>0</v>
      </c>
      <c r="L963" s="13">
        <f t="shared" si="216"/>
        <v>0</v>
      </c>
      <c r="M963" s="85">
        <f t="shared" si="211"/>
        <v>0</v>
      </c>
      <c r="N963" s="13">
        <f t="shared" si="216"/>
        <v>0</v>
      </c>
      <c r="O963" s="85">
        <f t="shared" si="212"/>
        <v>0</v>
      </c>
      <c r="P963" s="13">
        <f t="shared" si="216"/>
        <v>0</v>
      </c>
      <c r="Q963" s="85">
        <f t="shared" si="207"/>
        <v>0</v>
      </c>
      <c r="R963" s="13">
        <f t="shared" si="216"/>
        <v>0</v>
      </c>
      <c r="S963" s="85">
        <f t="shared" si="205"/>
        <v>0</v>
      </c>
      <c r="T963" s="13">
        <f t="shared" si="216"/>
        <v>0</v>
      </c>
      <c r="U963" s="85">
        <f t="shared" si="210"/>
        <v>0</v>
      </c>
      <c r="V963" s="155" t="s">
        <v>715</v>
      </c>
    </row>
    <row r="964" spans="1:22" hidden="1">
      <c r="A964" s="61" t="str">
        <f ca="1">IF(ISERROR(MATCH(F964,Код_КВР,0)),"",INDIRECT(ADDRESS(MATCH(F964,Код_КВР,0)+1,2,,,"КВР")))</f>
        <v>Субсидии бюджетным учреждениям</v>
      </c>
      <c r="B964" s="145">
        <v>808</v>
      </c>
      <c r="C964" s="8" t="s">
        <v>195</v>
      </c>
      <c r="D964" s="8" t="s">
        <v>219</v>
      </c>
      <c r="E964" s="145" t="s">
        <v>87</v>
      </c>
      <c r="F964" s="145">
        <v>610</v>
      </c>
      <c r="G964" s="69">
        <f t="shared" si="216"/>
        <v>0</v>
      </c>
      <c r="H964" s="69">
        <f t="shared" si="216"/>
        <v>0</v>
      </c>
      <c r="I964" s="69">
        <f t="shared" si="214"/>
        <v>0</v>
      </c>
      <c r="J964" s="69">
        <f t="shared" si="216"/>
        <v>0</v>
      </c>
      <c r="K964" s="85">
        <f t="shared" si="208"/>
        <v>0</v>
      </c>
      <c r="L964" s="13">
        <f t="shared" si="216"/>
        <v>0</v>
      </c>
      <c r="M964" s="85">
        <f t="shared" si="211"/>
        <v>0</v>
      </c>
      <c r="N964" s="13">
        <f t="shared" si="216"/>
        <v>0</v>
      </c>
      <c r="O964" s="85">
        <f t="shared" si="212"/>
        <v>0</v>
      </c>
      <c r="P964" s="13">
        <f t="shared" si="216"/>
        <v>0</v>
      </c>
      <c r="Q964" s="85">
        <f t="shared" si="207"/>
        <v>0</v>
      </c>
      <c r="R964" s="13">
        <f t="shared" si="216"/>
        <v>0</v>
      </c>
      <c r="S964" s="85">
        <f t="shared" si="205"/>
        <v>0</v>
      </c>
      <c r="T964" s="13">
        <f t="shared" si="216"/>
        <v>0</v>
      </c>
      <c r="U964" s="85">
        <f t="shared" si="210"/>
        <v>0</v>
      </c>
      <c r="V964" s="155" t="s">
        <v>715</v>
      </c>
    </row>
    <row r="965" spans="1:22" hidden="1">
      <c r="A965" s="61" t="str">
        <f ca="1">IF(ISERROR(MATCH(F965,Код_КВР,0)),"",INDIRECT(ADDRESS(MATCH(F965,Код_КВР,0)+1,2,,,"КВР")))</f>
        <v>Субсидии бюджетным учреждениям на иные цели</v>
      </c>
      <c r="B965" s="145">
        <v>808</v>
      </c>
      <c r="C965" s="8" t="s">
        <v>195</v>
      </c>
      <c r="D965" s="8" t="s">
        <v>219</v>
      </c>
      <c r="E965" s="145" t="s">
        <v>87</v>
      </c>
      <c r="F965" s="145">
        <v>612</v>
      </c>
      <c r="G965" s="69"/>
      <c r="H965" s="69"/>
      <c r="I965" s="69">
        <f t="shared" si="214"/>
        <v>0</v>
      </c>
      <c r="J965" s="69"/>
      <c r="K965" s="85">
        <f t="shared" si="208"/>
        <v>0</v>
      </c>
      <c r="L965" s="13"/>
      <c r="M965" s="85">
        <f t="shared" si="211"/>
        <v>0</v>
      </c>
      <c r="N965" s="13"/>
      <c r="O965" s="85">
        <f t="shared" si="212"/>
        <v>0</v>
      </c>
      <c r="P965" s="13"/>
      <c r="Q965" s="85">
        <f t="shared" si="207"/>
        <v>0</v>
      </c>
      <c r="R965" s="13"/>
      <c r="S965" s="85">
        <f t="shared" si="205"/>
        <v>0</v>
      </c>
      <c r="T965" s="13"/>
      <c r="U965" s="85">
        <f t="shared" si="210"/>
        <v>0</v>
      </c>
      <c r="V965" s="155" t="s">
        <v>715</v>
      </c>
    </row>
    <row r="966" spans="1:22">
      <c r="A966" s="61" t="str">
        <f ca="1">IF(ISERROR(MATCH(C966,Код_Раздел,0)),"",INDIRECT(ADDRESS(MATCH(C966,Код_Раздел,0)+1,2,,,"Раздел")))</f>
        <v>Культура, кинематография</v>
      </c>
      <c r="B966" s="145">
        <v>808</v>
      </c>
      <c r="C966" s="8" t="s">
        <v>222</v>
      </c>
      <c r="D966" s="8"/>
      <c r="E966" s="145"/>
      <c r="F966" s="145"/>
      <c r="G966" s="69">
        <f>G967+G1059</f>
        <v>260483</v>
      </c>
      <c r="H966" s="69">
        <f>H967+H1059</f>
        <v>0</v>
      </c>
      <c r="I966" s="69">
        <f t="shared" si="214"/>
        <v>260483</v>
      </c>
      <c r="J966" s="69">
        <f>J967+J1059</f>
        <v>-443.79999999999995</v>
      </c>
      <c r="K966" s="85">
        <f t="shared" si="208"/>
        <v>260039.2</v>
      </c>
      <c r="L966" s="13">
        <f>L967+L1059</f>
        <v>-186.20000000000002</v>
      </c>
      <c r="M966" s="85">
        <f t="shared" si="211"/>
        <v>259853</v>
      </c>
      <c r="N966" s="13">
        <f>N967+N1059</f>
        <v>0</v>
      </c>
      <c r="O966" s="85">
        <f t="shared" si="212"/>
        <v>259853</v>
      </c>
      <c r="P966" s="13">
        <f>P967+P1059</f>
        <v>140.19999999999999</v>
      </c>
      <c r="Q966" s="85">
        <f t="shared" si="207"/>
        <v>259993.2</v>
      </c>
      <c r="R966" s="13">
        <f>R967+R1059</f>
        <v>23668.100000000002</v>
      </c>
      <c r="S966" s="85">
        <f t="shared" si="205"/>
        <v>283661.3</v>
      </c>
      <c r="T966" s="13">
        <f>T967+T1059</f>
        <v>-66.900000000000261</v>
      </c>
      <c r="U966" s="85">
        <f t="shared" si="210"/>
        <v>283594.39999999997</v>
      </c>
    </row>
    <row r="967" spans="1:22">
      <c r="A967" s="12" t="s">
        <v>184</v>
      </c>
      <c r="B967" s="145">
        <v>808</v>
      </c>
      <c r="C967" s="8" t="s">
        <v>222</v>
      </c>
      <c r="D967" s="8" t="s">
        <v>213</v>
      </c>
      <c r="E967" s="145"/>
      <c r="F967" s="145"/>
      <c r="G967" s="69">
        <f>G968</f>
        <v>233756</v>
      </c>
      <c r="H967" s="69">
        <f>H968</f>
        <v>0</v>
      </c>
      <c r="I967" s="69">
        <f t="shared" si="214"/>
        <v>233756</v>
      </c>
      <c r="J967" s="69">
        <f>J968+J1053</f>
        <v>-479.79999999999995</v>
      </c>
      <c r="K967" s="85">
        <f t="shared" si="208"/>
        <v>233276.2</v>
      </c>
      <c r="L967" s="13">
        <f>L968+L1053</f>
        <v>-184.4</v>
      </c>
      <c r="M967" s="85">
        <f t="shared" si="211"/>
        <v>233091.80000000002</v>
      </c>
      <c r="N967" s="13">
        <f>N968+N1053</f>
        <v>0</v>
      </c>
      <c r="O967" s="85">
        <f t="shared" si="212"/>
        <v>233091.80000000002</v>
      </c>
      <c r="P967" s="13">
        <f>P968+P1053</f>
        <v>140.19999999999999</v>
      </c>
      <c r="Q967" s="85">
        <f t="shared" si="207"/>
        <v>233232.00000000003</v>
      </c>
      <c r="R967" s="13">
        <f>R968+R1053</f>
        <v>17658.800000000003</v>
      </c>
      <c r="S967" s="85">
        <f t="shared" si="205"/>
        <v>250890.80000000005</v>
      </c>
      <c r="T967" s="13">
        <f>T968+T1053</f>
        <v>-2.2737367544323206E-13</v>
      </c>
      <c r="U967" s="85">
        <f t="shared" si="210"/>
        <v>250890.80000000005</v>
      </c>
    </row>
    <row r="968" spans="1:22" ht="33">
      <c r="A968" s="61" t="str">
        <f ca="1">IF(ISERROR(MATCH(E968,Код_КЦСР,0)),"",INDIRECT(ADDRESS(MATCH(E968,Код_КЦСР,0)+1,2,,,"КЦСР")))</f>
        <v>Муниципальная программа «Культура, традиции и народное творчество в городе Череповце» на 2013-2018 годы</v>
      </c>
      <c r="B968" s="145">
        <v>808</v>
      </c>
      <c r="C968" s="8" t="s">
        <v>222</v>
      </c>
      <c r="D968" s="8" t="s">
        <v>213</v>
      </c>
      <c r="E968" s="145" t="s">
        <v>464</v>
      </c>
      <c r="F968" s="145"/>
      <c r="G968" s="69">
        <f>G969+G981+G998+G1019+G1032+G1043+G1048</f>
        <v>233756</v>
      </c>
      <c r="H968" s="69">
        <f>H969+H981+H998+H1019+H1032+H1043+H1048</f>
        <v>0</v>
      </c>
      <c r="I968" s="69">
        <f t="shared" si="214"/>
        <v>233756</v>
      </c>
      <c r="J968" s="69">
        <f>J969+J981+J998+J1019+J1032+J1043+J1048</f>
        <v>-512.79999999999995</v>
      </c>
      <c r="K968" s="85">
        <f t="shared" si="208"/>
        <v>233243.2</v>
      </c>
      <c r="L968" s="13">
        <f>L969+L981+L998+L1019+L1032+L1043+L1048</f>
        <v>-184.4</v>
      </c>
      <c r="M968" s="85">
        <f t="shared" si="211"/>
        <v>233058.80000000002</v>
      </c>
      <c r="N968" s="13">
        <f>N969+N981+N998+N1019+N1032+N1043+N1048</f>
        <v>0</v>
      </c>
      <c r="O968" s="85">
        <f t="shared" si="212"/>
        <v>233058.80000000002</v>
      </c>
      <c r="P968" s="13">
        <f>P969+P981+P998+P1019+P1032+P1043+P1048</f>
        <v>140.19999999999999</v>
      </c>
      <c r="Q968" s="85">
        <f t="shared" si="207"/>
        <v>233199.00000000003</v>
      </c>
      <c r="R968" s="13">
        <f>R969+R981+R998+R1019+R1032+R1043+R1048</f>
        <v>17658.800000000003</v>
      </c>
      <c r="S968" s="85">
        <f t="shared" si="205"/>
        <v>250857.80000000005</v>
      </c>
      <c r="T968" s="13">
        <f>T969+T981+T998+T1019+T1032+T1043+T1048</f>
        <v>-2.2737367544323206E-13</v>
      </c>
      <c r="U968" s="85">
        <f t="shared" si="210"/>
        <v>250857.80000000005</v>
      </c>
    </row>
    <row r="969" spans="1:22" ht="33">
      <c r="A969" s="61" t="str">
        <f ca="1">IF(ISERROR(MATCH(E969,Код_КЦСР,0)),"",INDIRECT(ADDRESS(MATCH(E969,Код_КЦСР,0)+1,2,,,"КЦСР")))</f>
        <v>Сохранение, эффективное использование  и популяризация объектов культурного наследия</v>
      </c>
      <c r="B969" s="145">
        <v>808</v>
      </c>
      <c r="C969" s="8" t="s">
        <v>222</v>
      </c>
      <c r="D969" s="8" t="s">
        <v>213</v>
      </c>
      <c r="E969" s="145" t="s">
        <v>466</v>
      </c>
      <c r="F969" s="145"/>
      <c r="G969" s="69">
        <f t="shared" ref="G969:T975" si="217">G970</f>
        <v>536.79999999999995</v>
      </c>
      <c r="H969" s="69">
        <f t="shared" si="217"/>
        <v>0</v>
      </c>
      <c r="I969" s="69">
        <f t="shared" si="214"/>
        <v>536.79999999999995</v>
      </c>
      <c r="J969" s="69">
        <f t="shared" si="217"/>
        <v>0</v>
      </c>
      <c r="K969" s="85">
        <f t="shared" si="208"/>
        <v>536.79999999999995</v>
      </c>
      <c r="L969" s="13">
        <f>L970</f>
        <v>-0.3</v>
      </c>
      <c r="M969" s="85">
        <f t="shared" si="211"/>
        <v>536.5</v>
      </c>
      <c r="N969" s="13">
        <f>N970</f>
        <v>0</v>
      </c>
      <c r="O969" s="85">
        <f t="shared" si="212"/>
        <v>536.5</v>
      </c>
      <c r="P969" s="13">
        <f>P970</f>
        <v>0</v>
      </c>
      <c r="Q969" s="85">
        <f t="shared" si="207"/>
        <v>536.5</v>
      </c>
      <c r="R969" s="13">
        <f>R970</f>
        <v>0</v>
      </c>
      <c r="S969" s="85">
        <f t="shared" si="205"/>
        <v>536.5</v>
      </c>
      <c r="T969" s="13">
        <f>T970+T977</f>
        <v>194.3</v>
      </c>
      <c r="U969" s="85">
        <f t="shared" si="210"/>
        <v>730.8</v>
      </c>
    </row>
    <row r="970" spans="1:22">
      <c r="A970" s="61" t="str">
        <f ca="1">IF(ISERROR(MATCH(E970,Код_КЦСР,0)),"",INDIRECT(ADDRESS(MATCH(E970,Код_КЦСР,0)+1,2,,,"КЦСР")))</f>
        <v>Сохранение, ремонт и  реставрация объектов культурного наследия</v>
      </c>
      <c r="B970" s="145">
        <v>808</v>
      </c>
      <c r="C970" s="8" t="s">
        <v>222</v>
      </c>
      <c r="D970" s="8" t="s">
        <v>213</v>
      </c>
      <c r="E970" s="145" t="s">
        <v>468</v>
      </c>
      <c r="F970" s="145"/>
      <c r="G970" s="69">
        <f>G974</f>
        <v>536.79999999999995</v>
      </c>
      <c r="H970" s="69">
        <f>H974</f>
        <v>0</v>
      </c>
      <c r="I970" s="69">
        <f t="shared" si="214"/>
        <v>536.79999999999995</v>
      </c>
      <c r="J970" s="69">
        <f>J974</f>
        <v>0</v>
      </c>
      <c r="K970" s="85">
        <f t="shared" si="208"/>
        <v>536.79999999999995</v>
      </c>
      <c r="L970" s="13">
        <f>L974+L971</f>
        <v>-0.3</v>
      </c>
      <c r="M970" s="85">
        <f t="shared" si="211"/>
        <v>536.5</v>
      </c>
      <c r="N970" s="13">
        <f>N974+N971</f>
        <v>0</v>
      </c>
      <c r="O970" s="85">
        <f t="shared" si="212"/>
        <v>536.5</v>
      </c>
      <c r="P970" s="13">
        <f>P974+P971</f>
        <v>0</v>
      </c>
      <c r="Q970" s="85">
        <f t="shared" si="207"/>
        <v>536.5</v>
      </c>
      <c r="R970" s="13">
        <f>R974+R971</f>
        <v>0</v>
      </c>
      <c r="S970" s="85">
        <f t="shared" si="205"/>
        <v>536.5</v>
      </c>
      <c r="T970" s="13">
        <f>T974+T971</f>
        <v>0</v>
      </c>
      <c r="U970" s="85">
        <f t="shared" si="210"/>
        <v>536.5</v>
      </c>
    </row>
    <row r="971" spans="1:22" ht="27.75" hidden="1" customHeight="1">
      <c r="A971" s="61" t="str">
        <f t="shared" ref="A971:A976" ca="1" si="218">IF(ISERROR(MATCH(F971,Код_КВР,0)),"",INDIRECT(ADDRESS(MATCH(F971,Код_КВР,0)+1,2,,,"КВР")))</f>
        <v>Закупка товаров, работ и услуг для муниципальных нужд</v>
      </c>
      <c r="B971" s="145">
        <v>808</v>
      </c>
      <c r="C971" s="8" t="s">
        <v>222</v>
      </c>
      <c r="D971" s="8" t="s">
        <v>213</v>
      </c>
      <c r="E971" s="145" t="s">
        <v>468</v>
      </c>
      <c r="F971" s="145">
        <v>200</v>
      </c>
      <c r="G971" s="69"/>
      <c r="H971" s="69"/>
      <c r="I971" s="69"/>
      <c r="J971" s="69"/>
      <c r="K971" s="85"/>
      <c r="L971" s="13">
        <f>L972</f>
        <v>0</v>
      </c>
      <c r="M971" s="85">
        <f t="shared" si="211"/>
        <v>0</v>
      </c>
      <c r="N971" s="13">
        <f>N972</f>
        <v>0</v>
      </c>
      <c r="O971" s="85">
        <f t="shared" si="212"/>
        <v>0</v>
      </c>
      <c r="P971" s="13">
        <f>P972</f>
        <v>0</v>
      </c>
      <c r="Q971" s="85">
        <f t="shared" si="207"/>
        <v>0</v>
      </c>
      <c r="R971" s="13">
        <f>R972</f>
        <v>0</v>
      </c>
      <c r="S971" s="85">
        <f t="shared" si="205"/>
        <v>0</v>
      </c>
      <c r="T971" s="13">
        <f>T972</f>
        <v>0</v>
      </c>
      <c r="U971" s="85">
        <f t="shared" si="210"/>
        <v>0</v>
      </c>
      <c r="V971" s="155" t="s">
        <v>715</v>
      </c>
    </row>
    <row r="972" spans="1:22" ht="33" hidden="1">
      <c r="A972" s="61" t="str">
        <f t="shared" ca="1" si="218"/>
        <v>Иные закупки товаров, работ и услуг для обеспечения муниципальных нужд</v>
      </c>
      <c r="B972" s="145">
        <v>808</v>
      </c>
      <c r="C972" s="8" t="s">
        <v>222</v>
      </c>
      <c r="D972" s="8" t="s">
        <v>213</v>
      </c>
      <c r="E972" s="145" t="s">
        <v>468</v>
      </c>
      <c r="F972" s="145">
        <v>240</v>
      </c>
      <c r="G972" s="69"/>
      <c r="H972" s="69"/>
      <c r="I972" s="69"/>
      <c r="J972" s="69"/>
      <c r="K972" s="85"/>
      <c r="L972" s="13">
        <f>L973</f>
        <v>0</v>
      </c>
      <c r="M972" s="85">
        <f t="shared" si="211"/>
        <v>0</v>
      </c>
      <c r="N972" s="13">
        <f>N973</f>
        <v>0</v>
      </c>
      <c r="O972" s="85">
        <f t="shared" si="212"/>
        <v>0</v>
      </c>
      <c r="P972" s="13">
        <f>P973</f>
        <v>0</v>
      </c>
      <c r="Q972" s="85">
        <f t="shared" si="207"/>
        <v>0</v>
      </c>
      <c r="R972" s="13">
        <f>R973</f>
        <v>0</v>
      </c>
      <c r="S972" s="85">
        <f t="shared" si="205"/>
        <v>0</v>
      </c>
      <c r="T972" s="13">
        <f>T973</f>
        <v>0</v>
      </c>
      <c r="U972" s="85">
        <f t="shared" si="210"/>
        <v>0</v>
      </c>
      <c r="V972" s="155" t="s">
        <v>715</v>
      </c>
    </row>
    <row r="973" spans="1:22" ht="27.75" hidden="1" customHeight="1">
      <c r="A973" s="61" t="str">
        <f t="shared" ca="1" si="218"/>
        <v>Научно-исследовательские и опытно-конструкторские работы</v>
      </c>
      <c r="B973" s="145">
        <v>808</v>
      </c>
      <c r="C973" s="8" t="s">
        <v>222</v>
      </c>
      <c r="D973" s="8" t="s">
        <v>213</v>
      </c>
      <c r="E973" s="145" t="s">
        <v>468</v>
      </c>
      <c r="F973" s="145">
        <v>241</v>
      </c>
      <c r="G973" s="69"/>
      <c r="H973" s="69"/>
      <c r="I973" s="69"/>
      <c r="J973" s="69"/>
      <c r="K973" s="85"/>
      <c r="L973" s="13"/>
      <c r="M973" s="85">
        <f t="shared" si="211"/>
        <v>0</v>
      </c>
      <c r="N973" s="13"/>
      <c r="O973" s="85">
        <f t="shared" si="212"/>
        <v>0</v>
      </c>
      <c r="P973" s="13"/>
      <c r="Q973" s="85">
        <f t="shared" si="207"/>
        <v>0</v>
      </c>
      <c r="R973" s="13"/>
      <c r="S973" s="85">
        <f t="shared" si="205"/>
        <v>0</v>
      </c>
      <c r="T973" s="13"/>
      <c r="U973" s="85">
        <f t="shared" si="210"/>
        <v>0</v>
      </c>
      <c r="V973" s="155" t="s">
        <v>715</v>
      </c>
    </row>
    <row r="974" spans="1:22" ht="33">
      <c r="A974" s="61" t="str">
        <f t="shared" ca="1" si="218"/>
        <v>Предоставление субсидий бюджетным, автономным учреждениям и иным некоммерческим организациям</v>
      </c>
      <c r="B974" s="145">
        <v>808</v>
      </c>
      <c r="C974" s="8" t="s">
        <v>222</v>
      </c>
      <c r="D974" s="8" t="s">
        <v>213</v>
      </c>
      <c r="E974" s="145" t="s">
        <v>468</v>
      </c>
      <c r="F974" s="145">
        <v>600</v>
      </c>
      <c r="G974" s="69">
        <f t="shared" si="217"/>
        <v>536.79999999999995</v>
      </c>
      <c r="H974" s="69">
        <f t="shared" si="217"/>
        <v>0</v>
      </c>
      <c r="I974" s="69">
        <f t="shared" si="214"/>
        <v>536.79999999999995</v>
      </c>
      <c r="J974" s="69">
        <f t="shared" si="217"/>
        <v>0</v>
      </c>
      <c r="K974" s="85">
        <f t="shared" si="208"/>
        <v>536.79999999999995</v>
      </c>
      <c r="L974" s="13">
        <f t="shared" si="217"/>
        <v>-0.3</v>
      </c>
      <c r="M974" s="85">
        <f t="shared" si="211"/>
        <v>536.5</v>
      </c>
      <c r="N974" s="13">
        <f t="shared" si="217"/>
        <v>0</v>
      </c>
      <c r="O974" s="85">
        <f t="shared" si="212"/>
        <v>536.5</v>
      </c>
      <c r="P974" s="13">
        <f t="shared" si="217"/>
        <v>0</v>
      </c>
      <c r="Q974" s="85">
        <f t="shared" si="207"/>
        <v>536.5</v>
      </c>
      <c r="R974" s="13">
        <f t="shared" si="217"/>
        <v>0</v>
      </c>
      <c r="S974" s="85">
        <f t="shared" si="205"/>
        <v>536.5</v>
      </c>
      <c r="T974" s="13">
        <f t="shared" si="217"/>
        <v>0</v>
      </c>
      <c r="U974" s="85">
        <f t="shared" si="210"/>
        <v>536.5</v>
      </c>
    </row>
    <row r="975" spans="1:22">
      <c r="A975" s="61" t="str">
        <f t="shared" ca="1" si="218"/>
        <v>Субсидии бюджетным учреждениям</v>
      </c>
      <c r="B975" s="145">
        <v>808</v>
      </c>
      <c r="C975" s="8" t="s">
        <v>222</v>
      </c>
      <c r="D975" s="8" t="s">
        <v>213</v>
      </c>
      <c r="E975" s="145" t="s">
        <v>468</v>
      </c>
      <c r="F975" s="145">
        <v>610</v>
      </c>
      <c r="G975" s="69">
        <f t="shared" si="217"/>
        <v>536.79999999999995</v>
      </c>
      <c r="H975" s="69">
        <f t="shared" si="217"/>
        <v>0</v>
      </c>
      <c r="I975" s="69">
        <f t="shared" si="214"/>
        <v>536.79999999999995</v>
      </c>
      <c r="J975" s="69">
        <f t="shared" si="217"/>
        <v>0</v>
      </c>
      <c r="K975" s="85">
        <f t="shared" si="208"/>
        <v>536.79999999999995</v>
      </c>
      <c r="L975" s="13">
        <f t="shared" si="217"/>
        <v>-0.3</v>
      </c>
      <c r="M975" s="85">
        <f t="shared" si="211"/>
        <v>536.5</v>
      </c>
      <c r="N975" s="13">
        <f t="shared" si="217"/>
        <v>0</v>
      </c>
      <c r="O975" s="85">
        <f t="shared" si="212"/>
        <v>536.5</v>
      </c>
      <c r="P975" s="13">
        <f t="shared" si="217"/>
        <v>0</v>
      </c>
      <c r="Q975" s="85">
        <f t="shared" si="207"/>
        <v>536.5</v>
      </c>
      <c r="R975" s="13">
        <f t="shared" si="217"/>
        <v>0</v>
      </c>
      <c r="S975" s="85">
        <f t="shared" si="205"/>
        <v>536.5</v>
      </c>
      <c r="T975" s="13">
        <f t="shared" si="217"/>
        <v>0</v>
      </c>
      <c r="U975" s="85">
        <f t="shared" si="210"/>
        <v>536.5</v>
      </c>
    </row>
    <row r="976" spans="1:22" ht="49.5">
      <c r="A976" s="61" t="str">
        <f t="shared" ca="1" si="218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76" s="145">
        <v>808</v>
      </c>
      <c r="C976" s="8" t="s">
        <v>222</v>
      </c>
      <c r="D976" s="8" t="s">
        <v>213</v>
      </c>
      <c r="E976" s="145" t="s">
        <v>468</v>
      </c>
      <c r="F976" s="145">
        <v>611</v>
      </c>
      <c r="G976" s="69">
        <v>536.79999999999995</v>
      </c>
      <c r="H976" s="69"/>
      <c r="I976" s="69">
        <f t="shared" si="214"/>
        <v>536.79999999999995</v>
      </c>
      <c r="J976" s="69"/>
      <c r="K976" s="85">
        <f t="shared" si="208"/>
        <v>536.79999999999995</v>
      </c>
      <c r="L976" s="13">
        <f>-0.3</f>
        <v>-0.3</v>
      </c>
      <c r="M976" s="85">
        <f t="shared" si="211"/>
        <v>536.5</v>
      </c>
      <c r="N976" s="13"/>
      <c r="O976" s="85">
        <f t="shared" si="212"/>
        <v>536.5</v>
      </c>
      <c r="P976" s="13"/>
      <c r="Q976" s="85">
        <f t="shared" si="207"/>
        <v>536.5</v>
      </c>
      <c r="R976" s="13"/>
      <c r="S976" s="85">
        <f t="shared" si="205"/>
        <v>536.5</v>
      </c>
      <c r="T976" s="13"/>
      <c r="U976" s="85">
        <f t="shared" si="210"/>
        <v>536.5</v>
      </c>
    </row>
    <row r="977" spans="1:21" ht="48" customHeight="1">
      <c r="A977" s="61" t="str">
        <f ca="1">IF(ISERROR(MATCH(E977,Код_КЦСР,0)),"",INDIRECT(ADDRESS(MATCH(E977,Код_КЦСР,0)+1,2,,,"КЦСР")))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977" s="145">
        <v>808</v>
      </c>
      <c r="C977" s="8" t="s">
        <v>222</v>
      </c>
      <c r="D977" s="8" t="s">
        <v>213</v>
      </c>
      <c r="E977" s="145" t="s">
        <v>669</v>
      </c>
      <c r="F977" s="145"/>
      <c r="G977" s="69"/>
      <c r="H977" s="69"/>
      <c r="I977" s="69"/>
      <c r="J977" s="69"/>
      <c r="K977" s="85"/>
      <c r="L977" s="13"/>
      <c r="M977" s="85"/>
      <c r="N977" s="13"/>
      <c r="O977" s="85"/>
      <c r="P977" s="13"/>
      <c r="Q977" s="85"/>
      <c r="R977" s="13"/>
      <c r="S977" s="85"/>
      <c r="T977" s="13">
        <f>T978</f>
        <v>194.3</v>
      </c>
      <c r="U977" s="85">
        <f t="shared" si="210"/>
        <v>194.3</v>
      </c>
    </row>
    <row r="978" spans="1:21" ht="33">
      <c r="A978" s="61" t="str">
        <f t="shared" ref="A978:A980" ca="1" si="219">IF(ISERROR(MATCH(F978,Код_КВР,0)),"",INDIRECT(ADDRESS(MATCH(F978,Код_КВР,0)+1,2,,,"КВР")))</f>
        <v>Предоставление субсидий бюджетным, автономным учреждениям и иным некоммерческим организациям</v>
      </c>
      <c r="B978" s="145">
        <v>808</v>
      </c>
      <c r="C978" s="8" t="s">
        <v>222</v>
      </c>
      <c r="D978" s="8" t="s">
        <v>213</v>
      </c>
      <c r="E978" s="145" t="s">
        <v>669</v>
      </c>
      <c r="F978" s="145">
        <v>600</v>
      </c>
      <c r="G978" s="69"/>
      <c r="H978" s="69"/>
      <c r="I978" s="69"/>
      <c r="J978" s="69"/>
      <c r="K978" s="85"/>
      <c r="L978" s="13"/>
      <c r="M978" s="85"/>
      <c r="N978" s="13"/>
      <c r="O978" s="85"/>
      <c r="P978" s="13"/>
      <c r="Q978" s="85"/>
      <c r="R978" s="13"/>
      <c r="S978" s="85"/>
      <c r="T978" s="13">
        <f>T979</f>
        <v>194.3</v>
      </c>
      <c r="U978" s="85">
        <f t="shared" si="210"/>
        <v>194.3</v>
      </c>
    </row>
    <row r="979" spans="1:21">
      <c r="A979" s="61" t="str">
        <f t="shared" ca="1" si="219"/>
        <v>Субсидии бюджетным учреждениям</v>
      </c>
      <c r="B979" s="145">
        <v>808</v>
      </c>
      <c r="C979" s="8" t="s">
        <v>222</v>
      </c>
      <c r="D979" s="8" t="s">
        <v>213</v>
      </c>
      <c r="E979" s="145" t="s">
        <v>669</v>
      </c>
      <c r="F979" s="145">
        <v>610</v>
      </c>
      <c r="G979" s="69"/>
      <c r="H979" s="69"/>
      <c r="I979" s="69"/>
      <c r="J979" s="69"/>
      <c r="K979" s="85"/>
      <c r="L979" s="13"/>
      <c r="M979" s="85"/>
      <c r="N979" s="13"/>
      <c r="O979" s="85"/>
      <c r="P979" s="13"/>
      <c r="Q979" s="85"/>
      <c r="R979" s="13"/>
      <c r="S979" s="85"/>
      <c r="T979" s="13">
        <f>T980</f>
        <v>194.3</v>
      </c>
      <c r="U979" s="85">
        <f t="shared" si="210"/>
        <v>194.3</v>
      </c>
    </row>
    <row r="980" spans="1:21" ht="49.5">
      <c r="A980" s="61" t="str">
        <f t="shared" ca="1" si="219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80" s="145">
        <v>808</v>
      </c>
      <c r="C980" s="8" t="s">
        <v>222</v>
      </c>
      <c r="D980" s="8" t="s">
        <v>213</v>
      </c>
      <c r="E980" s="145" t="s">
        <v>669</v>
      </c>
      <c r="F980" s="145">
        <v>611</v>
      </c>
      <c r="G980" s="69"/>
      <c r="H980" s="69"/>
      <c r="I980" s="69"/>
      <c r="J980" s="69"/>
      <c r="K980" s="85"/>
      <c r="L980" s="13"/>
      <c r="M980" s="85"/>
      <c r="N980" s="13"/>
      <c r="O980" s="85"/>
      <c r="P980" s="13"/>
      <c r="Q980" s="85"/>
      <c r="R980" s="13"/>
      <c r="S980" s="85"/>
      <c r="T980" s="13">
        <v>194.3</v>
      </c>
      <c r="U980" s="85">
        <f t="shared" si="210"/>
        <v>194.3</v>
      </c>
    </row>
    <row r="981" spans="1:21">
      <c r="A981" s="61" t="str">
        <f ca="1">IF(ISERROR(MATCH(E981,Код_КЦСР,0)),"",INDIRECT(ADDRESS(MATCH(E981,Код_КЦСР,0)+1,2,,,"КЦСР")))</f>
        <v>Развитие музейного дела</v>
      </c>
      <c r="B981" s="145">
        <v>808</v>
      </c>
      <c r="C981" s="8" t="s">
        <v>222</v>
      </c>
      <c r="D981" s="8" t="s">
        <v>213</v>
      </c>
      <c r="E981" s="145" t="s">
        <v>471</v>
      </c>
      <c r="F981" s="145"/>
      <c r="G981" s="69">
        <f>G982+G986+G990</f>
        <v>44327.200000000004</v>
      </c>
      <c r="H981" s="69">
        <f>H982+H986+H990</f>
        <v>0</v>
      </c>
      <c r="I981" s="69">
        <f t="shared" si="214"/>
        <v>44327.200000000004</v>
      </c>
      <c r="J981" s="69">
        <f>J982+J986+J990</f>
        <v>0</v>
      </c>
      <c r="K981" s="85">
        <f t="shared" si="208"/>
        <v>44327.200000000004</v>
      </c>
      <c r="L981" s="13">
        <f>L982+L986+L990</f>
        <v>-26.4</v>
      </c>
      <c r="M981" s="85">
        <f t="shared" si="211"/>
        <v>44300.800000000003</v>
      </c>
      <c r="N981" s="13">
        <f>N982+N986+N990</f>
        <v>0</v>
      </c>
      <c r="O981" s="85">
        <f t="shared" si="212"/>
        <v>44300.800000000003</v>
      </c>
      <c r="P981" s="13">
        <f>P982+P986+P990</f>
        <v>0</v>
      </c>
      <c r="Q981" s="85">
        <f t="shared" si="207"/>
        <v>44300.800000000003</v>
      </c>
      <c r="R981" s="13">
        <f>R982+R986+R990+R994</f>
        <v>9713.7999999999993</v>
      </c>
      <c r="S981" s="85">
        <f t="shared" si="205"/>
        <v>54014.600000000006</v>
      </c>
      <c r="T981" s="13">
        <f>T982+T986+T990+T994</f>
        <v>-680</v>
      </c>
      <c r="U981" s="85">
        <f t="shared" si="210"/>
        <v>53334.600000000006</v>
      </c>
    </row>
    <row r="982" spans="1:21">
      <c r="A982" s="61" t="str">
        <f ca="1">IF(ISERROR(MATCH(E982,Код_КЦСР,0)),"",INDIRECT(ADDRESS(MATCH(E982,Код_КЦСР,0)+1,2,,,"КЦСР")))</f>
        <v xml:space="preserve">Оказание муниципальных услуг </v>
      </c>
      <c r="B982" s="145">
        <v>808</v>
      </c>
      <c r="C982" s="8" t="s">
        <v>222</v>
      </c>
      <c r="D982" s="8" t="s">
        <v>213</v>
      </c>
      <c r="E982" s="145" t="s">
        <v>476</v>
      </c>
      <c r="F982" s="145"/>
      <c r="G982" s="69">
        <f t="shared" ref="G982:T984" si="220">G983</f>
        <v>25054</v>
      </c>
      <c r="H982" s="69">
        <f t="shared" si="220"/>
        <v>0</v>
      </c>
      <c r="I982" s="69">
        <f t="shared" si="214"/>
        <v>25054</v>
      </c>
      <c r="J982" s="69">
        <f t="shared" si="220"/>
        <v>0</v>
      </c>
      <c r="K982" s="85">
        <f t="shared" si="208"/>
        <v>25054</v>
      </c>
      <c r="L982" s="13">
        <f t="shared" si="220"/>
        <v>-21.2</v>
      </c>
      <c r="M982" s="85">
        <f t="shared" si="211"/>
        <v>25032.799999999999</v>
      </c>
      <c r="N982" s="13">
        <f t="shared" si="220"/>
        <v>0</v>
      </c>
      <c r="O982" s="85">
        <f t="shared" si="212"/>
        <v>25032.799999999999</v>
      </c>
      <c r="P982" s="13">
        <f t="shared" si="220"/>
        <v>0</v>
      </c>
      <c r="Q982" s="85">
        <f t="shared" si="207"/>
        <v>25032.799999999999</v>
      </c>
      <c r="R982" s="13">
        <f t="shared" si="220"/>
        <v>0</v>
      </c>
      <c r="S982" s="85">
        <f t="shared" si="205"/>
        <v>25032.799999999999</v>
      </c>
      <c r="T982" s="13">
        <f t="shared" si="220"/>
        <v>0</v>
      </c>
      <c r="U982" s="85">
        <f t="shared" si="210"/>
        <v>25032.799999999999</v>
      </c>
    </row>
    <row r="983" spans="1:21" ht="33">
      <c r="A983" s="61" t="str">
        <f ca="1">IF(ISERROR(MATCH(F983,Код_КВР,0)),"",INDIRECT(ADDRESS(MATCH(F983,Код_КВР,0)+1,2,,,"КВР")))</f>
        <v>Предоставление субсидий бюджетным, автономным учреждениям и иным некоммерческим организациям</v>
      </c>
      <c r="B983" s="145">
        <v>808</v>
      </c>
      <c r="C983" s="8" t="s">
        <v>222</v>
      </c>
      <c r="D983" s="8" t="s">
        <v>213</v>
      </c>
      <c r="E983" s="145" t="s">
        <v>476</v>
      </c>
      <c r="F983" s="145">
        <v>600</v>
      </c>
      <c r="G983" s="69">
        <f t="shared" si="220"/>
        <v>25054</v>
      </c>
      <c r="H983" s="69">
        <f t="shared" si="220"/>
        <v>0</v>
      </c>
      <c r="I983" s="69">
        <f t="shared" si="214"/>
        <v>25054</v>
      </c>
      <c r="J983" s="69">
        <f t="shared" si="220"/>
        <v>0</v>
      </c>
      <c r="K983" s="85">
        <f t="shared" si="208"/>
        <v>25054</v>
      </c>
      <c r="L983" s="13">
        <f t="shared" si="220"/>
        <v>-21.2</v>
      </c>
      <c r="M983" s="85">
        <f t="shared" si="211"/>
        <v>25032.799999999999</v>
      </c>
      <c r="N983" s="13">
        <f t="shared" si="220"/>
        <v>0</v>
      </c>
      <c r="O983" s="85">
        <f t="shared" si="212"/>
        <v>25032.799999999999</v>
      </c>
      <c r="P983" s="13">
        <f t="shared" si="220"/>
        <v>0</v>
      </c>
      <c r="Q983" s="85">
        <f t="shared" si="207"/>
        <v>25032.799999999999</v>
      </c>
      <c r="R983" s="13">
        <f t="shared" si="220"/>
        <v>0</v>
      </c>
      <c r="S983" s="85">
        <f t="shared" si="205"/>
        <v>25032.799999999999</v>
      </c>
      <c r="T983" s="13">
        <f t="shared" si="220"/>
        <v>0</v>
      </c>
      <c r="U983" s="85">
        <f t="shared" si="210"/>
        <v>25032.799999999999</v>
      </c>
    </row>
    <row r="984" spans="1:21">
      <c r="A984" s="61" t="str">
        <f ca="1">IF(ISERROR(MATCH(F984,Код_КВР,0)),"",INDIRECT(ADDRESS(MATCH(F984,Код_КВР,0)+1,2,,,"КВР")))</f>
        <v>Субсидии бюджетным учреждениям</v>
      </c>
      <c r="B984" s="145">
        <v>808</v>
      </c>
      <c r="C984" s="8" t="s">
        <v>222</v>
      </c>
      <c r="D984" s="8" t="s">
        <v>213</v>
      </c>
      <c r="E984" s="145" t="s">
        <v>476</v>
      </c>
      <c r="F984" s="145">
        <v>610</v>
      </c>
      <c r="G984" s="69">
        <f t="shared" si="220"/>
        <v>25054</v>
      </c>
      <c r="H984" s="69">
        <f t="shared" si="220"/>
        <v>0</v>
      </c>
      <c r="I984" s="69">
        <f t="shared" si="214"/>
        <v>25054</v>
      </c>
      <c r="J984" s="69">
        <f t="shared" si="220"/>
        <v>0</v>
      </c>
      <c r="K984" s="85">
        <f t="shared" si="208"/>
        <v>25054</v>
      </c>
      <c r="L984" s="13">
        <f t="shared" si="220"/>
        <v>-21.2</v>
      </c>
      <c r="M984" s="85">
        <f t="shared" si="211"/>
        <v>25032.799999999999</v>
      </c>
      <c r="N984" s="13">
        <f t="shared" si="220"/>
        <v>0</v>
      </c>
      <c r="O984" s="85">
        <f t="shared" si="212"/>
        <v>25032.799999999999</v>
      </c>
      <c r="P984" s="13">
        <f t="shared" si="220"/>
        <v>0</v>
      </c>
      <c r="Q984" s="85">
        <f t="shared" si="207"/>
        <v>25032.799999999999</v>
      </c>
      <c r="R984" s="13">
        <f t="shared" si="220"/>
        <v>0</v>
      </c>
      <c r="S984" s="85">
        <f t="shared" si="205"/>
        <v>25032.799999999999</v>
      </c>
      <c r="T984" s="13">
        <f t="shared" si="220"/>
        <v>0</v>
      </c>
      <c r="U984" s="85">
        <f t="shared" si="210"/>
        <v>25032.799999999999</v>
      </c>
    </row>
    <row r="985" spans="1:21" ht="49.5">
      <c r="A985" s="61" t="str">
        <f ca="1">IF(ISERROR(MATCH(F985,Код_КВР,0)),"",INDIRECT(ADDRESS(MATCH(F985,Код_КВР,0)+1,2,,,"КВР")))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85" s="145">
        <v>808</v>
      </c>
      <c r="C985" s="8" t="s">
        <v>222</v>
      </c>
      <c r="D985" s="8" t="s">
        <v>213</v>
      </c>
      <c r="E985" s="145" t="s">
        <v>476</v>
      </c>
      <c r="F985" s="145">
        <v>611</v>
      </c>
      <c r="G985" s="69">
        <v>25054</v>
      </c>
      <c r="H985" s="69"/>
      <c r="I985" s="69">
        <f t="shared" si="214"/>
        <v>25054</v>
      </c>
      <c r="J985" s="69"/>
      <c r="K985" s="85">
        <f t="shared" si="208"/>
        <v>25054</v>
      </c>
      <c r="L985" s="13">
        <v>-21.2</v>
      </c>
      <c r="M985" s="85">
        <f t="shared" si="211"/>
        <v>25032.799999999999</v>
      </c>
      <c r="N985" s="13"/>
      <c r="O985" s="85">
        <f t="shared" si="212"/>
        <v>25032.799999999999</v>
      </c>
      <c r="P985" s="13"/>
      <c r="Q985" s="85">
        <f t="shared" si="207"/>
        <v>25032.799999999999</v>
      </c>
      <c r="R985" s="13"/>
      <c r="S985" s="85">
        <f t="shared" si="205"/>
        <v>25032.799999999999</v>
      </c>
      <c r="T985" s="13"/>
      <c r="U985" s="85">
        <f t="shared" si="210"/>
        <v>25032.799999999999</v>
      </c>
    </row>
    <row r="986" spans="1:21" ht="21" customHeight="1">
      <c r="A986" s="61" t="str">
        <f ca="1">IF(ISERROR(MATCH(E986,Код_КЦСР,0)),"",INDIRECT(ADDRESS(MATCH(E986,Код_КЦСР,0)+1,2,,,"КЦСР")))</f>
        <v xml:space="preserve">Хранение, изучение и обеспечение сохранности музейных предметов </v>
      </c>
      <c r="B986" s="145">
        <v>808</v>
      </c>
      <c r="C986" s="8" t="s">
        <v>222</v>
      </c>
      <c r="D986" s="8" t="s">
        <v>213</v>
      </c>
      <c r="E986" s="145" t="s">
        <v>478</v>
      </c>
      <c r="F986" s="145"/>
      <c r="G986" s="69">
        <f t="shared" ref="G986:T988" si="221">G987</f>
        <v>15501.3</v>
      </c>
      <c r="H986" s="69">
        <f t="shared" si="221"/>
        <v>0</v>
      </c>
      <c r="I986" s="69">
        <f t="shared" si="214"/>
        <v>15501.3</v>
      </c>
      <c r="J986" s="69">
        <f t="shared" si="221"/>
        <v>0</v>
      </c>
      <c r="K986" s="85">
        <f t="shared" si="208"/>
        <v>15501.3</v>
      </c>
      <c r="L986" s="13">
        <f t="shared" si="221"/>
        <v>-1.2</v>
      </c>
      <c r="M986" s="85">
        <f t="shared" si="211"/>
        <v>15500.099999999999</v>
      </c>
      <c r="N986" s="13">
        <f t="shared" si="221"/>
        <v>0</v>
      </c>
      <c r="O986" s="85">
        <f t="shared" si="212"/>
        <v>15500.099999999999</v>
      </c>
      <c r="P986" s="13">
        <f t="shared" si="221"/>
        <v>0</v>
      </c>
      <c r="Q986" s="85">
        <f t="shared" si="207"/>
        <v>15500.099999999999</v>
      </c>
      <c r="R986" s="13">
        <f t="shared" si="221"/>
        <v>0</v>
      </c>
      <c r="S986" s="85">
        <f t="shared" si="205"/>
        <v>15500.099999999999</v>
      </c>
      <c r="T986" s="13">
        <f t="shared" si="221"/>
        <v>0</v>
      </c>
      <c r="U986" s="85">
        <f t="shared" si="210"/>
        <v>15500.099999999999</v>
      </c>
    </row>
    <row r="987" spans="1:21" ht="33">
      <c r="A987" s="61" t="str">
        <f ca="1">IF(ISERROR(MATCH(F987,Код_КВР,0)),"",INDIRECT(ADDRESS(MATCH(F987,Код_КВР,0)+1,2,,,"КВР")))</f>
        <v>Предоставление субсидий бюджетным, автономным учреждениям и иным некоммерческим организациям</v>
      </c>
      <c r="B987" s="145">
        <v>808</v>
      </c>
      <c r="C987" s="8" t="s">
        <v>222</v>
      </c>
      <c r="D987" s="8" t="s">
        <v>213</v>
      </c>
      <c r="E987" s="145" t="s">
        <v>478</v>
      </c>
      <c r="F987" s="145">
        <v>600</v>
      </c>
      <c r="G987" s="69">
        <f t="shared" si="221"/>
        <v>15501.3</v>
      </c>
      <c r="H987" s="69">
        <f t="shared" si="221"/>
        <v>0</v>
      </c>
      <c r="I987" s="69">
        <f t="shared" si="214"/>
        <v>15501.3</v>
      </c>
      <c r="J987" s="69">
        <f t="shared" si="221"/>
        <v>0</v>
      </c>
      <c r="K987" s="85">
        <f t="shared" si="208"/>
        <v>15501.3</v>
      </c>
      <c r="L987" s="13">
        <f t="shared" si="221"/>
        <v>-1.2</v>
      </c>
      <c r="M987" s="85">
        <f t="shared" si="211"/>
        <v>15500.099999999999</v>
      </c>
      <c r="N987" s="13">
        <f t="shared" si="221"/>
        <v>0</v>
      </c>
      <c r="O987" s="85">
        <f t="shared" si="212"/>
        <v>15500.099999999999</v>
      </c>
      <c r="P987" s="13">
        <f t="shared" si="221"/>
        <v>0</v>
      </c>
      <c r="Q987" s="85">
        <f t="shared" si="207"/>
        <v>15500.099999999999</v>
      </c>
      <c r="R987" s="13">
        <f t="shared" si="221"/>
        <v>0</v>
      </c>
      <c r="S987" s="85">
        <f t="shared" si="205"/>
        <v>15500.099999999999</v>
      </c>
      <c r="T987" s="13">
        <f t="shared" si="221"/>
        <v>0</v>
      </c>
      <c r="U987" s="85">
        <f t="shared" si="210"/>
        <v>15500.099999999999</v>
      </c>
    </row>
    <row r="988" spans="1:21">
      <c r="A988" s="61" t="str">
        <f ca="1">IF(ISERROR(MATCH(F988,Код_КВР,0)),"",INDIRECT(ADDRESS(MATCH(F988,Код_КВР,0)+1,2,,,"КВР")))</f>
        <v>Субсидии бюджетным учреждениям</v>
      </c>
      <c r="B988" s="145">
        <v>808</v>
      </c>
      <c r="C988" s="8" t="s">
        <v>222</v>
      </c>
      <c r="D988" s="8" t="s">
        <v>213</v>
      </c>
      <c r="E988" s="145" t="s">
        <v>478</v>
      </c>
      <c r="F988" s="145">
        <v>610</v>
      </c>
      <c r="G988" s="69">
        <f t="shared" si="221"/>
        <v>15501.3</v>
      </c>
      <c r="H988" s="69">
        <f t="shared" si="221"/>
        <v>0</v>
      </c>
      <c r="I988" s="69">
        <f t="shared" si="214"/>
        <v>15501.3</v>
      </c>
      <c r="J988" s="69">
        <f t="shared" si="221"/>
        <v>0</v>
      </c>
      <c r="K988" s="85">
        <f t="shared" si="208"/>
        <v>15501.3</v>
      </c>
      <c r="L988" s="13">
        <f t="shared" si="221"/>
        <v>-1.2</v>
      </c>
      <c r="M988" s="85">
        <f t="shared" si="211"/>
        <v>15500.099999999999</v>
      </c>
      <c r="N988" s="13">
        <f t="shared" si="221"/>
        <v>0</v>
      </c>
      <c r="O988" s="85">
        <f t="shared" si="212"/>
        <v>15500.099999999999</v>
      </c>
      <c r="P988" s="13">
        <f t="shared" si="221"/>
        <v>0</v>
      </c>
      <c r="Q988" s="85">
        <f t="shared" si="207"/>
        <v>15500.099999999999</v>
      </c>
      <c r="R988" s="13">
        <f t="shared" si="221"/>
        <v>0</v>
      </c>
      <c r="S988" s="85">
        <f t="shared" ref="S988:S1067" si="222">Q988+R988</f>
        <v>15500.099999999999</v>
      </c>
      <c r="T988" s="13">
        <f t="shared" si="221"/>
        <v>0</v>
      </c>
      <c r="U988" s="85">
        <f t="shared" si="210"/>
        <v>15500.099999999999</v>
      </c>
    </row>
    <row r="989" spans="1:21" ht="49.5">
      <c r="A989" s="61" t="str">
        <f ca="1">IF(ISERROR(MATCH(F989,Код_КВР,0)),"",INDIRECT(ADDRESS(MATCH(F989,Код_КВР,0)+1,2,,,"КВР")))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89" s="145">
        <v>808</v>
      </c>
      <c r="C989" s="8" t="s">
        <v>222</v>
      </c>
      <c r="D989" s="8" t="s">
        <v>213</v>
      </c>
      <c r="E989" s="145" t="s">
        <v>478</v>
      </c>
      <c r="F989" s="145">
        <v>611</v>
      </c>
      <c r="G989" s="69">
        <v>15501.3</v>
      </c>
      <c r="H989" s="69"/>
      <c r="I989" s="69">
        <f t="shared" si="214"/>
        <v>15501.3</v>
      </c>
      <c r="J989" s="69"/>
      <c r="K989" s="85">
        <f t="shared" si="208"/>
        <v>15501.3</v>
      </c>
      <c r="L989" s="13">
        <v>-1.2</v>
      </c>
      <c r="M989" s="85">
        <f t="shared" si="211"/>
        <v>15500.099999999999</v>
      </c>
      <c r="N989" s="13"/>
      <c r="O989" s="85">
        <f t="shared" si="212"/>
        <v>15500.099999999999</v>
      </c>
      <c r="P989" s="13"/>
      <c r="Q989" s="85">
        <f t="shared" si="207"/>
        <v>15500.099999999999</v>
      </c>
      <c r="R989" s="13"/>
      <c r="S989" s="85">
        <f t="shared" si="222"/>
        <v>15500.099999999999</v>
      </c>
      <c r="T989" s="13"/>
      <c r="U989" s="85">
        <f t="shared" si="210"/>
        <v>15500.099999999999</v>
      </c>
    </row>
    <row r="990" spans="1:21">
      <c r="A990" s="61" t="str">
        <f ca="1">IF(ISERROR(MATCH(E990,Код_КЦСР,0)),"",INDIRECT(ADDRESS(MATCH(E990,Код_КЦСР,0)+1,2,,,"КЦСР")))</f>
        <v>Формирование и учет музейного фонда</v>
      </c>
      <c r="B990" s="145">
        <v>808</v>
      </c>
      <c r="C990" s="8" t="s">
        <v>222</v>
      </c>
      <c r="D990" s="8" t="s">
        <v>213</v>
      </c>
      <c r="E990" s="145" t="s">
        <v>480</v>
      </c>
      <c r="F990" s="145"/>
      <c r="G990" s="69">
        <f t="shared" ref="G990:T992" si="223">G991</f>
        <v>3771.9</v>
      </c>
      <c r="H990" s="69">
        <f t="shared" si="223"/>
        <v>0</v>
      </c>
      <c r="I990" s="69">
        <f t="shared" si="214"/>
        <v>3771.9</v>
      </c>
      <c r="J990" s="69">
        <f t="shared" si="223"/>
        <v>0</v>
      </c>
      <c r="K990" s="85">
        <f t="shared" si="208"/>
        <v>3771.9</v>
      </c>
      <c r="L990" s="13">
        <f t="shared" si="223"/>
        <v>-4</v>
      </c>
      <c r="M990" s="85">
        <f t="shared" si="211"/>
        <v>3767.9</v>
      </c>
      <c r="N990" s="13">
        <f t="shared" si="223"/>
        <v>0</v>
      </c>
      <c r="O990" s="85">
        <f t="shared" si="212"/>
        <v>3767.9</v>
      </c>
      <c r="P990" s="13">
        <f t="shared" si="223"/>
        <v>0</v>
      </c>
      <c r="Q990" s="85">
        <f t="shared" si="207"/>
        <v>3767.9</v>
      </c>
      <c r="R990" s="13">
        <f t="shared" si="223"/>
        <v>0</v>
      </c>
      <c r="S990" s="85">
        <f t="shared" si="222"/>
        <v>3767.9</v>
      </c>
      <c r="T990" s="13">
        <f t="shared" si="223"/>
        <v>0</v>
      </c>
      <c r="U990" s="85">
        <f t="shared" si="210"/>
        <v>3767.9</v>
      </c>
    </row>
    <row r="991" spans="1:21" ht="33">
      <c r="A991" s="61" t="str">
        <f ca="1">IF(ISERROR(MATCH(F991,Код_КВР,0)),"",INDIRECT(ADDRESS(MATCH(F991,Код_КВР,0)+1,2,,,"КВР")))</f>
        <v>Предоставление субсидий бюджетным, автономным учреждениям и иным некоммерческим организациям</v>
      </c>
      <c r="B991" s="145">
        <v>808</v>
      </c>
      <c r="C991" s="8" t="s">
        <v>222</v>
      </c>
      <c r="D991" s="8" t="s">
        <v>213</v>
      </c>
      <c r="E991" s="145" t="s">
        <v>480</v>
      </c>
      <c r="F991" s="145">
        <v>600</v>
      </c>
      <c r="G991" s="69">
        <f t="shared" si="223"/>
        <v>3771.9</v>
      </c>
      <c r="H991" s="69">
        <f t="shared" si="223"/>
        <v>0</v>
      </c>
      <c r="I991" s="69">
        <f t="shared" si="214"/>
        <v>3771.9</v>
      </c>
      <c r="J991" s="69">
        <f t="shared" si="223"/>
        <v>0</v>
      </c>
      <c r="K991" s="85">
        <f t="shared" si="208"/>
        <v>3771.9</v>
      </c>
      <c r="L991" s="13">
        <f t="shared" si="223"/>
        <v>-4</v>
      </c>
      <c r="M991" s="85">
        <f t="shared" si="211"/>
        <v>3767.9</v>
      </c>
      <c r="N991" s="13">
        <f t="shared" si="223"/>
        <v>0</v>
      </c>
      <c r="O991" s="85">
        <f t="shared" si="212"/>
        <v>3767.9</v>
      </c>
      <c r="P991" s="13">
        <f t="shared" si="223"/>
        <v>0</v>
      </c>
      <c r="Q991" s="85">
        <f t="shared" si="207"/>
        <v>3767.9</v>
      </c>
      <c r="R991" s="13">
        <f t="shared" si="223"/>
        <v>0</v>
      </c>
      <c r="S991" s="85">
        <f t="shared" si="222"/>
        <v>3767.9</v>
      </c>
      <c r="T991" s="13">
        <f t="shared" si="223"/>
        <v>0</v>
      </c>
      <c r="U991" s="85">
        <f t="shared" si="210"/>
        <v>3767.9</v>
      </c>
    </row>
    <row r="992" spans="1:21">
      <c r="A992" s="61" t="str">
        <f ca="1">IF(ISERROR(MATCH(F992,Код_КВР,0)),"",INDIRECT(ADDRESS(MATCH(F992,Код_КВР,0)+1,2,,,"КВР")))</f>
        <v>Субсидии бюджетным учреждениям</v>
      </c>
      <c r="B992" s="145">
        <v>808</v>
      </c>
      <c r="C992" s="8" t="s">
        <v>222</v>
      </c>
      <c r="D992" s="8" t="s">
        <v>213</v>
      </c>
      <c r="E992" s="145" t="s">
        <v>480</v>
      </c>
      <c r="F992" s="145">
        <v>610</v>
      </c>
      <c r="G992" s="69">
        <f t="shared" si="223"/>
        <v>3771.9</v>
      </c>
      <c r="H992" s="69">
        <f t="shared" si="223"/>
        <v>0</v>
      </c>
      <c r="I992" s="69">
        <f t="shared" si="214"/>
        <v>3771.9</v>
      </c>
      <c r="J992" s="69">
        <f t="shared" si="223"/>
        <v>0</v>
      </c>
      <c r="K992" s="85">
        <f t="shared" si="208"/>
        <v>3771.9</v>
      </c>
      <c r="L992" s="13">
        <f t="shared" si="223"/>
        <v>-4</v>
      </c>
      <c r="M992" s="85">
        <f t="shared" si="211"/>
        <v>3767.9</v>
      </c>
      <c r="N992" s="13">
        <f t="shared" si="223"/>
        <v>0</v>
      </c>
      <c r="O992" s="85">
        <f t="shared" si="212"/>
        <v>3767.9</v>
      </c>
      <c r="P992" s="13">
        <f t="shared" si="223"/>
        <v>0</v>
      </c>
      <c r="Q992" s="85">
        <f t="shared" si="207"/>
        <v>3767.9</v>
      </c>
      <c r="R992" s="13">
        <f t="shared" si="223"/>
        <v>0</v>
      </c>
      <c r="S992" s="85">
        <f t="shared" si="222"/>
        <v>3767.9</v>
      </c>
      <c r="T992" s="13">
        <f t="shared" si="223"/>
        <v>0</v>
      </c>
      <c r="U992" s="85">
        <f t="shared" si="210"/>
        <v>3767.9</v>
      </c>
    </row>
    <row r="993" spans="1:21" ht="49.5">
      <c r="A993" s="61" t="str">
        <f ca="1">IF(ISERROR(MATCH(F993,Код_КВР,0)),"",INDIRECT(ADDRESS(MATCH(F993,Код_КВР,0)+1,2,,,"КВР")))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93" s="145">
        <v>808</v>
      </c>
      <c r="C993" s="8" t="s">
        <v>222</v>
      </c>
      <c r="D993" s="8" t="s">
        <v>213</v>
      </c>
      <c r="E993" s="145" t="s">
        <v>480</v>
      </c>
      <c r="F993" s="145">
        <v>611</v>
      </c>
      <c r="G993" s="69">
        <v>3771.9</v>
      </c>
      <c r="H993" s="69"/>
      <c r="I993" s="69">
        <f t="shared" si="214"/>
        <v>3771.9</v>
      </c>
      <c r="J993" s="69"/>
      <c r="K993" s="85">
        <f t="shared" si="208"/>
        <v>3771.9</v>
      </c>
      <c r="L993" s="13">
        <v>-4</v>
      </c>
      <c r="M993" s="85">
        <f t="shared" si="211"/>
        <v>3767.9</v>
      </c>
      <c r="N993" s="13"/>
      <c r="O993" s="85">
        <f t="shared" si="212"/>
        <v>3767.9</v>
      </c>
      <c r="P993" s="13"/>
      <c r="Q993" s="85">
        <f t="shared" si="207"/>
        <v>3767.9</v>
      </c>
      <c r="R993" s="13"/>
      <c r="S993" s="85">
        <f t="shared" si="222"/>
        <v>3767.9</v>
      </c>
      <c r="T993" s="13"/>
      <c r="U993" s="85">
        <f t="shared" si="210"/>
        <v>3767.9</v>
      </c>
    </row>
    <row r="994" spans="1:21" ht="49.5">
      <c r="A994" s="61" t="str">
        <f ca="1">IF(ISERROR(MATCH(E994,Код_КЦСР,0)),"",INDIRECT(ADDRESS(MATCH(E994,Код_КЦСР,0)+1,2,,,"КЦСР")))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994" s="145">
        <v>808</v>
      </c>
      <c r="C994" s="8" t="s">
        <v>222</v>
      </c>
      <c r="D994" s="8" t="s">
        <v>213</v>
      </c>
      <c r="E994" s="145" t="s">
        <v>670</v>
      </c>
      <c r="F994" s="145"/>
      <c r="G994" s="69"/>
      <c r="H994" s="69"/>
      <c r="I994" s="69"/>
      <c r="J994" s="69"/>
      <c r="K994" s="85"/>
      <c r="L994" s="13"/>
      <c r="M994" s="85"/>
      <c r="N994" s="13"/>
      <c r="O994" s="85"/>
      <c r="P994" s="13"/>
      <c r="Q994" s="85"/>
      <c r="R994" s="13">
        <f>R995</f>
        <v>9713.7999999999993</v>
      </c>
      <c r="S994" s="85">
        <f t="shared" si="222"/>
        <v>9713.7999999999993</v>
      </c>
      <c r="T994" s="13">
        <f>T995</f>
        <v>-680</v>
      </c>
      <c r="U994" s="85">
        <f t="shared" si="210"/>
        <v>9033.7999999999993</v>
      </c>
    </row>
    <row r="995" spans="1:21" ht="33">
      <c r="A995" s="61" t="str">
        <f ca="1">IF(ISERROR(MATCH(F995,Код_КВР,0)),"",INDIRECT(ADDRESS(MATCH(F995,Код_КВР,0)+1,2,,,"КВР")))</f>
        <v>Предоставление субсидий бюджетным, автономным учреждениям и иным некоммерческим организациям</v>
      </c>
      <c r="B995" s="145">
        <v>808</v>
      </c>
      <c r="C995" s="8" t="s">
        <v>222</v>
      </c>
      <c r="D995" s="8" t="s">
        <v>213</v>
      </c>
      <c r="E995" s="145" t="s">
        <v>670</v>
      </c>
      <c r="F995" s="145">
        <v>600</v>
      </c>
      <c r="G995" s="69"/>
      <c r="H995" s="69"/>
      <c r="I995" s="69"/>
      <c r="J995" s="69"/>
      <c r="K995" s="85"/>
      <c r="L995" s="13"/>
      <c r="M995" s="85"/>
      <c r="N995" s="13"/>
      <c r="O995" s="85"/>
      <c r="P995" s="13"/>
      <c r="Q995" s="85"/>
      <c r="R995" s="13">
        <f>R996</f>
        <v>9713.7999999999993</v>
      </c>
      <c r="S995" s="85">
        <f t="shared" si="222"/>
        <v>9713.7999999999993</v>
      </c>
      <c r="T995" s="13">
        <f>T996</f>
        <v>-680</v>
      </c>
      <c r="U995" s="85">
        <f t="shared" si="210"/>
        <v>9033.7999999999993</v>
      </c>
    </row>
    <row r="996" spans="1:21">
      <c r="A996" s="61" t="str">
        <f ca="1">IF(ISERROR(MATCH(F996,Код_КВР,0)),"",INDIRECT(ADDRESS(MATCH(F996,Код_КВР,0)+1,2,,,"КВР")))</f>
        <v>Субсидии бюджетным учреждениям</v>
      </c>
      <c r="B996" s="145">
        <v>808</v>
      </c>
      <c r="C996" s="8" t="s">
        <v>222</v>
      </c>
      <c r="D996" s="8" t="s">
        <v>213</v>
      </c>
      <c r="E996" s="145" t="s">
        <v>670</v>
      </c>
      <c r="F996" s="145">
        <v>610</v>
      </c>
      <c r="G996" s="69"/>
      <c r="H996" s="69"/>
      <c r="I996" s="69"/>
      <c r="J996" s="69"/>
      <c r="K996" s="85"/>
      <c r="L996" s="13"/>
      <c r="M996" s="85"/>
      <c r="N996" s="13"/>
      <c r="O996" s="85"/>
      <c r="P996" s="13"/>
      <c r="Q996" s="85"/>
      <c r="R996" s="13">
        <f>R997</f>
        <v>9713.7999999999993</v>
      </c>
      <c r="S996" s="85">
        <f t="shared" si="222"/>
        <v>9713.7999999999993</v>
      </c>
      <c r="T996" s="13">
        <f>T997</f>
        <v>-680</v>
      </c>
      <c r="U996" s="85">
        <f t="shared" si="210"/>
        <v>9033.7999999999993</v>
      </c>
    </row>
    <row r="997" spans="1:21" ht="49.5">
      <c r="A997" s="61" t="str">
        <f ca="1">IF(ISERROR(MATCH(F997,Код_КВР,0)),"",INDIRECT(ADDRESS(MATCH(F997,Код_КВР,0)+1,2,,,"КВР")))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997" s="145">
        <v>808</v>
      </c>
      <c r="C997" s="8" t="s">
        <v>222</v>
      </c>
      <c r="D997" s="8" t="s">
        <v>213</v>
      </c>
      <c r="E997" s="145" t="s">
        <v>670</v>
      </c>
      <c r="F997" s="145">
        <v>611</v>
      </c>
      <c r="G997" s="69"/>
      <c r="H997" s="69"/>
      <c r="I997" s="69"/>
      <c r="J997" s="69"/>
      <c r="K997" s="85"/>
      <c r="L997" s="13"/>
      <c r="M997" s="85"/>
      <c r="N997" s="13"/>
      <c r="O997" s="85"/>
      <c r="P997" s="13"/>
      <c r="Q997" s="85"/>
      <c r="R997" s="13">
        <v>9713.7999999999993</v>
      </c>
      <c r="S997" s="85">
        <f t="shared" si="222"/>
        <v>9713.7999999999993</v>
      </c>
      <c r="T997" s="13">
        <v>-680</v>
      </c>
      <c r="U997" s="85">
        <f t="shared" si="210"/>
        <v>9033.7999999999993</v>
      </c>
    </row>
    <row r="998" spans="1:21">
      <c r="A998" s="61" t="str">
        <f ca="1">IF(ISERROR(MATCH(E998,Код_КЦСР,0)),"",INDIRECT(ADDRESS(MATCH(E998,Код_КЦСР,0)+1,2,,,"КЦСР")))</f>
        <v>Развитие библиотечного дела</v>
      </c>
      <c r="B998" s="145">
        <v>808</v>
      </c>
      <c r="C998" s="8" t="s">
        <v>222</v>
      </c>
      <c r="D998" s="8" t="s">
        <v>213</v>
      </c>
      <c r="E998" s="145" t="s">
        <v>482</v>
      </c>
      <c r="F998" s="145"/>
      <c r="G998" s="69">
        <f>G999+G1003+G1007+G1011</f>
        <v>38045.699999999997</v>
      </c>
      <c r="H998" s="69">
        <f>H999+H1003+H1007+H1011</f>
        <v>0</v>
      </c>
      <c r="I998" s="69">
        <f t="shared" si="214"/>
        <v>38045.699999999997</v>
      </c>
      <c r="J998" s="69">
        <f>J999+J1003+J1007+J1011</f>
        <v>0</v>
      </c>
      <c r="K998" s="85">
        <f t="shared" si="208"/>
        <v>38045.699999999997</v>
      </c>
      <c r="L998" s="13">
        <f>L999+L1003+L1007+L1011</f>
        <v>-23.099999999999998</v>
      </c>
      <c r="M998" s="85">
        <f t="shared" si="211"/>
        <v>38022.6</v>
      </c>
      <c r="N998" s="13">
        <f>N999+N1003+N1007+N1011</f>
        <v>0</v>
      </c>
      <c r="O998" s="85">
        <f t="shared" si="212"/>
        <v>38022.6</v>
      </c>
      <c r="P998" s="13">
        <f>P999+P1003+P1007+P1011</f>
        <v>0</v>
      </c>
      <c r="Q998" s="85">
        <f t="shared" ref="Q998:Q1073" si="224">O998+P998</f>
        <v>38022.6</v>
      </c>
      <c r="R998" s="13">
        <f>R999+R1003+R1007+R1011+R1015</f>
        <v>13039.6</v>
      </c>
      <c r="S998" s="85">
        <f t="shared" si="222"/>
        <v>51062.2</v>
      </c>
      <c r="T998" s="13">
        <f>T999+T1003+T1007+T1011+T1015</f>
        <v>-1043.2</v>
      </c>
      <c r="U998" s="85">
        <f t="shared" si="210"/>
        <v>50019</v>
      </c>
    </row>
    <row r="999" spans="1:21">
      <c r="A999" s="61" t="str">
        <f ca="1">IF(ISERROR(MATCH(E999,Код_КЦСР,0)),"",INDIRECT(ADDRESS(MATCH(E999,Код_КЦСР,0)+1,2,,,"КЦСР")))</f>
        <v>Оказание муниципальных услуг</v>
      </c>
      <c r="B999" s="145">
        <v>808</v>
      </c>
      <c r="C999" s="8" t="s">
        <v>222</v>
      </c>
      <c r="D999" s="8" t="s">
        <v>213</v>
      </c>
      <c r="E999" s="145" t="s">
        <v>485</v>
      </c>
      <c r="F999" s="145"/>
      <c r="G999" s="69">
        <f t="shared" ref="G999:T1001" si="225">G1000</f>
        <v>24363.1</v>
      </c>
      <c r="H999" s="69">
        <f t="shared" si="225"/>
        <v>0</v>
      </c>
      <c r="I999" s="69">
        <f t="shared" si="214"/>
        <v>24363.1</v>
      </c>
      <c r="J999" s="69">
        <f t="shared" si="225"/>
        <v>0</v>
      </c>
      <c r="K999" s="85">
        <f t="shared" si="208"/>
        <v>24363.1</v>
      </c>
      <c r="L999" s="13">
        <f t="shared" si="225"/>
        <v>-19.2</v>
      </c>
      <c r="M999" s="85">
        <f t="shared" si="211"/>
        <v>24343.899999999998</v>
      </c>
      <c r="N999" s="13">
        <f t="shared" si="225"/>
        <v>0</v>
      </c>
      <c r="O999" s="85">
        <f t="shared" si="212"/>
        <v>24343.899999999998</v>
      </c>
      <c r="P999" s="13">
        <f t="shared" si="225"/>
        <v>0</v>
      </c>
      <c r="Q999" s="85">
        <f t="shared" si="224"/>
        <v>24343.899999999998</v>
      </c>
      <c r="R999" s="13">
        <f t="shared" si="225"/>
        <v>0</v>
      </c>
      <c r="S999" s="85">
        <f t="shared" si="222"/>
        <v>24343.899999999998</v>
      </c>
      <c r="T999" s="13">
        <f t="shared" si="225"/>
        <v>0</v>
      </c>
      <c r="U999" s="85">
        <f t="shared" ref="U999:U1062" si="226">S999+T999</f>
        <v>24343.899999999998</v>
      </c>
    </row>
    <row r="1000" spans="1:21" ht="33">
      <c r="A1000" s="61" t="str">
        <f ca="1">IF(ISERROR(MATCH(F1000,Код_КВР,0)),"",INDIRECT(ADDRESS(MATCH(F1000,Код_КВР,0)+1,2,,,"КВР")))</f>
        <v>Предоставление субсидий бюджетным, автономным учреждениям и иным некоммерческим организациям</v>
      </c>
      <c r="B1000" s="145">
        <v>808</v>
      </c>
      <c r="C1000" s="8" t="s">
        <v>222</v>
      </c>
      <c r="D1000" s="8" t="s">
        <v>213</v>
      </c>
      <c r="E1000" s="145" t="s">
        <v>485</v>
      </c>
      <c r="F1000" s="145">
        <v>600</v>
      </c>
      <c r="G1000" s="69">
        <f t="shared" si="225"/>
        <v>24363.1</v>
      </c>
      <c r="H1000" s="69">
        <f t="shared" si="225"/>
        <v>0</v>
      </c>
      <c r="I1000" s="69">
        <f t="shared" si="214"/>
        <v>24363.1</v>
      </c>
      <c r="J1000" s="69">
        <f t="shared" si="225"/>
        <v>0</v>
      </c>
      <c r="K1000" s="85">
        <f t="shared" si="208"/>
        <v>24363.1</v>
      </c>
      <c r="L1000" s="13">
        <f t="shared" si="225"/>
        <v>-19.2</v>
      </c>
      <c r="M1000" s="85">
        <f t="shared" si="211"/>
        <v>24343.899999999998</v>
      </c>
      <c r="N1000" s="13">
        <f t="shared" si="225"/>
        <v>0</v>
      </c>
      <c r="O1000" s="85">
        <f t="shared" si="212"/>
        <v>24343.899999999998</v>
      </c>
      <c r="P1000" s="13">
        <f t="shared" si="225"/>
        <v>0</v>
      </c>
      <c r="Q1000" s="85">
        <f t="shared" si="224"/>
        <v>24343.899999999998</v>
      </c>
      <c r="R1000" s="13">
        <f t="shared" si="225"/>
        <v>0</v>
      </c>
      <c r="S1000" s="85">
        <f t="shared" si="222"/>
        <v>24343.899999999998</v>
      </c>
      <c r="T1000" s="13">
        <f t="shared" si="225"/>
        <v>0</v>
      </c>
      <c r="U1000" s="85">
        <f t="shared" si="226"/>
        <v>24343.899999999998</v>
      </c>
    </row>
    <row r="1001" spans="1:21">
      <c r="A1001" s="61" t="str">
        <f ca="1">IF(ISERROR(MATCH(F1001,Код_КВР,0)),"",INDIRECT(ADDRESS(MATCH(F1001,Код_КВР,0)+1,2,,,"КВР")))</f>
        <v>Субсидии бюджетным учреждениям</v>
      </c>
      <c r="B1001" s="145">
        <v>808</v>
      </c>
      <c r="C1001" s="8" t="s">
        <v>222</v>
      </c>
      <c r="D1001" s="8" t="s">
        <v>213</v>
      </c>
      <c r="E1001" s="145" t="s">
        <v>485</v>
      </c>
      <c r="F1001" s="145">
        <v>610</v>
      </c>
      <c r="G1001" s="69">
        <f t="shared" si="225"/>
        <v>24363.1</v>
      </c>
      <c r="H1001" s="69">
        <f t="shared" si="225"/>
        <v>0</v>
      </c>
      <c r="I1001" s="69">
        <f t="shared" si="214"/>
        <v>24363.1</v>
      </c>
      <c r="J1001" s="69">
        <f t="shared" si="225"/>
        <v>0</v>
      </c>
      <c r="K1001" s="85">
        <f t="shared" si="208"/>
        <v>24363.1</v>
      </c>
      <c r="L1001" s="13">
        <f t="shared" si="225"/>
        <v>-19.2</v>
      </c>
      <c r="M1001" s="85">
        <f t="shared" si="211"/>
        <v>24343.899999999998</v>
      </c>
      <c r="N1001" s="13">
        <f t="shared" si="225"/>
        <v>0</v>
      </c>
      <c r="O1001" s="85">
        <f t="shared" si="212"/>
        <v>24343.899999999998</v>
      </c>
      <c r="P1001" s="13">
        <f t="shared" si="225"/>
        <v>0</v>
      </c>
      <c r="Q1001" s="85">
        <f t="shared" si="224"/>
        <v>24343.899999999998</v>
      </c>
      <c r="R1001" s="13">
        <f t="shared" si="225"/>
        <v>0</v>
      </c>
      <c r="S1001" s="85">
        <f t="shared" si="222"/>
        <v>24343.899999999998</v>
      </c>
      <c r="T1001" s="13">
        <f t="shared" si="225"/>
        <v>0</v>
      </c>
      <c r="U1001" s="85">
        <f t="shared" si="226"/>
        <v>24343.899999999998</v>
      </c>
    </row>
    <row r="1002" spans="1:21" ht="49.5">
      <c r="A1002" s="61" t="str">
        <f ca="1">IF(ISERROR(MATCH(F1002,Код_КВР,0)),"",INDIRECT(ADDRESS(MATCH(F1002,Код_КВР,0)+1,2,,,"КВР")))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02" s="145">
        <v>808</v>
      </c>
      <c r="C1002" s="8" t="s">
        <v>222</v>
      </c>
      <c r="D1002" s="8" t="s">
        <v>213</v>
      </c>
      <c r="E1002" s="145" t="s">
        <v>485</v>
      </c>
      <c r="F1002" s="145">
        <v>611</v>
      </c>
      <c r="G1002" s="69">
        <v>24363.1</v>
      </c>
      <c r="H1002" s="69"/>
      <c r="I1002" s="69">
        <f t="shared" si="214"/>
        <v>24363.1</v>
      </c>
      <c r="J1002" s="69"/>
      <c r="K1002" s="85">
        <f t="shared" si="208"/>
        <v>24363.1</v>
      </c>
      <c r="L1002" s="13">
        <v>-19.2</v>
      </c>
      <c r="M1002" s="85">
        <f t="shared" si="211"/>
        <v>24343.899999999998</v>
      </c>
      <c r="N1002" s="13"/>
      <c r="O1002" s="85">
        <f t="shared" si="212"/>
        <v>24343.899999999998</v>
      </c>
      <c r="P1002" s="13"/>
      <c r="Q1002" s="85">
        <f t="shared" si="224"/>
        <v>24343.899999999998</v>
      </c>
      <c r="R1002" s="13"/>
      <c r="S1002" s="85">
        <f t="shared" si="222"/>
        <v>24343.899999999998</v>
      </c>
      <c r="T1002" s="13"/>
      <c r="U1002" s="85">
        <f t="shared" si="226"/>
        <v>24343.899999999998</v>
      </c>
    </row>
    <row r="1003" spans="1:21">
      <c r="A1003" s="61" t="str">
        <f ca="1">IF(ISERROR(MATCH(E1003,Код_КЦСР,0)),"",INDIRECT(ADDRESS(MATCH(E1003,Код_КЦСР,0)+1,2,,,"КЦСР")))</f>
        <v>Формирование и учет фондов библиотеки</v>
      </c>
      <c r="B1003" s="145">
        <v>808</v>
      </c>
      <c r="C1003" s="8" t="s">
        <v>222</v>
      </c>
      <c r="D1003" s="8" t="s">
        <v>213</v>
      </c>
      <c r="E1003" s="145" t="s">
        <v>487</v>
      </c>
      <c r="F1003" s="145"/>
      <c r="G1003" s="69">
        <f t="shared" ref="G1003:T1005" si="227">G1004</f>
        <v>5799.2</v>
      </c>
      <c r="H1003" s="69">
        <f t="shared" si="227"/>
        <v>0</v>
      </c>
      <c r="I1003" s="69">
        <f t="shared" si="214"/>
        <v>5799.2</v>
      </c>
      <c r="J1003" s="69">
        <f t="shared" si="227"/>
        <v>0</v>
      </c>
      <c r="K1003" s="85">
        <f t="shared" si="208"/>
        <v>5799.2</v>
      </c>
      <c r="L1003" s="13">
        <f t="shared" si="227"/>
        <v>-1.7</v>
      </c>
      <c r="M1003" s="85">
        <f t="shared" si="211"/>
        <v>5797.5</v>
      </c>
      <c r="N1003" s="13">
        <f t="shared" si="227"/>
        <v>0</v>
      </c>
      <c r="O1003" s="85">
        <f t="shared" si="212"/>
        <v>5797.5</v>
      </c>
      <c r="P1003" s="13">
        <f t="shared" si="227"/>
        <v>0</v>
      </c>
      <c r="Q1003" s="85">
        <f t="shared" si="224"/>
        <v>5797.5</v>
      </c>
      <c r="R1003" s="13">
        <f t="shared" si="227"/>
        <v>0</v>
      </c>
      <c r="S1003" s="85">
        <f t="shared" si="222"/>
        <v>5797.5</v>
      </c>
      <c r="T1003" s="13">
        <f t="shared" si="227"/>
        <v>0</v>
      </c>
      <c r="U1003" s="85">
        <f t="shared" si="226"/>
        <v>5797.5</v>
      </c>
    </row>
    <row r="1004" spans="1:21" ht="33">
      <c r="A1004" s="61" t="str">
        <f ca="1">IF(ISERROR(MATCH(F1004,Код_КВР,0)),"",INDIRECT(ADDRESS(MATCH(F1004,Код_КВР,0)+1,2,,,"КВР")))</f>
        <v>Предоставление субсидий бюджетным, автономным учреждениям и иным некоммерческим организациям</v>
      </c>
      <c r="B1004" s="145">
        <v>808</v>
      </c>
      <c r="C1004" s="8" t="s">
        <v>222</v>
      </c>
      <c r="D1004" s="8" t="s">
        <v>213</v>
      </c>
      <c r="E1004" s="145" t="s">
        <v>487</v>
      </c>
      <c r="F1004" s="145">
        <v>600</v>
      </c>
      <c r="G1004" s="69">
        <f t="shared" si="227"/>
        <v>5799.2</v>
      </c>
      <c r="H1004" s="69">
        <f t="shared" si="227"/>
        <v>0</v>
      </c>
      <c r="I1004" s="69">
        <f t="shared" si="214"/>
        <v>5799.2</v>
      </c>
      <c r="J1004" s="69">
        <f t="shared" si="227"/>
        <v>0</v>
      </c>
      <c r="K1004" s="85">
        <f t="shared" si="208"/>
        <v>5799.2</v>
      </c>
      <c r="L1004" s="13">
        <f t="shared" si="227"/>
        <v>-1.7</v>
      </c>
      <c r="M1004" s="85">
        <f t="shared" si="211"/>
        <v>5797.5</v>
      </c>
      <c r="N1004" s="13">
        <f t="shared" si="227"/>
        <v>0</v>
      </c>
      <c r="O1004" s="85">
        <f t="shared" si="212"/>
        <v>5797.5</v>
      </c>
      <c r="P1004" s="13">
        <f t="shared" si="227"/>
        <v>0</v>
      </c>
      <c r="Q1004" s="85">
        <f t="shared" si="224"/>
        <v>5797.5</v>
      </c>
      <c r="R1004" s="13">
        <f t="shared" si="227"/>
        <v>0</v>
      </c>
      <c r="S1004" s="85">
        <f t="shared" si="222"/>
        <v>5797.5</v>
      </c>
      <c r="T1004" s="13">
        <f t="shared" si="227"/>
        <v>0</v>
      </c>
      <c r="U1004" s="85">
        <f t="shared" si="226"/>
        <v>5797.5</v>
      </c>
    </row>
    <row r="1005" spans="1:21">
      <c r="A1005" s="61" t="str">
        <f ca="1">IF(ISERROR(MATCH(F1005,Код_КВР,0)),"",INDIRECT(ADDRESS(MATCH(F1005,Код_КВР,0)+1,2,,,"КВР")))</f>
        <v>Субсидии бюджетным учреждениям</v>
      </c>
      <c r="B1005" s="145">
        <v>808</v>
      </c>
      <c r="C1005" s="8" t="s">
        <v>222</v>
      </c>
      <c r="D1005" s="8" t="s">
        <v>213</v>
      </c>
      <c r="E1005" s="145" t="s">
        <v>487</v>
      </c>
      <c r="F1005" s="145">
        <v>610</v>
      </c>
      <c r="G1005" s="69">
        <f t="shared" si="227"/>
        <v>5799.2</v>
      </c>
      <c r="H1005" s="69">
        <f t="shared" si="227"/>
        <v>0</v>
      </c>
      <c r="I1005" s="69">
        <f t="shared" si="214"/>
        <v>5799.2</v>
      </c>
      <c r="J1005" s="69">
        <f t="shared" si="227"/>
        <v>0</v>
      </c>
      <c r="K1005" s="85">
        <f t="shared" si="208"/>
        <v>5799.2</v>
      </c>
      <c r="L1005" s="13">
        <f t="shared" si="227"/>
        <v>-1.7</v>
      </c>
      <c r="M1005" s="85">
        <f t="shared" si="211"/>
        <v>5797.5</v>
      </c>
      <c r="N1005" s="13">
        <f t="shared" si="227"/>
        <v>0</v>
      </c>
      <c r="O1005" s="85">
        <f t="shared" si="212"/>
        <v>5797.5</v>
      </c>
      <c r="P1005" s="13">
        <f t="shared" si="227"/>
        <v>0</v>
      </c>
      <c r="Q1005" s="85">
        <f t="shared" si="224"/>
        <v>5797.5</v>
      </c>
      <c r="R1005" s="13">
        <f t="shared" si="227"/>
        <v>0</v>
      </c>
      <c r="S1005" s="85">
        <f t="shared" si="222"/>
        <v>5797.5</v>
      </c>
      <c r="T1005" s="13">
        <f t="shared" si="227"/>
        <v>0</v>
      </c>
      <c r="U1005" s="85">
        <f t="shared" si="226"/>
        <v>5797.5</v>
      </c>
    </row>
    <row r="1006" spans="1:21" ht="49.5">
      <c r="A1006" s="61" t="str">
        <f ca="1">IF(ISERROR(MATCH(F1006,Код_КВР,0)),"",INDIRECT(ADDRESS(MATCH(F1006,Код_КВР,0)+1,2,,,"КВР")))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06" s="145">
        <v>808</v>
      </c>
      <c r="C1006" s="8" t="s">
        <v>222</v>
      </c>
      <c r="D1006" s="8" t="s">
        <v>213</v>
      </c>
      <c r="E1006" s="145" t="s">
        <v>487</v>
      </c>
      <c r="F1006" s="145">
        <v>611</v>
      </c>
      <c r="G1006" s="69">
        <v>5799.2</v>
      </c>
      <c r="H1006" s="69"/>
      <c r="I1006" s="69">
        <f t="shared" si="214"/>
        <v>5799.2</v>
      </c>
      <c r="J1006" s="69"/>
      <c r="K1006" s="85">
        <f t="shared" si="208"/>
        <v>5799.2</v>
      </c>
      <c r="L1006" s="13">
        <v>-1.7</v>
      </c>
      <c r="M1006" s="85">
        <f t="shared" si="211"/>
        <v>5797.5</v>
      </c>
      <c r="N1006" s="13"/>
      <c r="O1006" s="85">
        <f t="shared" si="212"/>
        <v>5797.5</v>
      </c>
      <c r="P1006" s="13"/>
      <c r="Q1006" s="85">
        <f t="shared" si="224"/>
        <v>5797.5</v>
      </c>
      <c r="R1006" s="13"/>
      <c r="S1006" s="85">
        <f t="shared" si="222"/>
        <v>5797.5</v>
      </c>
      <c r="T1006" s="13"/>
      <c r="U1006" s="85">
        <f t="shared" si="226"/>
        <v>5797.5</v>
      </c>
    </row>
    <row r="1007" spans="1:21">
      <c r="A1007" s="61" t="str">
        <f ca="1">IF(ISERROR(MATCH(E1007,Код_КЦСР,0)),"",INDIRECT(ADDRESS(MATCH(E1007,Код_КЦСР,0)+1,2,,,"КЦСР")))</f>
        <v>Обеспечение физической сохранности  и безопасности фонда библиотеки</v>
      </c>
      <c r="B1007" s="145">
        <v>808</v>
      </c>
      <c r="C1007" s="8" t="s">
        <v>222</v>
      </c>
      <c r="D1007" s="8" t="s">
        <v>213</v>
      </c>
      <c r="E1007" s="145" t="s">
        <v>489</v>
      </c>
      <c r="F1007" s="145"/>
      <c r="G1007" s="69">
        <f t="shared" ref="G1007:T1009" si="228">G1008</f>
        <v>2971.3</v>
      </c>
      <c r="H1007" s="69">
        <f t="shared" si="228"/>
        <v>0</v>
      </c>
      <c r="I1007" s="69">
        <f t="shared" si="214"/>
        <v>2971.3</v>
      </c>
      <c r="J1007" s="69">
        <f t="shared" si="228"/>
        <v>0</v>
      </c>
      <c r="K1007" s="85">
        <f t="shared" si="208"/>
        <v>2971.3</v>
      </c>
      <c r="L1007" s="13">
        <f t="shared" si="228"/>
        <v>-1</v>
      </c>
      <c r="M1007" s="85">
        <f t="shared" si="211"/>
        <v>2970.3</v>
      </c>
      <c r="N1007" s="13">
        <f t="shared" si="228"/>
        <v>0</v>
      </c>
      <c r="O1007" s="85">
        <f t="shared" si="212"/>
        <v>2970.3</v>
      </c>
      <c r="P1007" s="13">
        <f t="shared" si="228"/>
        <v>0</v>
      </c>
      <c r="Q1007" s="85">
        <f t="shared" si="224"/>
        <v>2970.3</v>
      </c>
      <c r="R1007" s="13">
        <f t="shared" si="228"/>
        <v>0</v>
      </c>
      <c r="S1007" s="85">
        <f t="shared" si="222"/>
        <v>2970.3</v>
      </c>
      <c r="T1007" s="13">
        <f t="shared" si="228"/>
        <v>0</v>
      </c>
      <c r="U1007" s="85">
        <f t="shared" si="226"/>
        <v>2970.3</v>
      </c>
    </row>
    <row r="1008" spans="1:21" ht="33">
      <c r="A1008" s="61" t="str">
        <f ca="1">IF(ISERROR(MATCH(F1008,Код_КВР,0)),"",INDIRECT(ADDRESS(MATCH(F1008,Код_КВР,0)+1,2,,,"КВР")))</f>
        <v>Предоставление субсидий бюджетным, автономным учреждениям и иным некоммерческим организациям</v>
      </c>
      <c r="B1008" s="145">
        <v>808</v>
      </c>
      <c r="C1008" s="8" t="s">
        <v>222</v>
      </c>
      <c r="D1008" s="8" t="s">
        <v>213</v>
      </c>
      <c r="E1008" s="145" t="s">
        <v>489</v>
      </c>
      <c r="F1008" s="145">
        <v>600</v>
      </c>
      <c r="G1008" s="69">
        <f t="shared" si="228"/>
        <v>2971.3</v>
      </c>
      <c r="H1008" s="69">
        <f t="shared" si="228"/>
        <v>0</v>
      </c>
      <c r="I1008" s="69">
        <f t="shared" si="214"/>
        <v>2971.3</v>
      </c>
      <c r="J1008" s="69">
        <f t="shared" si="228"/>
        <v>0</v>
      </c>
      <c r="K1008" s="85">
        <f t="shared" si="208"/>
        <v>2971.3</v>
      </c>
      <c r="L1008" s="13">
        <f t="shared" si="228"/>
        <v>-1</v>
      </c>
      <c r="M1008" s="85">
        <f t="shared" si="211"/>
        <v>2970.3</v>
      </c>
      <c r="N1008" s="13">
        <f t="shared" si="228"/>
        <v>0</v>
      </c>
      <c r="O1008" s="85">
        <f t="shared" si="212"/>
        <v>2970.3</v>
      </c>
      <c r="P1008" s="13">
        <f t="shared" si="228"/>
        <v>0</v>
      </c>
      <c r="Q1008" s="85">
        <f t="shared" si="224"/>
        <v>2970.3</v>
      </c>
      <c r="R1008" s="13">
        <f t="shared" si="228"/>
        <v>0</v>
      </c>
      <c r="S1008" s="85">
        <f t="shared" si="222"/>
        <v>2970.3</v>
      </c>
      <c r="T1008" s="13">
        <f t="shared" si="228"/>
        <v>0</v>
      </c>
      <c r="U1008" s="85">
        <f t="shared" si="226"/>
        <v>2970.3</v>
      </c>
    </row>
    <row r="1009" spans="1:21">
      <c r="A1009" s="61" t="str">
        <f ca="1">IF(ISERROR(MATCH(F1009,Код_КВР,0)),"",INDIRECT(ADDRESS(MATCH(F1009,Код_КВР,0)+1,2,,,"КВР")))</f>
        <v>Субсидии бюджетным учреждениям</v>
      </c>
      <c r="B1009" s="145">
        <v>808</v>
      </c>
      <c r="C1009" s="8" t="s">
        <v>222</v>
      </c>
      <c r="D1009" s="8" t="s">
        <v>213</v>
      </c>
      <c r="E1009" s="145" t="s">
        <v>489</v>
      </c>
      <c r="F1009" s="145">
        <v>610</v>
      </c>
      <c r="G1009" s="69">
        <f t="shared" si="228"/>
        <v>2971.3</v>
      </c>
      <c r="H1009" s="69">
        <f t="shared" si="228"/>
        <v>0</v>
      </c>
      <c r="I1009" s="69">
        <f t="shared" si="214"/>
        <v>2971.3</v>
      </c>
      <c r="J1009" s="69">
        <f t="shared" si="228"/>
        <v>0</v>
      </c>
      <c r="K1009" s="85">
        <f t="shared" si="208"/>
        <v>2971.3</v>
      </c>
      <c r="L1009" s="13">
        <f t="shared" si="228"/>
        <v>-1</v>
      </c>
      <c r="M1009" s="85">
        <f t="shared" si="211"/>
        <v>2970.3</v>
      </c>
      <c r="N1009" s="13">
        <f t="shared" si="228"/>
        <v>0</v>
      </c>
      <c r="O1009" s="85">
        <f t="shared" si="212"/>
        <v>2970.3</v>
      </c>
      <c r="P1009" s="13">
        <f t="shared" si="228"/>
        <v>0</v>
      </c>
      <c r="Q1009" s="85">
        <f t="shared" si="224"/>
        <v>2970.3</v>
      </c>
      <c r="R1009" s="13">
        <f t="shared" si="228"/>
        <v>0</v>
      </c>
      <c r="S1009" s="85">
        <f t="shared" si="222"/>
        <v>2970.3</v>
      </c>
      <c r="T1009" s="13">
        <f t="shared" si="228"/>
        <v>0</v>
      </c>
      <c r="U1009" s="85">
        <f t="shared" si="226"/>
        <v>2970.3</v>
      </c>
    </row>
    <row r="1010" spans="1:21" ht="49.5">
      <c r="A1010" s="61" t="str">
        <f ca="1">IF(ISERROR(MATCH(F1010,Код_КВР,0)),"",INDIRECT(ADDRESS(MATCH(F1010,Код_КВР,0)+1,2,,,"КВР")))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10" s="145">
        <v>808</v>
      </c>
      <c r="C1010" s="8" t="s">
        <v>222</v>
      </c>
      <c r="D1010" s="8" t="s">
        <v>213</v>
      </c>
      <c r="E1010" s="145" t="s">
        <v>489</v>
      </c>
      <c r="F1010" s="145">
        <v>611</v>
      </c>
      <c r="G1010" s="69">
        <v>2971.3</v>
      </c>
      <c r="H1010" s="69"/>
      <c r="I1010" s="69">
        <f t="shared" si="214"/>
        <v>2971.3</v>
      </c>
      <c r="J1010" s="69"/>
      <c r="K1010" s="85">
        <f t="shared" si="208"/>
        <v>2971.3</v>
      </c>
      <c r="L1010" s="13">
        <v>-1</v>
      </c>
      <c r="M1010" s="85">
        <f t="shared" si="211"/>
        <v>2970.3</v>
      </c>
      <c r="N1010" s="13"/>
      <c r="O1010" s="85">
        <f t="shared" si="212"/>
        <v>2970.3</v>
      </c>
      <c r="P1010" s="13"/>
      <c r="Q1010" s="85">
        <f t="shared" si="224"/>
        <v>2970.3</v>
      </c>
      <c r="R1010" s="13"/>
      <c r="S1010" s="85">
        <f t="shared" si="222"/>
        <v>2970.3</v>
      </c>
      <c r="T1010" s="13"/>
      <c r="U1010" s="85">
        <f t="shared" si="226"/>
        <v>2970.3</v>
      </c>
    </row>
    <row r="1011" spans="1:21">
      <c r="A1011" s="61" t="str">
        <f ca="1">IF(ISERROR(MATCH(E1011,Код_КЦСР,0)),"",INDIRECT(ADDRESS(MATCH(E1011,Код_КЦСР,0)+1,2,,,"КЦСР")))</f>
        <v>Библиографическая обработка документов и организация  каталогов</v>
      </c>
      <c r="B1011" s="145">
        <v>808</v>
      </c>
      <c r="C1011" s="8" t="s">
        <v>222</v>
      </c>
      <c r="D1011" s="8" t="s">
        <v>213</v>
      </c>
      <c r="E1011" s="145" t="s">
        <v>491</v>
      </c>
      <c r="F1011" s="145"/>
      <c r="G1011" s="69">
        <f t="shared" ref="G1011:T1013" si="229">G1012</f>
        <v>4912.1000000000004</v>
      </c>
      <c r="H1011" s="69">
        <f t="shared" si="229"/>
        <v>0</v>
      </c>
      <c r="I1011" s="69">
        <f t="shared" si="214"/>
        <v>4912.1000000000004</v>
      </c>
      <c r="J1011" s="69">
        <f t="shared" si="229"/>
        <v>0</v>
      </c>
      <c r="K1011" s="85">
        <f t="shared" si="208"/>
        <v>4912.1000000000004</v>
      </c>
      <c r="L1011" s="13">
        <f t="shared" si="229"/>
        <v>-1.2</v>
      </c>
      <c r="M1011" s="85">
        <f t="shared" si="211"/>
        <v>4910.9000000000005</v>
      </c>
      <c r="N1011" s="13">
        <f t="shared" si="229"/>
        <v>0</v>
      </c>
      <c r="O1011" s="85">
        <f t="shared" si="212"/>
        <v>4910.9000000000005</v>
      </c>
      <c r="P1011" s="13">
        <f t="shared" si="229"/>
        <v>0</v>
      </c>
      <c r="Q1011" s="85">
        <f t="shared" si="224"/>
        <v>4910.9000000000005</v>
      </c>
      <c r="R1011" s="13">
        <f t="shared" si="229"/>
        <v>0</v>
      </c>
      <c r="S1011" s="85">
        <f t="shared" si="222"/>
        <v>4910.9000000000005</v>
      </c>
      <c r="T1011" s="13">
        <f t="shared" si="229"/>
        <v>0</v>
      </c>
      <c r="U1011" s="85">
        <f t="shared" si="226"/>
        <v>4910.9000000000005</v>
      </c>
    </row>
    <row r="1012" spans="1:21" ht="33">
      <c r="A1012" s="61" t="str">
        <f ca="1">IF(ISERROR(MATCH(F1012,Код_КВР,0)),"",INDIRECT(ADDRESS(MATCH(F1012,Код_КВР,0)+1,2,,,"КВР")))</f>
        <v>Предоставление субсидий бюджетным, автономным учреждениям и иным некоммерческим организациям</v>
      </c>
      <c r="B1012" s="145">
        <v>808</v>
      </c>
      <c r="C1012" s="8" t="s">
        <v>222</v>
      </c>
      <c r="D1012" s="8" t="s">
        <v>213</v>
      </c>
      <c r="E1012" s="145" t="s">
        <v>491</v>
      </c>
      <c r="F1012" s="145">
        <v>600</v>
      </c>
      <c r="G1012" s="69">
        <f t="shared" si="229"/>
        <v>4912.1000000000004</v>
      </c>
      <c r="H1012" s="69">
        <f t="shared" si="229"/>
        <v>0</v>
      </c>
      <c r="I1012" s="69">
        <f t="shared" si="214"/>
        <v>4912.1000000000004</v>
      </c>
      <c r="J1012" s="69">
        <f t="shared" si="229"/>
        <v>0</v>
      </c>
      <c r="K1012" s="85">
        <f t="shared" si="208"/>
        <v>4912.1000000000004</v>
      </c>
      <c r="L1012" s="13">
        <f t="shared" si="229"/>
        <v>-1.2</v>
      </c>
      <c r="M1012" s="85">
        <f t="shared" si="211"/>
        <v>4910.9000000000005</v>
      </c>
      <c r="N1012" s="13">
        <f t="shared" si="229"/>
        <v>0</v>
      </c>
      <c r="O1012" s="85">
        <f t="shared" si="212"/>
        <v>4910.9000000000005</v>
      </c>
      <c r="P1012" s="13">
        <f t="shared" si="229"/>
        <v>0</v>
      </c>
      <c r="Q1012" s="85">
        <f t="shared" si="224"/>
        <v>4910.9000000000005</v>
      </c>
      <c r="R1012" s="13">
        <f t="shared" si="229"/>
        <v>0</v>
      </c>
      <c r="S1012" s="85">
        <f t="shared" si="222"/>
        <v>4910.9000000000005</v>
      </c>
      <c r="T1012" s="13">
        <f t="shared" si="229"/>
        <v>0</v>
      </c>
      <c r="U1012" s="85">
        <f t="shared" si="226"/>
        <v>4910.9000000000005</v>
      </c>
    </row>
    <row r="1013" spans="1:21">
      <c r="A1013" s="61" t="str">
        <f ca="1">IF(ISERROR(MATCH(F1013,Код_КВР,0)),"",INDIRECT(ADDRESS(MATCH(F1013,Код_КВР,0)+1,2,,,"КВР")))</f>
        <v>Субсидии бюджетным учреждениям</v>
      </c>
      <c r="B1013" s="145">
        <v>808</v>
      </c>
      <c r="C1013" s="8" t="s">
        <v>222</v>
      </c>
      <c r="D1013" s="8" t="s">
        <v>213</v>
      </c>
      <c r="E1013" s="145" t="s">
        <v>491</v>
      </c>
      <c r="F1013" s="145">
        <v>610</v>
      </c>
      <c r="G1013" s="69">
        <f t="shared" si="229"/>
        <v>4912.1000000000004</v>
      </c>
      <c r="H1013" s="69">
        <f t="shared" si="229"/>
        <v>0</v>
      </c>
      <c r="I1013" s="69">
        <f t="shared" si="214"/>
        <v>4912.1000000000004</v>
      </c>
      <c r="J1013" s="69">
        <f t="shared" si="229"/>
        <v>0</v>
      </c>
      <c r="K1013" s="85">
        <f t="shared" ref="K1013:K1098" si="230">I1013+J1013</f>
        <v>4912.1000000000004</v>
      </c>
      <c r="L1013" s="13">
        <f t="shared" si="229"/>
        <v>-1.2</v>
      </c>
      <c r="M1013" s="85">
        <f t="shared" si="211"/>
        <v>4910.9000000000005</v>
      </c>
      <c r="N1013" s="13">
        <f t="shared" si="229"/>
        <v>0</v>
      </c>
      <c r="O1013" s="85">
        <f t="shared" si="212"/>
        <v>4910.9000000000005</v>
      </c>
      <c r="P1013" s="13">
        <f t="shared" si="229"/>
        <v>0</v>
      </c>
      <c r="Q1013" s="85">
        <f t="shared" si="224"/>
        <v>4910.9000000000005</v>
      </c>
      <c r="R1013" s="13">
        <f t="shared" si="229"/>
        <v>0</v>
      </c>
      <c r="S1013" s="85">
        <f t="shared" si="222"/>
        <v>4910.9000000000005</v>
      </c>
      <c r="T1013" s="13">
        <f t="shared" si="229"/>
        <v>0</v>
      </c>
      <c r="U1013" s="85">
        <f t="shared" si="226"/>
        <v>4910.9000000000005</v>
      </c>
    </row>
    <row r="1014" spans="1:21" ht="49.5">
      <c r="A1014" s="61" t="str">
        <f ca="1">IF(ISERROR(MATCH(F1014,Код_КВР,0)),"",INDIRECT(ADDRESS(MATCH(F1014,Код_КВР,0)+1,2,,,"КВР")))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14" s="145">
        <v>808</v>
      </c>
      <c r="C1014" s="8" t="s">
        <v>222</v>
      </c>
      <c r="D1014" s="8" t="s">
        <v>213</v>
      </c>
      <c r="E1014" s="145" t="s">
        <v>491</v>
      </c>
      <c r="F1014" s="145">
        <v>611</v>
      </c>
      <c r="G1014" s="69">
        <v>4912.1000000000004</v>
      </c>
      <c r="H1014" s="69"/>
      <c r="I1014" s="69">
        <f t="shared" si="214"/>
        <v>4912.1000000000004</v>
      </c>
      <c r="J1014" s="69"/>
      <c r="K1014" s="85">
        <f t="shared" si="230"/>
        <v>4912.1000000000004</v>
      </c>
      <c r="L1014" s="13">
        <v>-1.2</v>
      </c>
      <c r="M1014" s="85">
        <f t="shared" si="211"/>
        <v>4910.9000000000005</v>
      </c>
      <c r="N1014" s="13"/>
      <c r="O1014" s="85">
        <f t="shared" si="212"/>
        <v>4910.9000000000005</v>
      </c>
      <c r="P1014" s="13"/>
      <c r="Q1014" s="85">
        <f t="shared" si="224"/>
        <v>4910.9000000000005</v>
      </c>
      <c r="R1014" s="13"/>
      <c r="S1014" s="85">
        <f t="shared" si="222"/>
        <v>4910.9000000000005</v>
      </c>
      <c r="T1014" s="13"/>
      <c r="U1014" s="85">
        <f t="shared" si="226"/>
        <v>4910.9000000000005</v>
      </c>
    </row>
    <row r="1015" spans="1:21" ht="51" customHeight="1">
      <c r="A1015" s="61" t="str">
        <f ca="1">IF(ISERROR(MATCH(E1015,Код_КЦСР,0)),"",INDIRECT(ADDRESS(MATCH(E1015,Код_КЦСР,0)+1,2,,,"КЦСР")))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1015" s="145">
        <v>808</v>
      </c>
      <c r="C1015" s="8" t="s">
        <v>222</v>
      </c>
      <c r="D1015" s="8" t="s">
        <v>213</v>
      </c>
      <c r="E1015" s="145" t="s">
        <v>671</v>
      </c>
      <c r="F1015" s="145"/>
      <c r="G1015" s="69"/>
      <c r="H1015" s="69"/>
      <c r="I1015" s="69"/>
      <c r="J1015" s="69"/>
      <c r="K1015" s="85"/>
      <c r="L1015" s="13"/>
      <c r="M1015" s="85"/>
      <c r="N1015" s="13"/>
      <c r="O1015" s="85"/>
      <c r="P1015" s="13"/>
      <c r="Q1015" s="85"/>
      <c r="R1015" s="13">
        <f>R1016</f>
        <v>13039.6</v>
      </c>
      <c r="S1015" s="85">
        <f t="shared" si="222"/>
        <v>13039.6</v>
      </c>
      <c r="T1015" s="13">
        <f>T1016</f>
        <v>-1043.2</v>
      </c>
      <c r="U1015" s="85">
        <f t="shared" si="226"/>
        <v>11996.4</v>
      </c>
    </row>
    <row r="1016" spans="1:21" ht="33">
      <c r="A1016" s="61" t="str">
        <f ca="1">IF(ISERROR(MATCH(F1016,Код_КВР,0)),"",INDIRECT(ADDRESS(MATCH(F1016,Код_КВР,0)+1,2,,,"КВР")))</f>
        <v>Предоставление субсидий бюджетным, автономным учреждениям и иным некоммерческим организациям</v>
      </c>
      <c r="B1016" s="145">
        <v>808</v>
      </c>
      <c r="C1016" s="8" t="s">
        <v>222</v>
      </c>
      <c r="D1016" s="8" t="s">
        <v>213</v>
      </c>
      <c r="E1016" s="145" t="s">
        <v>671</v>
      </c>
      <c r="F1016" s="145">
        <v>600</v>
      </c>
      <c r="G1016" s="69"/>
      <c r="H1016" s="69"/>
      <c r="I1016" s="69"/>
      <c r="J1016" s="69"/>
      <c r="K1016" s="85"/>
      <c r="L1016" s="13"/>
      <c r="M1016" s="85"/>
      <c r="N1016" s="13"/>
      <c r="O1016" s="85"/>
      <c r="P1016" s="13"/>
      <c r="Q1016" s="85"/>
      <c r="R1016" s="13">
        <f>R1017</f>
        <v>13039.6</v>
      </c>
      <c r="S1016" s="85">
        <f t="shared" si="222"/>
        <v>13039.6</v>
      </c>
      <c r="T1016" s="13">
        <f>T1017</f>
        <v>-1043.2</v>
      </c>
      <c r="U1016" s="85">
        <f t="shared" si="226"/>
        <v>11996.4</v>
      </c>
    </row>
    <row r="1017" spans="1:21">
      <c r="A1017" s="61" t="str">
        <f ca="1">IF(ISERROR(MATCH(F1017,Код_КВР,0)),"",INDIRECT(ADDRESS(MATCH(F1017,Код_КВР,0)+1,2,,,"КВР")))</f>
        <v>Субсидии бюджетным учреждениям</v>
      </c>
      <c r="B1017" s="145">
        <v>808</v>
      </c>
      <c r="C1017" s="8" t="s">
        <v>222</v>
      </c>
      <c r="D1017" s="8" t="s">
        <v>213</v>
      </c>
      <c r="E1017" s="145" t="s">
        <v>671</v>
      </c>
      <c r="F1017" s="145">
        <v>610</v>
      </c>
      <c r="G1017" s="69"/>
      <c r="H1017" s="69"/>
      <c r="I1017" s="69"/>
      <c r="J1017" s="69"/>
      <c r="K1017" s="85"/>
      <c r="L1017" s="13"/>
      <c r="M1017" s="85"/>
      <c r="N1017" s="13"/>
      <c r="O1017" s="85"/>
      <c r="P1017" s="13"/>
      <c r="Q1017" s="85"/>
      <c r="R1017" s="13">
        <f>R1018</f>
        <v>13039.6</v>
      </c>
      <c r="S1017" s="85">
        <f t="shared" si="222"/>
        <v>13039.6</v>
      </c>
      <c r="T1017" s="13">
        <f>T1018</f>
        <v>-1043.2</v>
      </c>
      <c r="U1017" s="85">
        <f t="shared" si="226"/>
        <v>11996.4</v>
      </c>
    </row>
    <row r="1018" spans="1:21" ht="49.5">
      <c r="A1018" s="61" t="str">
        <f ca="1">IF(ISERROR(MATCH(F1018,Код_КВР,0)),"",INDIRECT(ADDRESS(MATCH(F1018,Код_КВР,0)+1,2,,,"КВР")))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18" s="145">
        <v>808</v>
      </c>
      <c r="C1018" s="8" t="s">
        <v>222</v>
      </c>
      <c r="D1018" s="8" t="s">
        <v>213</v>
      </c>
      <c r="E1018" s="145" t="s">
        <v>671</v>
      </c>
      <c r="F1018" s="145">
        <v>611</v>
      </c>
      <c r="G1018" s="69"/>
      <c r="H1018" s="69"/>
      <c r="I1018" s="69"/>
      <c r="J1018" s="69"/>
      <c r="K1018" s="85"/>
      <c r="L1018" s="13"/>
      <c r="M1018" s="85"/>
      <c r="N1018" s="13"/>
      <c r="O1018" s="85"/>
      <c r="P1018" s="13"/>
      <c r="Q1018" s="85"/>
      <c r="R1018" s="13">
        <v>13039.6</v>
      </c>
      <c r="S1018" s="85">
        <f t="shared" si="222"/>
        <v>13039.6</v>
      </c>
      <c r="T1018" s="13">
        <v>-1043.2</v>
      </c>
      <c r="U1018" s="85">
        <f t="shared" si="226"/>
        <v>11996.4</v>
      </c>
    </row>
    <row r="1019" spans="1:21">
      <c r="A1019" s="61" t="str">
        <f ca="1">IF(ISERROR(MATCH(E1019,Код_КЦСР,0)),"",INDIRECT(ADDRESS(MATCH(E1019,Код_КЦСР,0)+1,2,,,"КЦСР")))</f>
        <v>Совершенствование культурно-досуговой деятельности</v>
      </c>
      <c r="B1019" s="145">
        <v>808</v>
      </c>
      <c r="C1019" s="8" t="s">
        <v>222</v>
      </c>
      <c r="D1019" s="8" t="s">
        <v>213</v>
      </c>
      <c r="E1019" s="145" t="s">
        <v>493</v>
      </c>
      <c r="F1019" s="145"/>
      <c r="G1019" s="69">
        <f>G1020+G1024</f>
        <v>40546.6</v>
      </c>
      <c r="H1019" s="69">
        <f>H1020+H1024</f>
        <v>0</v>
      </c>
      <c r="I1019" s="69">
        <f t="shared" si="214"/>
        <v>40546.6</v>
      </c>
      <c r="J1019" s="69">
        <f>J1020+J1024</f>
        <v>0</v>
      </c>
      <c r="K1019" s="85">
        <f t="shared" si="230"/>
        <v>40546.6</v>
      </c>
      <c r="L1019" s="13">
        <f>L1020+L1024</f>
        <v>-61.7</v>
      </c>
      <c r="M1019" s="85">
        <f t="shared" si="211"/>
        <v>40484.9</v>
      </c>
      <c r="N1019" s="13">
        <f>N1020+N1024</f>
        <v>0</v>
      </c>
      <c r="O1019" s="85">
        <f t="shared" si="212"/>
        <v>40484.9</v>
      </c>
      <c r="P1019" s="13">
        <f>P1020+P1024</f>
        <v>0</v>
      </c>
      <c r="Q1019" s="85">
        <f t="shared" si="224"/>
        <v>40484.9</v>
      </c>
      <c r="R1019" s="13">
        <f>R1020+R1024+R1028</f>
        <v>-839</v>
      </c>
      <c r="S1019" s="85">
        <f t="shared" si="222"/>
        <v>39645.9</v>
      </c>
      <c r="T1019" s="13">
        <f>T1020+T1024+T1028</f>
        <v>2638.1</v>
      </c>
      <c r="U1019" s="85">
        <f t="shared" si="226"/>
        <v>42284</v>
      </c>
    </row>
    <row r="1020" spans="1:21">
      <c r="A1020" s="61" t="str">
        <f ca="1">IF(ISERROR(MATCH(E1020,Код_КЦСР,0)),"",INDIRECT(ADDRESS(MATCH(E1020,Код_КЦСР,0)+1,2,,,"КЦСР")))</f>
        <v>Оказание муниципальных услуг</v>
      </c>
      <c r="B1020" s="145">
        <v>808</v>
      </c>
      <c r="C1020" s="8" t="s">
        <v>222</v>
      </c>
      <c r="D1020" s="8" t="s">
        <v>213</v>
      </c>
      <c r="E1020" s="145" t="s">
        <v>500</v>
      </c>
      <c r="F1020" s="145"/>
      <c r="G1020" s="69">
        <f t="shared" ref="G1020:T1022" si="231">G1021</f>
        <v>37417.199999999997</v>
      </c>
      <c r="H1020" s="69">
        <f t="shared" si="231"/>
        <v>0</v>
      </c>
      <c r="I1020" s="69">
        <f t="shared" si="214"/>
        <v>37417.199999999997</v>
      </c>
      <c r="J1020" s="69">
        <f t="shared" si="231"/>
        <v>0</v>
      </c>
      <c r="K1020" s="85">
        <f t="shared" si="230"/>
        <v>37417.199999999997</v>
      </c>
      <c r="L1020" s="13">
        <f t="shared" si="231"/>
        <v>-59.5</v>
      </c>
      <c r="M1020" s="85">
        <f t="shared" si="211"/>
        <v>37357.699999999997</v>
      </c>
      <c r="N1020" s="13">
        <f t="shared" si="231"/>
        <v>0</v>
      </c>
      <c r="O1020" s="85">
        <f t="shared" si="212"/>
        <v>37357.699999999997</v>
      </c>
      <c r="P1020" s="13">
        <f t="shared" si="231"/>
        <v>0</v>
      </c>
      <c r="Q1020" s="85">
        <f t="shared" si="224"/>
        <v>37357.699999999997</v>
      </c>
      <c r="R1020" s="13">
        <f t="shared" si="231"/>
        <v>-1463.7</v>
      </c>
      <c r="S1020" s="85">
        <f t="shared" si="222"/>
        <v>35894</v>
      </c>
      <c r="T1020" s="13">
        <f t="shared" si="231"/>
        <v>0</v>
      </c>
      <c r="U1020" s="85">
        <f t="shared" si="226"/>
        <v>35894</v>
      </c>
    </row>
    <row r="1021" spans="1:21" ht="33">
      <c r="A1021" s="61" t="str">
        <f ca="1">IF(ISERROR(MATCH(F1021,Код_КВР,0)),"",INDIRECT(ADDRESS(MATCH(F1021,Код_КВР,0)+1,2,,,"КВР")))</f>
        <v>Предоставление субсидий бюджетным, автономным учреждениям и иным некоммерческим организациям</v>
      </c>
      <c r="B1021" s="145">
        <v>808</v>
      </c>
      <c r="C1021" s="8" t="s">
        <v>222</v>
      </c>
      <c r="D1021" s="8" t="s">
        <v>213</v>
      </c>
      <c r="E1021" s="145" t="s">
        <v>500</v>
      </c>
      <c r="F1021" s="145">
        <v>600</v>
      </c>
      <c r="G1021" s="69">
        <f t="shared" si="231"/>
        <v>37417.199999999997</v>
      </c>
      <c r="H1021" s="69">
        <f t="shared" si="231"/>
        <v>0</v>
      </c>
      <c r="I1021" s="69">
        <f t="shared" si="214"/>
        <v>37417.199999999997</v>
      </c>
      <c r="J1021" s="69">
        <f t="shared" si="231"/>
        <v>0</v>
      </c>
      <c r="K1021" s="85">
        <f t="shared" si="230"/>
        <v>37417.199999999997</v>
      </c>
      <c r="L1021" s="13">
        <f t="shared" si="231"/>
        <v>-59.5</v>
      </c>
      <c r="M1021" s="85">
        <f t="shared" si="211"/>
        <v>37357.699999999997</v>
      </c>
      <c r="N1021" s="13">
        <f t="shared" si="231"/>
        <v>0</v>
      </c>
      <c r="O1021" s="85">
        <f t="shared" si="212"/>
        <v>37357.699999999997</v>
      </c>
      <c r="P1021" s="13">
        <f t="shared" si="231"/>
        <v>0</v>
      </c>
      <c r="Q1021" s="85">
        <f t="shared" si="224"/>
        <v>37357.699999999997</v>
      </c>
      <c r="R1021" s="13">
        <f t="shared" si="231"/>
        <v>-1463.7</v>
      </c>
      <c r="S1021" s="85">
        <f t="shared" si="222"/>
        <v>35894</v>
      </c>
      <c r="T1021" s="13">
        <f t="shared" si="231"/>
        <v>0</v>
      </c>
      <c r="U1021" s="85">
        <f t="shared" si="226"/>
        <v>35894</v>
      </c>
    </row>
    <row r="1022" spans="1:21">
      <c r="A1022" s="61" t="str">
        <f ca="1">IF(ISERROR(MATCH(F1022,Код_КВР,0)),"",INDIRECT(ADDRESS(MATCH(F1022,Код_КВР,0)+1,2,,,"КВР")))</f>
        <v>Субсидии бюджетным учреждениям</v>
      </c>
      <c r="B1022" s="145">
        <v>808</v>
      </c>
      <c r="C1022" s="8" t="s">
        <v>222</v>
      </c>
      <c r="D1022" s="8" t="s">
        <v>213</v>
      </c>
      <c r="E1022" s="145" t="s">
        <v>500</v>
      </c>
      <c r="F1022" s="145">
        <v>610</v>
      </c>
      <c r="G1022" s="69">
        <f t="shared" si="231"/>
        <v>37417.199999999997</v>
      </c>
      <c r="H1022" s="69">
        <f t="shared" si="231"/>
        <v>0</v>
      </c>
      <c r="I1022" s="69">
        <f t="shared" si="214"/>
        <v>37417.199999999997</v>
      </c>
      <c r="J1022" s="69">
        <f t="shared" si="231"/>
        <v>0</v>
      </c>
      <c r="K1022" s="85">
        <f t="shared" si="230"/>
        <v>37417.199999999997</v>
      </c>
      <c r="L1022" s="13">
        <f t="shared" si="231"/>
        <v>-59.5</v>
      </c>
      <c r="M1022" s="85">
        <f t="shared" si="211"/>
        <v>37357.699999999997</v>
      </c>
      <c r="N1022" s="13">
        <f t="shared" si="231"/>
        <v>0</v>
      </c>
      <c r="O1022" s="85">
        <f t="shared" si="212"/>
        <v>37357.699999999997</v>
      </c>
      <c r="P1022" s="13">
        <f t="shared" si="231"/>
        <v>0</v>
      </c>
      <c r="Q1022" s="85">
        <f t="shared" si="224"/>
        <v>37357.699999999997</v>
      </c>
      <c r="R1022" s="13">
        <f t="shared" si="231"/>
        <v>-1463.7</v>
      </c>
      <c r="S1022" s="85">
        <f t="shared" si="222"/>
        <v>35894</v>
      </c>
      <c r="T1022" s="13">
        <f t="shared" si="231"/>
        <v>0</v>
      </c>
      <c r="U1022" s="85">
        <f t="shared" si="226"/>
        <v>35894</v>
      </c>
    </row>
    <row r="1023" spans="1:21" ht="49.5">
      <c r="A1023" s="61" t="str">
        <f ca="1">IF(ISERROR(MATCH(F1023,Код_КВР,0)),"",INDIRECT(ADDRESS(MATCH(F1023,Код_КВР,0)+1,2,,,"КВР")))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23" s="145">
        <v>808</v>
      </c>
      <c r="C1023" s="8" t="s">
        <v>222</v>
      </c>
      <c r="D1023" s="8" t="s">
        <v>213</v>
      </c>
      <c r="E1023" s="145" t="s">
        <v>500</v>
      </c>
      <c r="F1023" s="145">
        <v>611</v>
      </c>
      <c r="G1023" s="69">
        <v>37417.199999999997</v>
      </c>
      <c r="H1023" s="69"/>
      <c r="I1023" s="69">
        <f t="shared" si="214"/>
        <v>37417.199999999997</v>
      </c>
      <c r="J1023" s="69"/>
      <c r="K1023" s="85">
        <f t="shared" si="230"/>
        <v>37417.199999999997</v>
      </c>
      <c r="L1023" s="13">
        <v>-59.5</v>
      </c>
      <c r="M1023" s="85">
        <f t="shared" si="211"/>
        <v>37357.699999999997</v>
      </c>
      <c r="N1023" s="13"/>
      <c r="O1023" s="85">
        <f t="shared" si="212"/>
        <v>37357.699999999997</v>
      </c>
      <c r="P1023" s="13"/>
      <c r="Q1023" s="85">
        <f t="shared" si="224"/>
        <v>37357.699999999997</v>
      </c>
      <c r="R1023" s="13">
        <f>-338.5-1125.2</f>
        <v>-1463.7</v>
      </c>
      <c r="S1023" s="85">
        <f t="shared" si="222"/>
        <v>35894</v>
      </c>
      <c r="T1023" s="13"/>
      <c r="U1023" s="85">
        <f t="shared" si="226"/>
        <v>35894</v>
      </c>
    </row>
    <row r="1024" spans="1:21" ht="33">
      <c r="A1024" s="61" t="str">
        <f ca="1">IF(ISERROR(MATCH(E1024,Код_КЦСР,0)),"",INDIRECT(ADDRESS(MATCH(E1024,Код_КЦСР,0)+1,2,,,"КЦСР")))</f>
        <v>Сохранение нематериального культурного наследия народов традиционной народной культуры</v>
      </c>
      <c r="B1024" s="145">
        <v>808</v>
      </c>
      <c r="C1024" s="8" t="s">
        <v>222</v>
      </c>
      <c r="D1024" s="8" t="s">
        <v>213</v>
      </c>
      <c r="E1024" s="145" t="s">
        <v>501</v>
      </c>
      <c r="F1024" s="145"/>
      <c r="G1024" s="69">
        <f t="shared" ref="G1024:T1026" si="232">G1025</f>
        <v>3129.4</v>
      </c>
      <c r="H1024" s="69">
        <f t="shared" si="232"/>
        <v>0</v>
      </c>
      <c r="I1024" s="69">
        <f t="shared" si="214"/>
        <v>3129.4</v>
      </c>
      <c r="J1024" s="69">
        <f t="shared" si="232"/>
        <v>0</v>
      </c>
      <c r="K1024" s="85">
        <f t="shared" si="230"/>
        <v>3129.4</v>
      </c>
      <c r="L1024" s="13">
        <f t="shared" si="232"/>
        <v>-2.2000000000000002</v>
      </c>
      <c r="M1024" s="85">
        <f t="shared" si="211"/>
        <v>3127.2000000000003</v>
      </c>
      <c r="N1024" s="13">
        <f t="shared" si="232"/>
        <v>0</v>
      </c>
      <c r="O1024" s="85">
        <f t="shared" si="212"/>
        <v>3127.2000000000003</v>
      </c>
      <c r="P1024" s="13">
        <f t="shared" si="232"/>
        <v>0</v>
      </c>
      <c r="Q1024" s="85">
        <f t="shared" si="224"/>
        <v>3127.2000000000003</v>
      </c>
      <c r="R1024" s="13">
        <f t="shared" si="232"/>
        <v>0</v>
      </c>
      <c r="S1024" s="85">
        <f t="shared" si="222"/>
        <v>3127.2000000000003</v>
      </c>
      <c r="T1024" s="13">
        <f t="shared" si="232"/>
        <v>0</v>
      </c>
      <c r="U1024" s="85">
        <f t="shared" si="226"/>
        <v>3127.2000000000003</v>
      </c>
    </row>
    <row r="1025" spans="1:21" ht="33">
      <c r="A1025" s="61" t="str">
        <f ca="1">IF(ISERROR(MATCH(F1025,Код_КВР,0)),"",INDIRECT(ADDRESS(MATCH(F1025,Код_КВР,0)+1,2,,,"КВР")))</f>
        <v>Предоставление субсидий бюджетным, автономным учреждениям и иным некоммерческим организациям</v>
      </c>
      <c r="B1025" s="145">
        <v>808</v>
      </c>
      <c r="C1025" s="8" t="s">
        <v>222</v>
      </c>
      <c r="D1025" s="8" t="s">
        <v>213</v>
      </c>
      <c r="E1025" s="145" t="s">
        <v>501</v>
      </c>
      <c r="F1025" s="145">
        <v>600</v>
      </c>
      <c r="G1025" s="69">
        <f t="shared" si="232"/>
        <v>3129.4</v>
      </c>
      <c r="H1025" s="69">
        <f t="shared" si="232"/>
        <v>0</v>
      </c>
      <c r="I1025" s="69">
        <f t="shared" si="214"/>
        <v>3129.4</v>
      </c>
      <c r="J1025" s="69">
        <f t="shared" si="232"/>
        <v>0</v>
      </c>
      <c r="K1025" s="85">
        <f t="shared" si="230"/>
        <v>3129.4</v>
      </c>
      <c r="L1025" s="13">
        <f t="shared" si="232"/>
        <v>-2.2000000000000002</v>
      </c>
      <c r="M1025" s="85">
        <f t="shared" si="211"/>
        <v>3127.2000000000003</v>
      </c>
      <c r="N1025" s="13">
        <f t="shared" si="232"/>
        <v>0</v>
      </c>
      <c r="O1025" s="85">
        <f t="shared" si="212"/>
        <v>3127.2000000000003</v>
      </c>
      <c r="P1025" s="13">
        <f t="shared" si="232"/>
        <v>0</v>
      </c>
      <c r="Q1025" s="85">
        <f t="shared" si="224"/>
        <v>3127.2000000000003</v>
      </c>
      <c r="R1025" s="13">
        <f t="shared" si="232"/>
        <v>0</v>
      </c>
      <c r="S1025" s="85">
        <f t="shared" si="222"/>
        <v>3127.2000000000003</v>
      </c>
      <c r="T1025" s="13">
        <f t="shared" si="232"/>
        <v>0</v>
      </c>
      <c r="U1025" s="85">
        <f t="shared" si="226"/>
        <v>3127.2000000000003</v>
      </c>
    </row>
    <row r="1026" spans="1:21">
      <c r="A1026" s="61" t="str">
        <f ca="1">IF(ISERROR(MATCH(F1026,Код_КВР,0)),"",INDIRECT(ADDRESS(MATCH(F1026,Код_КВР,0)+1,2,,,"КВР")))</f>
        <v>Субсидии бюджетным учреждениям</v>
      </c>
      <c r="B1026" s="145">
        <v>808</v>
      </c>
      <c r="C1026" s="8" t="s">
        <v>222</v>
      </c>
      <c r="D1026" s="8" t="s">
        <v>213</v>
      </c>
      <c r="E1026" s="145" t="s">
        <v>501</v>
      </c>
      <c r="F1026" s="145">
        <v>610</v>
      </c>
      <c r="G1026" s="69">
        <f t="shared" si="232"/>
        <v>3129.4</v>
      </c>
      <c r="H1026" s="69">
        <f t="shared" si="232"/>
        <v>0</v>
      </c>
      <c r="I1026" s="69">
        <f t="shared" si="214"/>
        <v>3129.4</v>
      </c>
      <c r="J1026" s="69">
        <f t="shared" si="232"/>
        <v>0</v>
      </c>
      <c r="K1026" s="85">
        <f t="shared" si="230"/>
        <v>3129.4</v>
      </c>
      <c r="L1026" s="13">
        <f t="shared" si="232"/>
        <v>-2.2000000000000002</v>
      </c>
      <c r="M1026" s="85">
        <f t="shared" si="211"/>
        <v>3127.2000000000003</v>
      </c>
      <c r="N1026" s="13">
        <f t="shared" si="232"/>
        <v>0</v>
      </c>
      <c r="O1026" s="85">
        <f t="shared" si="212"/>
        <v>3127.2000000000003</v>
      </c>
      <c r="P1026" s="13">
        <f t="shared" si="232"/>
        <v>0</v>
      </c>
      <c r="Q1026" s="85">
        <f t="shared" si="224"/>
        <v>3127.2000000000003</v>
      </c>
      <c r="R1026" s="13">
        <f t="shared" si="232"/>
        <v>0</v>
      </c>
      <c r="S1026" s="85">
        <f t="shared" si="222"/>
        <v>3127.2000000000003</v>
      </c>
      <c r="T1026" s="13">
        <f t="shared" si="232"/>
        <v>0</v>
      </c>
      <c r="U1026" s="85">
        <f t="shared" si="226"/>
        <v>3127.2000000000003</v>
      </c>
    </row>
    <row r="1027" spans="1:21" ht="49.5">
      <c r="A1027" s="61" t="str">
        <f ca="1">IF(ISERROR(MATCH(F1027,Код_КВР,0)),"",INDIRECT(ADDRESS(MATCH(F1027,Код_КВР,0)+1,2,,,"КВР")))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27" s="145">
        <v>808</v>
      </c>
      <c r="C1027" s="8" t="s">
        <v>222</v>
      </c>
      <c r="D1027" s="8" t="s">
        <v>213</v>
      </c>
      <c r="E1027" s="145" t="s">
        <v>501</v>
      </c>
      <c r="F1027" s="145">
        <v>611</v>
      </c>
      <c r="G1027" s="69">
        <v>3129.4</v>
      </c>
      <c r="H1027" s="69"/>
      <c r="I1027" s="69">
        <f t="shared" si="214"/>
        <v>3129.4</v>
      </c>
      <c r="J1027" s="69"/>
      <c r="K1027" s="85">
        <f t="shared" si="230"/>
        <v>3129.4</v>
      </c>
      <c r="L1027" s="13">
        <v>-2.2000000000000002</v>
      </c>
      <c r="M1027" s="85">
        <f t="shared" si="211"/>
        <v>3127.2000000000003</v>
      </c>
      <c r="N1027" s="13"/>
      <c r="O1027" s="85">
        <f t="shared" si="212"/>
        <v>3127.2000000000003</v>
      </c>
      <c r="P1027" s="13"/>
      <c r="Q1027" s="85">
        <f t="shared" si="224"/>
        <v>3127.2000000000003</v>
      </c>
      <c r="R1027" s="13"/>
      <c r="S1027" s="85">
        <f t="shared" si="222"/>
        <v>3127.2000000000003</v>
      </c>
      <c r="T1027" s="13"/>
      <c r="U1027" s="85">
        <f t="shared" si="226"/>
        <v>3127.2000000000003</v>
      </c>
    </row>
    <row r="1028" spans="1:21" ht="54.75" customHeight="1">
      <c r="A1028" s="61" t="str">
        <f ca="1">IF(ISERROR(MATCH(E1028,Код_КЦСР,0)),"",INDIRECT(ADDRESS(MATCH(E1028,Код_КЦСР,0)+1,2,,,"КЦСР")))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1028" s="145">
        <v>808</v>
      </c>
      <c r="C1028" s="8" t="s">
        <v>222</v>
      </c>
      <c r="D1028" s="8" t="s">
        <v>213</v>
      </c>
      <c r="E1028" s="145" t="s">
        <v>672</v>
      </c>
      <c r="F1028" s="145"/>
      <c r="G1028" s="69"/>
      <c r="H1028" s="69"/>
      <c r="I1028" s="69"/>
      <c r="J1028" s="69"/>
      <c r="K1028" s="85"/>
      <c r="L1028" s="13"/>
      <c r="M1028" s="85"/>
      <c r="N1028" s="13"/>
      <c r="O1028" s="85"/>
      <c r="P1028" s="13"/>
      <c r="Q1028" s="85"/>
      <c r="R1028" s="13">
        <f>R1029</f>
        <v>624.70000000000005</v>
      </c>
      <c r="S1028" s="85">
        <f t="shared" si="222"/>
        <v>624.70000000000005</v>
      </c>
      <c r="T1028" s="13">
        <f>T1029</f>
        <v>2638.1</v>
      </c>
      <c r="U1028" s="85">
        <f t="shared" si="226"/>
        <v>3262.8</v>
      </c>
    </row>
    <row r="1029" spans="1:21" ht="33">
      <c r="A1029" s="61" t="str">
        <f ca="1">IF(ISERROR(MATCH(F1029,Код_КВР,0)),"",INDIRECT(ADDRESS(MATCH(F1029,Код_КВР,0)+1,2,,,"КВР")))</f>
        <v>Предоставление субсидий бюджетным, автономным учреждениям и иным некоммерческим организациям</v>
      </c>
      <c r="B1029" s="145">
        <v>808</v>
      </c>
      <c r="C1029" s="8" t="s">
        <v>222</v>
      </c>
      <c r="D1029" s="8" t="s">
        <v>213</v>
      </c>
      <c r="E1029" s="145" t="s">
        <v>672</v>
      </c>
      <c r="F1029" s="145">
        <v>600</v>
      </c>
      <c r="G1029" s="69"/>
      <c r="H1029" s="69"/>
      <c r="I1029" s="69"/>
      <c r="J1029" s="69"/>
      <c r="K1029" s="85"/>
      <c r="L1029" s="13"/>
      <c r="M1029" s="85"/>
      <c r="N1029" s="13"/>
      <c r="O1029" s="85"/>
      <c r="P1029" s="13"/>
      <c r="Q1029" s="85"/>
      <c r="R1029" s="13">
        <f>R1030</f>
        <v>624.70000000000005</v>
      </c>
      <c r="S1029" s="85">
        <f t="shared" si="222"/>
        <v>624.70000000000005</v>
      </c>
      <c r="T1029" s="13">
        <f>T1030</f>
        <v>2638.1</v>
      </c>
      <c r="U1029" s="85">
        <f t="shared" si="226"/>
        <v>3262.8</v>
      </c>
    </row>
    <row r="1030" spans="1:21">
      <c r="A1030" s="61" t="str">
        <f ca="1">IF(ISERROR(MATCH(F1030,Код_КВР,0)),"",INDIRECT(ADDRESS(MATCH(F1030,Код_КВР,0)+1,2,,,"КВР")))</f>
        <v>Субсидии бюджетным учреждениям</v>
      </c>
      <c r="B1030" s="145">
        <v>808</v>
      </c>
      <c r="C1030" s="8" t="s">
        <v>222</v>
      </c>
      <c r="D1030" s="8" t="s">
        <v>213</v>
      </c>
      <c r="E1030" s="145" t="s">
        <v>672</v>
      </c>
      <c r="F1030" s="145">
        <v>610</v>
      </c>
      <c r="G1030" s="69"/>
      <c r="H1030" s="69"/>
      <c r="I1030" s="69"/>
      <c r="J1030" s="69"/>
      <c r="K1030" s="85"/>
      <c r="L1030" s="13"/>
      <c r="M1030" s="85"/>
      <c r="N1030" s="13"/>
      <c r="O1030" s="85"/>
      <c r="P1030" s="13"/>
      <c r="Q1030" s="85"/>
      <c r="R1030" s="13">
        <f>R1031</f>
        <v>624.70000000000005</v>
      </c>
      <c r="S1030" s="85">
        <f t="shared" si="222"/>
        <v>624.70000000000005</v>
      </c>
      <c r="T1030" s="13">
        <f>T1031</f>
        <v>2638.1</v>
      </c>
      <c r="U1030" s="85">
        <f t="shared" si="226"/>
        <v>3262.8</v>
      </c>
    </row>
    <row r="1031" spans="1:21" ht="49.5">
      <c r="A1031" s="61" t="str">
        <f ca="1">IF(ISERROR(MATCH(F1031,Код_КВР,0)),"",INDIRECT(ADDRESS(MATCH(F1031,Код_КВР,0)+1,2,,,"КВР")))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31" s="145">
        <v>808</v>
      </c>
      <c r="C1031" s="8" t="s">
        <v>222</v>
      </c>
      <c r="D1031" s="8" t="s">
        <v>213</v>
      </c>
      <c r="E1031" s="145" t="s">
        <v>672</v>
      </c>
      <c r="F1031" s="145">
        <v>611</v>
      </c>
      <c r="G1031" s="69"/>
      <c r="H1031" s="69"/>
      <c r="I1031" s="69"/>
      <c r="J1031" s="69"/>
      <c r="K1031" s="85"/>
      <c r="L1031" s="13"/>
      <c r="M1031" s="85"/>
      <c r="N1031" s="13"/>
      <c r="O1031" s="85"/>
      <c r="P1031" s="13"/>
      <c r="Q1031" s="85"/>
      <c r="R1031" s="13">
        <v>624.70000000000005</v>
      </c>
      <c r="S1031" s="85">
        <f t="shared" si="222"/>
        <v>624.70000000000005</v>
      </c>
      <c r="T1031" s="13">
        <v>2638.1</v>
      </c>
      <c r="U1031" s="85">
        <f t="shared" si="226"/>
        <v>3262.8</v>
      </c>
    </row>
    <row r="1032" spans="1:21">
      <c r="A1032" s="61" t="str">
        <f ca="1">IF(ISERROR(MATCH(E1032,Код_КЦСР,0)),"",INDIRECT(ADDRESS(MATCH(E1032,Код_КЦСР,0)+1,2,,,"КЦСР")))</f>
        <v>Развитие исполнительских искусств</v>
      </c>
      <c r="B1032" s="145">
        <v>808</v>
      </c>
      <c r="C1032" s="8" t="s">
        <v>222</v>
      </c>
      <c r="D1032" s="8" t="s">
        <v>213</v>
      </c>
      <c r="E1032" s="145" t="s">
        <v>503</v>
      </c>
      <c r="F1032" s="145"/>
      <c r="G1032" s="69">
        <f>G1033</f>
        <v>100414.7</v>
      </c>
      <c r="H1032" s="69">
        <f>H1033</f>
        <v>0</v>
      </c>
      <c r="I1032" s="69">
        <f t="shared" si="214"/>
        <v>100414.7</v>
      </c>
      <c r="J1032" s="69">
        <f>J1033</f>
        <v>-512.79999999999995</v>
      </c>
      <c r="K1032" s="85">
        <f t="shared" si="230"/>
        <v>99901.9</v>
      </c>
      <c r="L1032" s="13">
        <f>L1033</f>
        <v>-72.900000000000006</v>
      </c>
      <c r="M1032" s="85">
        <f t="shared" ref="M1032:M1103" si="233">K1032+L1032</f>
        <v>99829</v>
      </c>
      <c r="N1032" s="13">
        <f>N1033</f>
        <v>0</v>
      </c>
      <c r="O1032" s="85">
        <f t="shared" ref="O1032:O1103" si="234">M1032+N1032</f>
        <v>99829</v>
      </c>
      <c r="P1032" s="13">
        <f>P1033</f>
        <v>140.19999999999999</v>
      </c>
      <c r="Q1032" s="85">
        <f t="shared" si="224"/>
        <v>99969.2</v>
      </c>
      <c r="R1032" s="13">
        <f>R1033+R1039</f>
        <v>-4255.5999999999995</v>
      </c>
      <c r="S1032" s="85">
        <f t="shared" si="222"/>
        <v>95713.599999999991</v>
      </c>
      <c r="T1032" s="13">
        <f>T1033+T1039</f>
        <v>-1109.2</v>
      </c>
      <c r="U1032" s="85">
        <f t="shared" si="226"/>
        <v>94604.4</v>
      </c>
    </row>
    <row r="1033" spans="1:21">
      <c r="A1033" s="61" t="str">
        <f ca="1">IF(ISERROR(MATCH(E1033,Код_КЦСР,0)),"",INDIRECT(ADDRESS(MATCH(E1033,Код_КЦСР,0)+1,2,,,"КЦСР")))</f>
        <v>Оказание муниципальных услуг</v>
      </c>
      <c r="B1033" s="145">
        <v>808</v>
      </c>
      <c r="C1033" s="8" t="s">
        <v>222</v>
      </c>
      <c r="D1033" s="8" t="s">
        <v>213</v>
      </c>
      <c r="E1033" s="145" t="s">
        <v>507</v>
      </c>
      <c r="F1033" s="145"/>
      <c r="G1033" s="69">
        <f>G1034</f>
        <v>100414.7</v>
      </c>
      <c r="H1033" s="69">
        <f>H1034</f>
        <v>0</v>
      </c>
      <c r="I1033" s="69">
        <f t="shared" si="214"/>
        <v>100414.7</v>
      </c>
      <c r="J1033" s="69">
        <f>J1034</f>
        <v>-512.79999999999995</v>
      </c>
      <c r="K1033" s="85">
        <f t="shared" si="230"/>
        <v>99901.9</v>
      </c>
      <c r="L1033" s="13">
        <f>L1034</f>
        <v>-72.900000000000006</v>
      </c>
      <c r="M1033" s="85">
        <f t="shared" si="233"/>
        <v>99829</v>
      </c>
      <c r="N1033" s="13">
        <f>N1034</f>
        <v>0</v>
      </c>
      <c r="O1033" s="85">
        <f t="shared" si="234"/>
        <v>99829</v>
      </c>
      <c r="P1033" s="13">
        <f>P1034</f>
        <v>140.19999999999999</v>
      </c>
      <c r="Q1033" s="85">
        <f t="shared" si="224"/>
        <v>99969.2</v>
      </c>
      <c r="R1033" s="13">
        <f>R1034</f>
        <v>-8874.4</v>
      </c>
      <c r="S1033" s="85">
        <f t="shared" si="222"/>
        <v>91094.8</v>
      </c>
      <c r="T1033" s="13">
        <f>T1034</f>
        <v>0</v>
      </c>
      <c r="U1033" s="85">
        <f t="shared" si="226"/>
        <v>91094.8</v>
      </c>
    </row>
    <row r="1034" spans="1:21" ht="33">
      <c r="A1034" s="61" t="str">
        <f ca="1">IF(ISERROR(MATCH(F1034,Код_КВР,0)),"",INDIRECT(ADDRESS(MATCH(F1034,Код_КВР,0)+1,2,,,"КВР")))</f>
        <v>Предоставление субсидий бюджетным, автономным учреждениям и иным некоммерческим организациям</v>
      </c>
      <c r="B1034" s="145">
        <v>808</v>
      </c>
      <c r="C1034" s="8" t="s">
        <v>222</v>
      </c>
      <c r="D1034" s="8" t="s">
        <v>213</v>
      </c>
      <c r="E1034" s="145" t="s">
        <v>507</v>
      </c>
      <c r="F1034" s="145">
        <v>600</v>
      </c>
      <c r="G1034" s="69">
        <f>G1035+G1037</f>
        <v>100414.7</v>
      </c>
      <c r="H1034" s="69">
        <f>H1035+H1037</f>
        <v>0</v>
      </c>
      <c r="I1034" s="69">
        <f t="shared" si="214"/>
        <v>100414.7</v>
      </c>
      <c r="J1034" s="69">
        <f>J1035+J1037</f>
        <v>-512.79999999999995</v>
      </c>
      <c r="K1034" s="85">
        <f t="shared" si="230"/>
        <v>99901.9</v>
      </c>
      <c r="L1034" s="13">
        <f>L1035+L1037</f>
        <v>-72.900000000000006</v>
      </c>
      <c r="M1034" s="85">
        <f t="shared" si="233"/>
        <v>99829</v>
      </c>
      <c r="N1034" s="13">
        <f>N1035+N1037</f>
        <v>0</v>
      </c>
      <c r="O1034" s="85">
        <f t="shared" si="234"/>
        <v>99829</v>
      </c>
      <c r="P1034" s="13">
        <f>P1035+P1037</f>
        <v>140.19999999999999</v>
      </c>
      <c r="Q1034" s="85">
        <f t="shared" si="224"/>
        <v>99969.2</v>
      </c>
      <c r="R1034" s="13">
        <f>R1035+R1037</f>
        <v>-8874.4</v>
      </c>
      <c r="S1034" s="85">
        <f t="shared" si="222"/>
        <v>91094.8</v>
      </c>
      <c r="T1034" s="13">
        <f>T1035+T1037</f>
        <v>0</v>
      </c>
      <c r="U1034" s="85">
        <f t="shared" si="226"/>
        <v>91094.8</v>
      </c>
    </row>
    <row r="1035" spans="1:21">
      <c r="A1035" s="61" t="str">
        <f ca="1">IF(ISERROR(MATCH(F1035,Код_КВР,0)),"",INDIRECT(ADDRESS(MATCH(F1035,Код_КВР,0)+1,2,,,"КВР")))</f>
        <v>Субсидии бюджетным учреждениям</v>
      </c>
      <c r="B1035" s="145">
        <v>808</v>
      </c>
      <c r="C1035" s="8" t="s">
        <v>222</v>
      </c>
      <c r="D1035" s="8" t="s">
        <v>213</v>
      </c>
      <c r="E1035" s="145" t="s">
        <v>507</v>
      </c>
      <c r="F1035" s="145">
        <v>610</v>
      </c>
      <c r="G1035" s="69">
        <f>G1036</f>
        <v>88342.5</v>
      </c>
      <c r="H1035" s="69">
        <f>H1036</f>
        <v>0</v>
      </c>
      <c r="I1035" s="69">
        <f t="shared" si="214"/>
        <v>88342.5</v>
      </c>
      <c r="J1035" s="69">
        <f>J1036</f>
        <v>-512.79999999999995</v>
      </c>
      <c r="K1035" s="85">
        <f t="shared" si="230"/>
        <v>87829.7</v>
      </c>
      <c r="L1035" s="13">
        <f>L1036</f>
        <v>-50.9</v>
      </c>
      <c r="M1035" s="85">
        <f t="shared" si="233"/>
        <v>87778.8</v>
      </c>
      <c r="N1035" s="13">
        <f>N1036</f>
        <v>0</v>
      </c>
      <c r="O1035" s="85">
        <f t="shared" si="234"/>
        <v>87778.8</v>
      </c>
      <c r="P1035" s="13">
        <f>P1036</f>
        <v>140.19999999999999</v>
      </c>
      <c r="Q1035" s="85">
        <f t="shared" si="224"/>
        <v>87919</v>
      </c>
      <c r="R1035" s="13">
        <f>R1036</f>
        <v>-8874.4</v>
      </c>
      <c r="S1035" s="85">
        <f t="shared" si="222"/>
        <v>79044.600000000006</v>
      </c>
      <c r="T1035" s="13">
        <f>T1036</f>
        <v>0</v>
      </c>
      <c r="U1035" s="85">
        <f t="shared" si="226"/>
        <v>79044.600000000006</v>
      </c>
    </row>
    <row r="1036" spans="1:21" ht="49.5">
      <c r="A1036" s="61" t="str">
        <f ca="1">IF(ISERROR(MATCH(F1036,Код_КВР,0)),"",INDIRECT(ADDRESS(MATCH(F1036,Код_КВР,0)+1,2,,,"КВР")))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36" s="145">
        <v>808</v>
      </c>
      <c r="C1036" s="8" t="s">
        <v>222</v>
      </c>
      <c r="D1036" s="8" t="s">
        <v>213</v>
      </c>
      <c r="E1036" s="145" t="s">
        <v>507</v>
      </c>
      <c r="F1036" s="145">
        <v>611</v>
      </c>
      <c r="G1036" s="69">
        <v>88342.5</v>
      </c>
      <c r="H1036" s="69"/>
      <c r="I1036" s="69">
        <f t="shared" ref="I1036:I1113" si="235">G1036+H1036</f>
        <v>88342.5</v>
      </c>
      <c r="J1036" s="69">
        <v>-512.79999999999995</v>
      </c>
      <c r="K1036" s="85">
        <f t="shared" si="230"/>
        <v>87829.7</v>
      </c>
      <c r="L1036" s="13">
        <v>-50.9</v>
      </c>
      <c r="M1036" s="85">
        <f t="shared" si="233"/>
        <v>87778.8</v>
      </c>
      <c r="N1036" s="13"/>
      <c r="O1036" s="85">
        <f t="shared" si="234"/>
        <v>87778.8</v>
      </c>
      <c r="P1036" s="13">
        <v>140.19999999999999</v>
      </c>
      <c r="Q1036" s="85">
        <f t="shared" si="224"/>
        <v>87919</v>
      </c>
      <c r="R1036" s="13">
        <v>-8874.4</v>
      </c>
      <c r="S1036" s="85">
        <f t="shared" si="222"/>
        <v>79044.600000000006</v>
      </c>
      <c r="T1036" s="13"/>
      <c r="U1036" s="85">
        <f t="shared" si="226"/>
        <v>79044.600000000006</v>
      </c>
    </row>
    <row r="1037" spans="1:21">
      <c r="A1037" s="61" t="str">
        <f ca="1">IF(ISERROR(MATCH(F1037,Код_КВР,0)),"",INDIRECT(ADDRESS(MATCH(F1037,Код_КВР,0)+1,2,,,"КВР")))</f>
        <v>Субсидии автономным учреждениям</v>
      </c>
      <c r="B1037" s="145">
        <v>808</v>
      </c>
      <c r="C1037" s="8" t="s">
        <v>222</v>
      </c>
      <c r="D1037" s="8" t="s">
        <v>213</v>
      </c>
      <c r="E1037" s="145" t="s">
        <v>507</v>
      </c>
      <c r="F1037" s="145">
        <v>620</v>
      </c>
      <c r="G1037" s="69">
        <f>G1038</f>
        <v>12072.2</v>
      </c>
      <c r="H1037" s="69">
        <f>H1038</f>
        <v>0</v>
      </c>
      <c r="I1037" s="69">
        <f t="shared" si="235"/>
        <v>12072.2</v>
      </c>
      <c r="J1037" s="69">
        <f>J1038</f>
        <v>0</v>
      </c>
      <c r="K1037" s="85">
        <f t="shared" si="230"/>
        <v>12072.2</v>
      </c>
      <c r="L1037" s="13">
        <f>L1038</f>
        <v>-22</v>
      </c>
      <c r="M1037" s="85">
        <f t="shared" si="233"/>
        <v>12050.2</v>
      </c>
      <c r="N1037" s="13">
        <f>N1038</f>
        <v>0</v>
      </c>
      <c r="O1037" s="85">
        <f t="shared" si="234"/>
        <v>12050.2</v>
      </c>
      <c r="P1037" s="13">
        <f>P1038</f>
        <v>0</v>
      </c>
      <c r="Q1037" s="85">
        <f t="shared" si="224"/>
        <v>12050.2</v>
      </c>
      <c r="R1037" s="13">
        <f>R1038</f>
        <v>0</v>
      </c>
      <c r="S1037" s="85">
        <f t="shared" si="222"/>
        <v>12050.2</v>
      </c>
      <c r="T1037" s="13">
        <f>T1038</f>
        <v>0</v>
      </c>
      <c r="U1037" s="85">
        <f t="shared" si="226"/>
        <v>12050.2</v>
      </c>
    </row>
    <row r="1038" spans="1:21" ht="49.5">
      <c r="A1038" s="61" t="str">
        <f ca="1">IF(ISERROR(MATCH(F1038,Код_КВР,0)),"",INDIRECT(ADDRESS(MATCH(F1038,Код_КВР,0)+1,2,,,"КВР")))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038" s="145">
        <v>808</v>
      </c>
      <c r="C1038" s="8" t="s">
        <v>222</v>
      </c>
      <c r="D1038" s="8" t="s">
        <v>213</v>
      </c>
      <c r="E1038" s="145" t="s">
        <v>507</v>
      </c>
      <c r="F1038" s="145">
        <v>621</v>
      </c>
      <c r="G1038" s="69">
        <v>12072.2</v>
      </c>
      <c r="H1038" s="69"/>
      <c r="I1038" s="69">
        <f t="shared" si="235"/>
        <v>12072.2</v>
      </c>
      <c r="J1038" s="69"/>
      <c r="K1038" s="85">
        <f t="shared" si="230"/>
        <v>12072.2</v>
      </c>
      <c r="L1038" s="13">
        <v>-22</v>
      </c>
      <c r="M1038" s="85">
        <f t="shared" si="233"/>
        <v>12050.2</v>
      </c>
      <c r="N1038" s="13"/>
      <c r="O1038" s="85">
        <f t="shared" si="234"/>
        <v>12050.2</v>
      </c>
      <c r="P1038" s="13"/>
      <c r="Q1038" s="85">
        <f t="shared" si="224"/>
        <v>12050.2</v>
      </c>
      <c r="R1038" s="13"/>
      <c r="S1038" s="85">
        <f t="shared" si="222"/>
        <v>12050.2</v>
      </c>
      <c r="T1038" s="13"/>
      <c r="U1038" s="85">
        <f t="shared" si="226"/>
        <v>12050.2</v>
      </c>
    </row>
    <row r="1039" spans="1:21" ht="52.5" customHeight="1">
      <c r="A1039" s="61" t="str">
        <f ca="1">IF(ISERROR(MATCH(E1039,Код_КЦСР,0)),"",INDIRECT(ADDRESS(MATCH(E1039,Код_КЦСР,0)+1,2,,,"КЦСР")))</f>
        <v>Частичное обеспечение расходов на повышение оплаты труда работников муниципальных учреждений культуры за счет субсидии из областного бюджета</v>
      </c>
      <c r="B1039" s="145">
        <v>808</v>
      </c>
      <c r="C1039" s="8" t="s">
        <v>222</v>
      </c>
      <c r="D1039" s="8" t="s">
        <v>213</v>
      </c>
      <c r="E1039" s="145" t="s">
        <v>673</v>
      </c>
      <c r="F1039" s="145"/>
      <c r="G1039" s="69"/>
      <c r="H1039" s="69"/>
      <c r="I1039" s="69"/>
      <c r="J1039" s="69"/>
      <c r="K1039" s="85"/>
      <c r="L1039" s="13"/>
      <c r="M1039" s="85"/>
      <c r="N1039" s="13"/>
      <c r="O1039" s="85"/>
      <c r="P1039" s="13"/>
      <c r="Q1039" s="85"/>
      <c r="R1039" s="13">
        <f>R1040</f>
        <v>4618.8</v>
      </c>
      <c r="S1039" s="85">
        <f t="shared" si="222"/>
        <v>4618.8</v>
      </c>
      <c r="T1039" s="13">
        <f>T1040</f>
        <v>-1109.2</v>
      </c>
      <c r="U1039" s="85">
        <f t="shared" si="226"/>
        <v>3509.6000000000004</v>
      </c>
    </row>
    <row r="1040" spans="1:21" ht="33">
      <c r="A1040" s="61" t="str">
        <f ca="1">IF(ISERROR(MATCH(F1040,Код_КВР,0)),"",INDIRECT(ADDRESS(MATCH(F1040,Код_КВР,0)+1,2,,,"КВР")))</f>
        <v>Предоставление субсидий бюджетным, автономным учреждениям и иным некоммерческим организациям</v>
      </c>
      <c r="B1040" s="145">
        <v>808</v>
      </c>
      <c r="C1040" s="8" t="s">
        <v>222</v>
      </c>
      <c r="D1040" s="8" t="s">
        <v>213</v>
      </c>
      <c r="E1040" s="145" t="s">
        <v>673</v>
      </c>
      <c r="F1040" s="145">
        <v>600</v>
      </c>
      <c r="G1040" s="69"/>
      <c r="H1040" s="69"/>
      <c r="I1040" s="69"/>
      <c r="J1040" s="69"/>
      <c r="K1040" s="85"/>
      <c r="L1040" s="13"/>
      <c r="M1040" s="85"/>
      <c r="N1040" s="13"/>
      <c r="O1040" s="85"/>
      <c r="P1040" s="13"/>
      <c r="Q1040" s="85"/>
      <c r="R1040" s="13">
        <f>R1041</f>
        <v>4618.8</v>
      </c>
      <c r="S1040" s="85">
        <f t="shared" si="222"/>
        <v>4618.8</v>
      </c>
      <c r="T1040" s="13">
        <f>T1041</f>
        <v>-1109.2</v>
      </c>
      <c r="U1040" s="85">
        <f t="shared" si="226"/>
        <v>3509.6000000000004</v>
      </c>
    </row>
    <row r="1041" spans="1:21">
      <c r="A1041" s="61" t="str">
        <f ca="1">IF(ISERROR(MATCH(F1041,Код_КВР,0)),"",INDIRECT(ADDRESS(MATCH(F1041,Код_КВР,0)+1,2,,,"КВР")))</f>
        <v>Субсидии бюджетным учреждениям</v>
      </c>
      <c r="B1041" s="145">
        <v>808</v>
      </c>
      <c r="C1041" s="8" t="s">
        <v>222</v>
      </c>
      <c r="D1041" s="8" t="s">
        <v>213</v>
      </c>
      <c r="E1041" s="145" t="s">
        <v>673</v>
      </c>
      <c r="F1041" s="145">
        <v>610</v>
      </c>
      <c r="G1041" s="69"/>
      <c r="H1041" s="69"/>
      <c r="I1041" s="69"/>
      <c r="J1041" s="69"/>
      <c r="K1041" s="85"/>
      <c r="L1041" s="13"/>
      <c r="M1041" s="85"/>
      <c r="N1041" s="13"/>
      <c r="O1041" s="85"/>
      <c r="P1041" s="13"/>
      <c r="Q1041" s="85"/>
      <c r="R1041" s="13">
        <f>R1042</f>
        <v>4618.8</v>
      </c>
      <c r="S1041" s="85">
        <f t="shared" si="222"/>
        <v>4618.8</v>
      </c>
      <c r="T1041" s="13">
        <f>T1042</f>
        <v>-1109.2</v>
      </c>
      <c r="U1041" s="85">
        <f t="shared" si="226"/>
        <v>3509.6000000000004</v>
      </c>
    </row>
    <row r="1042" spans="1:21" ht="49.5">
      <c r="A1042" s="61" t="str">
        <f ca="1">IF(ISERROR(MATCH(F1042,Код_КВР,0)),"",INDIRECT(ADDRESS(MATCH(F1042,Код_КВР,0)+1,2,,,"КВР")))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42" s="145">
        <v>808</v>
      </c>
      <c r="C1042" s="8" t="s">
        <v>222</v>
      </c>
      <c r="D1042" s="8" t="s">
        <v>213</v>
      </c>
      <c r="E1042" s="145" t="s">
        <v>673</v>
      </c>
      <c r="F1042" s="145">
        <v>611</v>
      </c>
      <c r="G1042" s="69"/>
      <c r="H1042" s="69"/>
      <c r="I1042" s="69"/>
      <c r="J1042" s="69"/>
      <c r="K1042" s="85"/>
      <c r="L1042" s="13"/>
      <c r="M1042" s="85"/>
      <c r="N1042" s="13"/>
      <c r="O1042" s="85"/>
      <c r="P1042" s="13"/>
      <c r="Q1042" s="85"/>
      <c r="R1042" s="13">
        <v>4618.8</v>
      </c>
      <c r="S1042" s="85">
        <f t="shared" si="222"/>
        <v>4618.8</v>
      </c>
      <c r="T1042" s="13">
        <v>-1109.2</v>
      </c>
      <c r="U1042" s="85">
        <f t="shared" si="226"/>
        <v>3509.6000000000004</v>
      </c>
    </row>
    <row r="1043" spans="1:21">
      <c r="A1043" s="61" t="str">
        <f ca="1">IF(ISERROR(MATCH(E1043,Код_КЦСР,0)),"",INDIRECT(ADDRESS(MATCH(E1043,Код_КЦСР,0)+1,2,,,"КЦСР")))</f>
        <v>Формирование постиндустриального образа города Череповца</v>
      </c>
      <c r="B1043" s="145">
        <v>808</v>
      </c>
      <c r="C1043" s="8" t="s">
        <v>222</v>
      </c>
      <c r="D1043" s="8" t="s">
        <v>213</v>
      </c>
      <c r="E1043" s="145" t="s">
        <v>508</v>
      </c>
      <c r="F1043" s="145"/>
      <c r="G1043" s="69">
        <f t="shared" ref="G1043:T1046" si="236">G1044</f>
        <v>5383.8</v>
      </c>
      <c r="H1043" s="69">
        <f t="shared" si="236"/>
        <v>0</v>
      </c>
      <c r="I1043" s="69">
        <f t="shared" si="235"/>
        <v>5383.8</v>
      </c>
      <c r="J1043" s="69">
        <f t="shared" si="236"/>
        <v>0</v>
      </c>
      <c r="K1043" s="85">
        <f t="shared" si="230"/>
        <v>5383.8</v>
      </c>
      <c r="L1043" s="13">
        <f t="shared" si="236"/>
        <v>0</v>
      </c>
      <c r="M1043" s="85">
        <f t="shared" si="233"/>
        <v>5383.8</v>
      </c>
      <c r="N1043" s="13">
        <f t="shared" si="236"/>
        <v>0</v>
      </c>
      <c r="O1043" s="85">
        <f t="shared" si="234"/>
        <v>5383.8</v>
      </c>
      <c r="P1043" s="13">
        <f t="shared" si="236"/>
        <v>0</v>
      </c>
      <c r="Q1043" s="85">
        <f t="shared" si="224"/>
        <v>5383.8</v>
      </c>
      <c r="R1043" s="13">
        <f t="shared" si="236"/>
        <v>0</v>
      </c>
      <c r="S1043" s="85">
        <f t="shared" si="222"/>
        <v>5383.8</v>
      </c>
      <c r="T1043" s="13">
        <f t="shared" si="236"/>
        <v>0</v>
      </c>
      <c r="U1043" s="85">
        <f t="shared" si="226"/>
        <v>5383.8</v>
      </c>
    </row>
    <row r="1044" spans="1:21">
      <c r="A1044" s="61" t="str">
        <f ca="1">IF(ISERROR(MATCH(E1044,Код_КЦСР,0)),"",INDIRECT(ADDRESS(MATCH(E1044,Код_КЦСР,0)+1,2,,,"КЦСР")))</f>
        <v xml:space="preserve">Организация и проведение городских культурно- массовых мероприятий </v>
      </c>
      <c r="B1044" s="145">
        <v>808</v>
      </c>
      <c r="C1044" s="8" t="s">
        <v>222</v>
      </c>
      <c r="D1044" s="8" t="s">
        <v>213</v>
      </c>
      <c r="E1044" s="145" t="s">
        <v>512</v>
      </c>
      <c r="F1044" s="145"/>
      <c r="G1044" s="69">
        <f t="shared" si="236"/>
        <v>5383.8</v>
      </c>
      <c r="H1044" s="69">
        <f t="shared" si="236"/>
        <v>0</v>
      </c>
      <c r="I1044" s="69">
        <f t="shared" si="235"/>
        <v>5383.8</v>
      </c>
      <c r="J1044" s="69">
        <f t="shared" si="236"/>
        <v>0</v>
      </c>
      <c r="K1044" s="85">
        <f t="shared" si="230"/>
        <v>5383.8</v>
      </c>
      <c r="L1044" s="13">
        <f t="shared" si="236"/>
        <v>0</v>
      </c>
      <c r="M1044" s="85">
        <f t="shared" si="233"/>
        <v>5383.8</v>
      </c>
      <c r="N1044" s="13">
        <f t="shared" si="236"/>
        <v>0</v>
      </c>
      <c r="O1044" s="85">
        <f t="shared" si="234"/>
        <v>5383.8</v>
      </c>
      <c r="P1044" s="13">
        <f t="shared" si="236"/>
        <v>0</v>
      </c>
      <c r="Q1044" s="85">
        <f t="shared" si="224"/>
        <v>5383.8</v>
      </c>
      <c r="R1044" s="13">
        <f t="shared" si="236"/>
        <v>0</v>
      </c>
      <c r="S1044" s="85">
        <f t="shared" si="222"/>
        <v>5383.8</v>
      </c>
      <c r="T1044" s="13">
        <f t="shared" si="236"/>
        <v>0</v>
      </c>
      <c r="U1044" s="85">
        <f t="shared" si="226"/>
        <v>5383.8</v>
      </c>
    </row>
    <row r="1045" spans="1:21" ht="33">
      <c r="A1045" s="61" t="str">
        <f ca="1">IF(ISERROR(MATCH(F1045,Код_КВР,0)),"",INDIRECT(ADDRESS(MATCH(F1045,Код_КВР,0)+1,2,,,"КВР")))</f>
        <v>Предоставление субсидий бюджетным, автономным учреждениям и иным некоммерческим организациям</v>
      </c>
      <c r="B1045" s="145">
        <v>808</v>
      </c>
      <c r="C1045" s="8" t="s">
        <v>222</v>
      </c>
      <c r="D1045" s="8" t="s">
        <v>213</v>
      </c>
      <c r="E1045" s="145" t="s">
        <v>512</v>
      </c>
      <c r="F1045" s="145">
        <v>600</v>
      </c>
      <c r="G1045" s="69">
        <f t="shared" si="236"/>
        <v>5383.8</v>
      </c>
      <c r="H1045" s="69">
        <f t="shared" si="236"/>
        <v>0</v>
      </c>
      <c r="I1045" s="69">
        <f t="shared" si="235"/>
        <v>5383.8</v>
      </c>
      <c r="J1045" s="69">
        <f t="shared" si="236"/>
        <v>0</v>
      </c>
      <c r="K1045" s="85">
        <f t="shared" si="230"/>
        <v>5383.8</v>
      </c>
      <c r="L1045" s="13">
        <f t="shared" si="236"/>
        <v>0</v>
      </c>
      <c r="M1045" s="85">
        <f t="shared" si="233"/>
        <v>5383.8</v>
      </c>
      <c r="N1045" s="13">
        <f t="shared" si="236"/>
        <v>0</v>
      </c>
      <c r="O1045" s="85">
        <f t="shared" si="234"/>
        <v>5383.8</v>
      </c>
      <c r="P1045" s="13">
        <f t="shared" si="236"/>
        <v>0</v>
      </c>
      <c r="Q1045" s="85">
        <f t="shared" si="224"/>
        <v>5383.8</v>
      </c>
      <c r="R1045" s="13">
        <f t="shared" si="236"/>
        <v>0</v>
      </c>
      <c r="S1045" s="85">
        <f t="shared" si="222"/>
        <v>5383.8</v>
      </c>
      <c r="T1045" s="13">
        <f t="shared" si="236"/>
        <v>0</v>
      </c>
      <c r="U1045" s="85">
        <f t="shared" si="226"/>
        <v>5383.8</v>
      </c>
    </row>
    <row r="1046" spans="1:21">
      <c r="A1046" s="61" t="str">
        <f ca="1">IF(ISERROR(MATCH(F1046,Код_КВР,0)),"",INDIRECT(ADDRESS(MATCH(F1046,Код_КВР,0)+1,2,,,"КВР")))</f>
        <v>Субсидии бюджетным учреждениям</v>
      </c>
      <c r="B1046" s="145">
        <v>808</v>
      </c>
      <c r="C1046" s="8" t="s">
        <v>222</v>
      </c>
      <c r="D1046" s="8" t="s">
        <v>213</v>
      </c>
      <c r="E1046" s="145" t="s">
        <v>512</v>
      </c>
      <c r="F1046" s="145">
        <v>610</v>
      </c>
      <c r="G1046" s="69">
        <f t="shared" si="236"/>
        <v>5383.8</v>
      </c>
      <c r="H1046" s="69">
        <f t="shared" si="236"/>
        <v>0</v>
      </c>
      <c r="I1046" s="69">
        <f t="shared" si="235"/>
        <v>5383.8</v>
      </c>
      <c r="J1046" s="69">
        <f t="shared" si="236"/>
        <v>0</v>
      </c>
      <c r="K1046" s="85">
        <f t="shared" si="230"/>
        <v>5383.8</v>
      </c>
      <c r="L1046" s="13">
        <f t="shared" si="236"/>
        <v>0</v>
      </c>
      <c r="M1046" s="85">
        <f t="shared" si="233"/>
        <v>5383.8</v>
      </c>
      <c r="N1046" s="13">
        <f t="shared" si="236"/>
        <v>0</v>
      </c>
      <c r="O1046" s="85">
        <f t="shared" si="234"/>
        <v>5383.8</v>
      </c>
      <c r="P1046" s="13">
        <f t="shared" si="236"/>
        <v>0</v>
      </c>
      <c r="Q1046" s="85">
        <f t="shared" si="224"/>
        <v>5383.8</v>
      </c>
      <c r="R1046" s="13">
        <f t="shared" si="236"/>
        <v>0</v>
      </c>
      <c r="S1046" s="85">
        <f t="shared" si="222"/>
        <v>5383.8</v>
      </c>
      <c r="T1046" s="13">
        <f t="shared" si="236"/>
        <v>0</v>
      </c>
      <c r="U1046" s="85">
        <f t="shared" si="226"/>
        <v>5383.8</v>
      </c>
    </row>
    <row r="1047" spans="1:21" ht="49.5">
      <c r="A1047" s="61" t="str">
        <f ca="1">IF(ISERROR(MATCH(F1047,Код_КВР,0)),"",INDIRECT(ADDRESS(MATCH(F1047,Код_КВР,0)+1,2,,,"КВР")))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047" s="145">
        <v>808</v>
      </c>
      <c r="C1047" s="8" t="s">
        <v>222</v>
      </c>
      <c r="D1047" s="8" t="s">
        <v>213</v>
      </c>
      <c r="E1047" s="145" t="s">
        <v>512</v>
      </c>
      <c r="F1047" s="145">
        <v>611</v>
      </c>
      <c r="G1047" s="69">
        <v>5383.8</v>
      </c>
      <c r="H1047" s="69"/>
      <c r="I1047" s="69">
        <f t="shared" si="235"/>
        <v>5383.8</v>
      </c>
      <c r="J1047" s="69"/>
      <c r="K1047" s="85">
        <f t="shared" si="230"/>
        <v>5383.8</v>
      </c>
      <c r="L1047" s="13"/>
      <c r="M1047" s="85">
        <f t="shared" si="233"/>
        <v>5383.8</v>
      </c>
      <c r="N1047" s="13"/>
      <c r="O1047" s="85">
        <f t="shared" si="234"/>
        <v>5383.8</v>
      </c>
      <c r="P1047" s="13"/>
      <c r="Q1047" s="85">
        <f t="shared" si="224"/>
        <v>5383.8</v>
      </c>
      <c r="R1047" s="13"/>
      <c r="S1047" s="85">
        <f t="shared" si="222"/>
        <v>5383.8</v>
      </c>
      <c r="T1047" s="13"/>
      <c r="U1047" s="85">
        <f t="shared" si="226"/>
        <v>5383.8</v>
      </c>
    </row>
    <row r="1048" spans="1:21">
      <c r="A1048" s="61" t="str">
        <f ca="1">IF(ISERROR(MATCH(E1048,Код_КЦСР,0)),"",INDIRECT(ADDRESS(MATCH(E1048,Код_КЦСР,0)+1,2,,,"КЦСР")))</f>
        <v xml:space="preserve">Индустрия отдыха на территориях парков культуры и отдыха </v>
      </c>
      <c r="B1048" s="145">
        <v>808</v>
      </c>
      <c r="C1048" s="8" t="s">
        <v>222</v>
      </c>
      <c r="D1048" s="8" t="s">
        <v>213</v>
      </c>
      <c r="E1048" s="145" t="s">
        <v>514</v>
      </c>
      <c r="F1048" s="145"/>
      <c r="G1048" s="69">
        <f t="shared" ref="G1048:T1051" si="237">G1049</f>
        <v>4501.2</v>
      </c>
      <c r="H1048" s="69">
        <f t="shared" si="237"/>
        <v>0</v>
      </c>
      <c r="I1048" s="69">
        <f t="shared" si="235"/>
        <v>4501.2</v>
      </c>
      <c r="J1048" s="69">
        <f t="shared" si="237"/>
        <v>0</v>
      </c>
      <c r="K1048" s="85">
        <f t="shared" si="230"/>
        <v>4501.2</v>
      </c>
      <c r="L1048" s="13">
        <f t="shared" si="237"/>
        <v>0</v>
      </c>
      <c r="M1048" s="85">
        <f t="shared" si="233"/>
        <v>4501.2</v>
      </c>
      <c r="N1048" s="13">
        <f t="shared" si="237"/>
        <v>0</v>
      </c>
      <c r="O1048" s="85">
        <f t="shared" si="234"/>
        <v>4501.2</v>
      </c>
      <c r="P1048" s="13">
        <f t="shared" si="237"/>
        <v>0</v>
      </c>
      <c r="Q1048" s="85">
        <f t="shared" si="224"/>
        <v>4501.2</v>
      </c>
      <c r="R1048" s="13">
        <f t="shared" si="237"/>
        <v>0</v>
      </c>
      <c r="S1048" s="85">
        <f t="shared" si="222"/>
        <v>4501.2</v>
      </c>
      <c r="T1048" s="13">
        <f t="shared" si="237"/>
        <v>0</v>
      </c>
      <c r="U1048" s="85">
        <f t="shared" si="226"/>
        <v>4501.2</v>
      </c>
    </row>
    <row r="1049" spans="1:21">
      <c r="A1049" s="61" t="str">
        <f ca="1">IF(ISERROR(MATCH(E1049,Код_КЦСР,0)),"",INDIRECT(ADDRESS(MATCH(E1049,Код_КЦСР,0)+1,2,,,"КЦСР")))</f>
        <v>Работа по организации досуга населения на базе парков культуры и отдыха</v>
      </c>
      <c r="B1049" s="145">
        <v>808</v>
      </c>
      <c r="C1049" s="8" t="s">
        <v>222</v>
      </c>
      <c r="D1049" s="8" t="s">
        <v>213</v>
      </c>
      <c r="E1049" s="145" t="s">
        <v>516</v>
      </c>
      <c r="F1049" s="145"/>
      <c r="G1049" s="69">
        <f t="shared" si="237"/>
        <v>4501.2</v>
      </c>
      <c r="H1049" s="69">
        <f t="shared" si="237"/>
        <v>0</v>
      </c>
      <c r="I1049" s="69">
        <f t="shared" si="235"/>
        <v>4501.2</v>
      </c>
      <c r="J1049" s="69">
        <f t="shared" si="237"/>
        <v>0</v>
      </c>
      <c r="K1049" s="85">
        <f t="shared" si="230"/>
        <v>4501.2</v>
      </c>
      <c r="L1049" s="13">
        <f t="shared" si="237"/>
        <v>0</v>
      </c>
      <c r="M1049" s="85">
        <f t="shared" si="233"/>
        <v>4501.2</v>
      </c>
      <c r="N1049" s="13">
        <f t="shared" si="237"/>
        <v>0</v>
      </c>
      <c r="O1049" s="85">
        <f t="shared" si="234"/>
        <v>4501.2</v>
      </c>
      <c r="P1049" s="13">
        <f t="shared" si="237"/>
        <v>0</v>
      </c>
      <c r="Q1049" s="85">
        <f t="shared" si="224"/>
        <v>4501.2</v>
      </c>
      <c r="R1049" s="13">
        <f t="shared" si="237"/>
        <v>0</v>
      </c>
      <c r="S1049" s="85">
        <f t="shared" si="222"/>
        <v>4501.2</v>
      </c>
      <c r="T1049" s="13">
        <f t="shared" si="237"/>
        <v>0</v>
      </c>
      <c r="U1049" s="85">
        <f t="shared" si="226"/>
        <v>4501.2</v>
      </c>
    </row>
    <row r="1050" spans="1:21" ht="33">
      <c r="A1050" s="61" t="str">
        <f ca="1">IF(ISERROR(MATCH(F1050,Код_КВР,0)),"",INDIRECT(ADDRESS(MATCH(F1050,Код_КВР,0)+1,2,,,"КВР")))</f>
        <v>Предоставление субсидий бюджетным, автономным учреждениям и иным некоммерческим организациям</v>
      </c>
      <c r="B1050" s="145">
        <v>808</v>
      </c>
      <c r="C1050" s="8" t="s">
        <v>222</v>
      </c>
      <c r="D1050" s="8" t="s">
        <v>213</v>
      </c>
      <c r="E1050" s="145" t="s">
        <v>516</v>
      </c>
      <c r="F1050" s="145">
        <v>600</v>
      </c>
      <c r="G1050" s="69">
        <f t="shared" si="237"/>
        <v>4501.2</v>
      </c>
      <c r="H1050" s="69">
        <f t="shared" si="237"/>
        <v>0</v>
      </c>
      <c r="I1050" s="69">
        <f t="shared" si="235"/>
        <v>4501.2</v>
      </c>
      <c r="J1050" s="69">
        <f t="shared" si="237"/>
        <v>0</v>
      </c>
      <c r="K1050" s="85">
        <f t="shared" si="230"/>
        <v>4501.2</v>
      </c>
      <c r="L1050" s="13">
        <f t="shared" si="237"/>
        <v>0</v>
      </c>
      <c r="M1050" s="85">
        <f t="shared" si="233"/>
        <v>4501.2</v>
      </c>
      <c r="N1050" s="13">
        <f t="shared" si="237"/>
        <v>0</v>
      </c>
      <c r="O1050" s="85">
        <f t="shared" si="234"/>
        <v>4501.2</v>
      </c>
      <c r="P1050" s="13">
        <f t="shared" si="237"/>
        <v>0</v>
      </c>
      <c r="Q1050" s="85">
        <f t="shared" si="224"/>
        <v>4501.2</v>
      </c>
      <c r="R1050" s="13">
        <f t="shared" si="237"/>
        <v>0</v>
      </c>
      <c r="S1050" s="85">
        <f t="shared" si="222"/>
        <v>4501.2</v>
      </c>
      <c r="T1050" s="13">
        <f t="shared" si="237"/>
        <v>0</v>
      </c>
      <c r="U1050" s="85">
        <f t="shared" si="226"/>
        <v>4501.2</v>
      </c>
    </row>
    <row r="1051" spans="1:21">
      <c r="A1051" s="61" t="str">
        <f ca="1">IF(ISERROR(MATCH(F1051,Код_КВР,0)),"",INDIRECT(ADDRESS(MATCH(F1051,Код_КВР,0)+1,2,,,"КВР")))</f>
        <v>Субсидии автономным учреждениям</v>
      </c>
      <c r="B1051" s="145">
        <v>808</v>
      </c>
      <c r="C1051" s="8" t="s">
        <v>222</v>
      </c>
      <c r="D1051" s="8" t="s">
        <v>213</v>
      </c>
      <c r="E1051" s="145" t="s">
        <v>516</v>
      </c>
      <c r="F1051" s="145">
        <v>620</v>
      </c>
      <c r="G1051" s="69">
        <f t="shared" si="237"/>
        <v>4501.2</v>
      </c>
      <c r="H1051" s="69">
        <f t="shared" si="237"/>
        <v>0</v>
      </c>
      <c r="I1051" s="69">
        <f t="shared" si="235"/>
        <v>4501.2</v>
      </c>
      <c r="J1051" s="69">
        <f t="shared" si="237"/>
        <v>0</v>
      </c>
      <c r="K1051" s="85">
        <f t="shared" si="230"/>
        <v>4501.2</v>
      </c>
      <c r="L1051" s="13">
        <f t="shared" si="237"/>
        <v>0</v>
      </c>
      <c r="M1051" s="85">
        <f t="shared" si="233"/>
        <v>4501.2</v>
      </c>
      <c r="N1051" s="13">
        <f t="shared" si="237"/>
        <v>0</v>
      </c>
      <c r="O1051" s="85">
        <f t="shared" si="234"/>
        <v>4501.2</v>
      </c>
      <c r="P1051" s="13">
        <f t="shared" si="237"/>
        <v>0</v>
      </c>
      <c r="Q1051" s="85">
        <f t="shared" si="224"/>
        <v>4501.2</v>
      </c>
      <c r="R1051" s="13">
        <f t="shared" si="237"/>
        <v>0</v>
      </c>
      <c r="S1051" s="85">
        <f t="shared" si="222"/>
        <v>4501.2</v>
      </c>
      <c r="T1051" s="13">
        <f t="shared" si="237"/>
        <v>0</v>
      </c>
      <c r="U1051" s="85">
        <f t="shared" si="226"/>
        <v>4501.2</v>
      </c>
    </row>
    <row r="1052" spans="1:21" ht="49.5">
      <c r="A1052" s="61" t="str">
        <f ca="1">IF(ISERROR(MATCH(F1052,Код_КВР,0)),"",INDIRECT(ADDRESS(MATCH(F1052,Код_КВР,0)+1,2,,,"КВР")))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052" s="145">
        <v>808</v>
      </c>
      <c r="C1052" s="8" t="s">
        <v>222</v>
      </c>
      <c r="D1052" s="8" t="s">
        <v>213</v>
      </c>
      <c r="E1052" s="145" t="s">
        <v>516</v>
      </c>
      <c r="F1052" s="145">
        <v>621</v>
      </c>
      <c r="G1052" s="69">
        <v>4501.2</v>
      </c>
      <c r="H1052" s="69"/>
      <c r="I1052" s="69">
        <f t="shared" si="235"/>
        <v>4501.2</v>
      </c>
      <c r="J1052" s="69"/>
      <c r="K1052" s="85">
        <f t="shared" si="230"/>
        <v>4501.2</v>
      </c>
      <c r="L1052" s="13"/>
      <c r="M1052" s="85">
        <f t="shared" si="233"/>
        <v>4501.2</v>
      </c>
      <c r="N1052" s="13"/>
      <c r="O1052" s="85">
        <f t="shared" si="234"/>
        <v>4501.2</v>
      </c>
      <c r="P1052" s="13"/>
      <c r="Q1052" s="85">
        <f t="shared" si="224"/>
        <v>4501.2</v>
      </c>
      <c r="R1052" s="13"/>
      <c r="S1052" s="85">
        <f t="shared" si="222"/>
        <v>4501.2</v>
      </c>
      <c r="T1052" s="13"/>
      <c r="U1052" s="85">
        <f t="shared" si="226"/>
        <v>4501.2</v>
      </c>
    </row>
    <row r="1053" spans="1:21" ht="33">
      <c r="A1053" s="61" t="str">
        <f ca="1">IF(ISERROR(MATCH(E1053,Код_КЦСР,0)),"",INDIRECT(ADDRESS(MATCH(E1053,Код_КЦСР,0)+1,2,,,"КЦСР")))</f>
        <v>Непрограммные направления деятельности органов местного самоуправления</v>
      </c>
      <c r="B1053" s="145">
        <v>808</v>
      </c>
      <c r="C1053" s="8" t="s">
        <v>222</v>
      </c>
      <c r="D1053" s="8" t="s">
        <v>213</v>
      </c>
      <c r="E1053" s="145" t="s">
        <v>299</v>
      </c>
      <c r="F1053" s="145"/>
      <c r="G1053" s="69"/>
      <c r="H1053" s="69"/>
      <c r="I1053" s="69"/>
      <c r="J1053" s="69">
        <f>J1054</f>
        <v>33</v>
      </c>
      <c r="K1053" s="85">
        <f t="shared" si="230"/>
        <v>33</v>
      </c>
      <c r="L1053" s="13">
        <f>L1054</f>
        <v>0</v>
      </c>
      <c r="M1053" s="85">
        <f t="shared" si="233"/>
        <v>33</v>
      </c>
      <c r="N1053" s="13">
        <f>N1054</f>
        <v>0</v>
      </c>
      <c r="O1053" s="85">
        <f t="shared" si="234"/>
        <v>33</v>
      </c>
      <c r="P1053" s="13">
        <f>P1054</f>
        <v>0</v>
      </c>
      <c r="Q1053" s="85">
        <f t="shared" si="224"/>
        <v>33</v>
      </c>
      <c r="R1053" s="13">
        <f>R1054</f>
        <v>0</v>
      </c>
      <c r="S1053" s="85">
        <f t="shared" si="222"/>
        <v>33</v>
      </c>
      <c r="T1053" s="13">
        <f>T1054</f>
        <v>0</v>
      </c>
      <c r="U1053" s="85">
        <f t="shared" si="226"/>
        <v>33</v>
      </c>
    </row>
    <row r="1054" spans="1:21">
      <c r="A1054" s="61" t="str">
        <f ca="1">IF(ISERROR(MATCH(E1054,Код_КЦСР,0)),"",INDIRECT(ADDRESS(MATCH(E1054,Код_КЦСР,0)+1,2,,,"КЦСР")))</f>
        <v>Расходы, не включенные в муниципальные программы города Череповца</v>
      </c>
      <c r="B1054" s="145">
        <v>808</v>
      </c>
      <c r="C1054" s="8" t="s">
        <v>222</v>
      </c>
      <c r="D1054" s="8" t="s">
        <v>213</v>
      </c>
      <c r="E1054" s="145" t="s">
        <v>301</v>
      </c>
      <c r="F1054" s="145"/>
      <c r="G1054" s="69"/>
      <c r="H1054" s="69"/>
      <c r="I1054" s="69"/>
      <c r="J1054" s="69">
        <f>J1055</f>
        <v>33</v>
      </c>
      <c r="K1054" s="85">
        <f t="shared" si="230"/>
        <v>33</v>
      </c>
      <c r="L1054" s="13">
        <f>L1055</f>
        <v>0</v>
      </c>
      <c r="M1054" s="85">
        <f t="shared" si="233"/>
        <v>33</v>
      </c>
      <c r="N1054" s="13">
        <f>N1055</f>
        <v>0</v>
      </c>
      <c r="O1054" s="85">
        <f t="shared" si="234"/>
        <v>33</v>
      </c>
      <c r="P1054" s="13">
        <f>P1055</f>
        <v>0</v>
      </c>
      <c r="Q1054" s="85">
        <f t="shared" si="224"/>
        <v>33</v>
      </c>
      <c r="R1054" s="13">
        <f>R1055</f>
        <v>0</v>
      </c>
      <c r="S1054" s="85">
        <f t="shared" si="222"/>
        <v>33</v>
      </c>
      <c r="T1054" s="13">
        <f>T1055</f>
        <v>0</v>
      </c>
      <c r="U1054" s="85">
        <f t="shared" si="226"/>
        <v>33</v>
      </c>
    </row>
    <row r="1055" spans="1:21">
      <c r="A1055" s="61" t="str">
        <f ca="1">IF(ISERROR(MATCH(E1055,Код_КЦСР,0)),"",INDIRECT(ADDRESS(MATCH(E1055,Код_КЦСР,0)+1,2,,,"КЦСР")))</f>
        <v>Кредиторская задолженность, сложившаяся по итогам 2013 года</v>
      </c>
      <c r="B1055" s="145">
        <v>808</v>
      </c>
      <c r="C1055" s="8" t="s">
        <v>222</v>
      </c>
      <c r="D1055" s="8" t="s">
        <v>213</v>
      </c>
      <c r="E1055" s="145" t="s">
        <v>371</v>
      </c>
      <c r="F1055" s="145"/>
      <c r="G1055" s="69"/>
      <c r="H1055" s="69"/>
      <c r="I1055" s="69"/>
      <c r="J1055" s="69">
        <f>J1056</f>
        <v>33</v>
      </c>
      <c r="K1055" s="85">
        <f t="shared" si="230"/>
        <v>33</v>
      </c>
      <c r="L1055" s="13">
        <f>L1056</f>
        <v>0</v>
      </c>
      <c r="M1055" s="85">
        <f t="shared" si="233"/>
        <v>33</v>
      </c>
      <c r="N1055" s="13">
        <f>N1056</f>
        <v>0</v>
      </c>
      <c r="O1055" s="85">
        <f t="shared" si="234"/>
        <v>33</v>
      </c>
      <c r="P1055" s="13">
        <f>P1056</f>
        <v>0</v>
      </c>
      <c r="Q1055" s="85">
        <f t="shared" si="224"/>
        <v>33</v>
      </c>
      <c r="R1055" s="13">
        <f>R1056</f>
        <v>0</v>
      </c>
      <c r="S1055" s="85">
        <f t="shared" si="222"/>
        <v>33</v>
      </c>
      <c r="T1055" s="13">
        <f>T1056</f>
        <v>0</v>
      </c>
      <c r="U1055" s="85">
        <f t="shared" si="226"/>
        <v>33</v>
      </c>
    </row>
    <row r="1056" spans="1:21" ht="33">
      <c r="A1056" s="61" t="str">
        <f ca="1">IF(ISERROR(MATCH(F1056,Код_КВР,0)),"",INDIRECT(ADDRESS(MATCH(F1056,Код_КВР,0)+1,2,,,"КВР")))</f>
        <v>Предоставление субсидий бюджетным, автономным учреждениям и иным некоммерческим организациям</v>
      </c>
      <c r="B1056" s="145">
        <v>808</v>
      </c>
      <c r="C1056" s="8" t="s">
        <v>222</v>
      </c>
      <c r="D1056" s="8" t="s">
        <v>213</v>
      </c>
      <c r="E1056" s="145" t="s">
        <v>371</v>
      </c>
      <c r="F1056" s="145">
        <v>600</v>
      </c>
      <c r="G1056" s="69"/>
      <c r="H1056" s="69"/>
      <c r="I1056" s="69"/>
      <c r="J1056" s="69">
        <f>J1057</f>
        <v>33</v>
      </c>
      <c r="K1056" s="85">
        <f t="shared" si="230"/>
        <v>33</v>
      </c>
      <c r="L1056" s="13">
        <f>L1057</f>
        <v>0</v>
      </c>
      <c r="M1056" s="85">
        <f t="shared" si="233"/>
        <v>33</v>
      </c>
      <c r="N1056" s="13">
        <f>N1057</f>
        <v>0</v>
      </c>
      <c r="O1056" s="85">
        <f t="shared" si="234"/>
        <v>33</v>
      </c>
      <c r="P1056" s="13">
        <f>P1057</f>
        <v>0</v>
      </c>
      <c r="Q1056" s="85">
        <f t="shared" si="224"/>
        <v>33</v>
      </c>
      <c r="R1056" s="13">
        <f>R1057</f>
        <v>0</v>
      </c>
      <c r="S1056" s="85">
        <f t="shared" si="222"/>
        <v>33</v>
      </c>
      <c r="T1056" s="13">
        <f>T1057</f>
        <v>0</v>
      </c>
      <c r="U1056" s="85">
        <f t="shared" si="226"/>
        <v>33</v>
      </c>
    </row>
    <row r="1057" spans="1:21">
      <c r="A1057" s="61" t="str">
        <f ca="1">IF(ISERROR(MATCH(F1057,Код_КВР,0)),"",INDIRECT(ADDRESS(MATCH(F1057,Код_КВР,0)+1,2,,,"КВР")))</f>
        <v>Субсидии бюджетным учреждениям</v>
      </c>
      <c r="B1057" s="145">
        <v>808</v>
      </c>
      <c r="C1057" s="8" t="s">
        <v>222</v>
      </c>
      <c r="D1057" s="8" t="s">
        <v>213</v>
      </c>
      <c r="E1057" s="145" t="s">
        <v>371</v>
      </c>
      <c r="F1057" s="145">
        <v>610</v>
      </c>
      <c r="G1057" s="69"/>
      <c r="H1057" s="69"/>
      <c r="I1057" s="69"/>
      <c r="J1057" s="69">
        <f>J1058</f>
        <v>33</v>
      </c>
      <c r="K1057" s="85">
        <f t="shared" si="230"/>
        <v>33</v>
      </c>
      <c r="L1057" s="13">
        <f>L1058</f>
        <v>0</v>
      </c>
      <c r="M1057" s="85">
        <f t="shared" si="233"/>
        <v>33</v>
      </c>
      <c r="N1057" s="13">
        <f>N1058</f>
        <v>0</v>
      </c>
      <c r="O1057" s="85">
        <f t="shared" si="234"/>
        <v>33</v>
      </c>
      <c r="P1057" s="13">
        <f>P1058</f>
        <v>0</v>
      </c>
      <c r="Q1057" s="85">
        <f t="shared" si="224"/>
        <v>33</v>
      </c>
      <c r="R1057" s="13">
        <f>R1058</f>
        <v>0</v>
      </c>
      <c r="S1057" s="85">
        <f t="shared" si="222"/>
        <v>33</v>
      </c>
      <c r="T1057" s="13">
        <f>T1058</f>
        <v>0</v>
      </c>
      <c r="U1057" s="85">
        <f t="shared" si="226"/>
        <v>33</v>
      </c>
    </row>
    <row r="1058" spans="1:21">
      <c r="A1058" s="61" t="str">
        <f ca="1">IF(ISERROR(MATCH(F1058,Код_КВР,0)),"",INDIRECT(ADDRESS(MATCH(F1058,Код_КВР,0)+1,2,,,"КВР")))</f>
        <v>Субсидии бюджетным учреждениям на иные цели</v>
      </c>
      <c r="B1058" s="145">
        <v>808</v>
      </c>
      <c r="C1058" s="8" t="s">
        <v>222</v>
      </c>
      <c r="D1058" s="8" t="s">
        <v>213</v>
      </c>
      <c r="E1058" s="145" t="s">
        <v>371</v>
      </c>
      <c r="F1058" s="145">
        <v>612</v>
      </c>
      <c r="G1058" s="69"/>
      <c r="H1058" s="69"/>
      <c r="I1058" s="69"/>
      <c r="J1058" s="69">
        <v>33</v>
      </c>
      <c r="K1058" s="85">
        <f t="shared" si="230"/>
        <v>33</v>
      </c>
      <c r="L1058" s="13"/>
      <c r="M1058" s="85">
        <f t="shared" si="233"/>
        <v>33</v>
      </c>
      <c r="N1058" s="13"/>
      <c r="O1058" s="85">
        <f t="shared" si="234"/>
        <v>33</v>
      </c>
      <c r="P1058" s="13"/>
      <c r="Q1058" s="85">
        <f t="shared" si="224"/>
        <v>33</v>
      </c>
      <c r="R1058" s="13"/>
      <c r="S1058" s="85">
        <f t="shared" si="222"/>
        <v>33</v>
      </c>
      <c r="T1058" s="13"/>
      <c r="U1058" s="85">
        <f t="shared" si="226"/>
        <v>33</v>
      </c>
    </row>
    <row r="1059" spans="1:21">
      <c r="A1059" s="12" t="s">
        <v>163</v>
      </c>
      <c r="B1059" s="145">
        <v>808</v>
      </c>
      <c r="C1059" s="8" t="s">
        <v>222</v>
      </c>
      <c r="D1059" s="8" t="s">
        <v>216</v>
      </c>
      <c r="E1059" s="145"/>
      <c r="F1059" s="145"/>
      <c r="G1059" s="69">
        <f>G1060+G1121+G1126+G1143+G1178</f>
        <v>26727</v>
      </c>
      <c r="H1059" s="69">
        <f>H1060+H1121+H1126+H1143+H1178</f>
        <v>0</v>
      </c>
      <c r="I1059" s="69">
        <f t="shared" si="235"/>
        <v>26727</v>
      </c>
      <c r="J1059" s="69">
        <f>J1060+J1121+J1126+J1143+J1178</f>
        <v>36</v>
      </c>
      <c r="K1059" s="85">
        <f t="shared" si="230"/>
        <v>26763</v>
      </c>
      <c r="L1059" s="13">
        <f>L1060+L1121+L1126+L1143+L1178</f>
        <v>-1.8</v>
      </c>
      <c r="M1059" s="85">
        <f t="shared" si="233"/>
        <v>26761.200000000001</v>
      </c>
      <c r="N1059" s="13">
        <f>N1060+N1121+N1126+N1143+N1178</f>
        <v>0</v>
      </c>
      <c r="O1059" s="85">
        <f t="shared" si="234"/>
        <v>26761.200000000001</v>
      </c>
      <c r="P1059" s="13">
        <f>P1060+P1121+P1126+P1143+P1178</f>
        <v>0</v>
      </c>
      <c r="Q1059" s="85">
        <f t="shared" si="224"/>
        <v>26761.200000000001</v>
      </c>
      <c r="R1059" s="13">
        <f>R1060+R1121+R1126+R1143+R1178</f>
        <v>6009.3</v>
      </c>
      <c r="S1059" s="85">
        <f t="shared" si="222"/>
        <v>32770.5</v>
      </c>
      <c r="T1059" s="13">
        <f>T1060+T1121+T1126+T1143+T1178+T1173</f>
        <v>-66.900000000000034</v>
      </c>
      <c r="U1059" s="85">
        <f t="shared" si="226"/>
        <v>32703.599999999999</v>
      </c>
    </row>
    <row r="1060" spans="1:21" ht="33">
      <c r="A1060" s="61" t="str">
        <f ca="1">IF(ISERROR(MATCH(E1060,Код_КЦСР,0)),"",INDIRECT(ADDRESS(MATCH(E1060,Код_КЦСР,0)+1,2,,,"КЦСР")))</f>
        <v>Муниципальная программа «Культура, традиции и народное творчество в городе Череповце» на 2013-2018 годы</v>
      </c>
      <c r="B1060" s="145">
        <v>808</v>
      </c>
      <c r="C1060" s="8" t="s">
        <v>222</v>
      </c>
      <c r="D1060" s="8" t="s">
        <v>216</v>
      </c>
      <c r="E1060" s="145" t="s">
        <v>464</v>
      </c>
      <c r="F1060" s="145"/>
      <c r="G1060" s="69">
        <f>G1061+G1066+G1079+G1088+G1097+G1108+G1117</f>
        <v>17171.3</v>
      </c>
      <c r="H1060" s="69">
        <f>H1061+H1066+H1079+H1088+H1097+H1108+H1117</f>
        <v>0</v>
      </c>
      <c r="I1060" s="69">
        <f t="shared" si="235"/>
        <v>17171.3</v>
      </c>
      <c r="J1060" s="69">
        <f>J1061+J1066+J1079+J1088+J1097+J1108+J1117</f>
        <v>0</v>
      </c>
      <c r="K1060" s="85">
        <f t="shared" si="230"/>
        <v>17171.3</v>
      </c>
      <c r="L1060" s="13">
        <f>L1061+L1066+L1079+L1088+L1097+L1108+L1117</f>
        <v>-1.8</v>
      </c>
      <c r="M1060" s="85">
        <f t="shared" si="233"/>
        <v>17169.5</v>
      </c>
      <c r="N1060" s="13">
        <f>N1061+N1066+N1079+N1088+N1097+N1108+N1117</f>
        <v>0</v>
      </c>
      <c r="O1060" s="85">
        <f t="shared" si="234"/>
        <v>17169.5</v>
      </c>
      <c r="P1060" s="13">
        <f>P1061+P1066+P1079+P1088+P1097+P1108+P1117</f>
        <v>0</v>
      </c>
      <c r="Q1060" s="85">
        <f t="shared" si="224"/>
        <v>17169.5</v>
      </c>
      <c r="R1060" s="13">
        <f>R1061+R1066+R1079+R1088+R1097+R1108+R1117</f>
        <v>6009.3</v>
      </c>
      <c r="S1060" s="85">
        <f t="shared" si="222"/>
        <v>23178.799999999999</v>
      </c>
      <c r="T1060" s="13">
        <f>T1061+T1066+T1079+T1088+T1097+T1108+T1117</f>
        <v>-141.9</v>
      </c>
      <c r="U1060" s="85">
        <f t="shared" si="226"/>
        <v>23036.899999999998</v>
      </c>
    </row>
    <row r="1061" spans="1:21" ht="33">
      <c r="A1061" s="61" t="str">
        <f ca="1">IF(ISERROR(MATCH(E1061,Код_КЦСР,0)),"",INDIRECT(ADDRESS(MATCH(E1061,Код_КЦСР,0)+1,2,,,"КЦСР")))</f>
        <v>Сохранение, эффективное использование  и популяризация объектов культурного наследия</v>
      </c>
      <c r="B1061" s="145">
        <v>808</v>
      </c>
      <c r="C1061" s="8" t="s">
        <v>222</v>
      </c>
      <c r="D1061" s="8" t="s">
        <v>216</v>
      </c>
      <c r="E1061" s="145" t="s">
        <v>466</v>
      </c>
      <c r="F1061" s="145"/>
      <c r="G1061" s="69">
        <f t="shared" ref="G1061:T1064" si="238">G1062</f>
        <v>100</v>
      </c>
      <c r="H1061" s="69">
        <f t="shared" si="238"/>
        <v>0</v>
      </c>
      <c r="I1061" s="69">
        <f t="shared" si="235"/>
        <v>100</v>
      </c>
      <c r="J1061" s="69">
        <f t="shared" si="238"/>
        <v>0</v>
      </c>
      <c r="K1061" s="85">
        <f t="shared" si="230"/>
        <v>100</v>
      </c>
      <c r="L1061" s="13">
        <f t="shared" si="238"/>
        <v>0</v>
      </c>
      <c r="M1061" s="85">
        <f t="shared" si="233"/>
        <v>100</v>
      </c>
      <c r="N1061" s="13">
        <f t="shared" si="238"/>
        <v>0</v>
      </c>
      <c r="O1061" s="85">
        <f t="shared" si="234"/>
        <v>100</v>
      </c>
      <c r="P1061" s="13">
        <f t="shared" si="238"/>
        <v>0</v>
      </c>
      <c r="Q1061" s="85">
        <f t="shared" si="224"/>
        <v>100</v>
      </c>
      <c r="R1061" s="13">
        <f t="shared" si="238"/>
        <v>0</v>
      </c>
      <c r="S1061" s="85">
        <f t="shared" si="222"/>
        <v>100</v>
      </c>
      <c r="T1061" s="13">
        <f t="shared" si="238"/>
        <v>0</v>
      </c>
      <c r="U1061" s="85">
        <f t="shared" si="226"/>
        <v>100</v>
      </c>
    </row>
    <row r="1062" spans="1:21" ht="70.7" customHeight="1">
      <c r="A1062" s="61" t="str">
        <f ca="1">IF(ISERROR(MATCH(E1062,Код_КЦСР,0)),"",INDIRECT(ADDRESS(MATCH(E1062,Код_КЦСР,0)+1,2,,,"КЦСР")))</f>
        <v>Ведомственная целевая программа «Отрасль «Культура города Череповца» (2012-2014 годы) (Организация мероприятий по ремонту, реставрации и эффективному использованию  объектов культурного наследия)</v>
      </c>
      <c r="B1062" s="145">
        <v>808</v>
      </c>
      <c r="C1062" s="8" t="s">
        <v>222</v>
      </c>
      <c r="D1062" s="8" t="s">
        <v>216</v>
      </c>
      <c r="E1062" s="145" t="s">
        <v>470</v>
      </c>
      <c r="F1062" s="145"/>
      <c r="G1062" s="69">
        <f t="shared" si="238"/>
        <v>100</v>
      </c>
      <c r="H1062" s="69">
        <f t="shared" si="238"/>
        <v>0</v>
      </c>
      <c r="I1062" s="69">
        <f t="shared" si="235"/>
        <v>100</v>
      </c>
      <c r="J1062" s="69">
        <f t="shared" si="238"/>
        <v>0</v>
      </c>
      <c r="K1062" s="85">
        <f t="shared" si="230"/>
        <v>100</v>
      </c>
      <c r="L1062" s="13">
        <f t="shared" si="238"/>
        <v>0</v>
      </c>
      <c r="M1062" s="85">
        <f t="shared" si="233"/>
        <v>100</v>
      </c>
      <c r="N1062" s="13">
        <f t="shared" si="238"/>
        <v>0</v>
      </c>
      <c r="O1062" s="85">
        <f t="shared" si="234"/>
        <v>100</v>
      </c>
      <c r="P1062" s="13">
        <f t="shared" si="238"/>
        <v>0</v>
      </c>
      <c r="Q1062" s="85">
        <f t="shared" si="224"/>
        <v>100</v>
      </c>
      <c r="R1062" s="13">
        <f t="shared" si="238"/>
        <v>0</v>
      </c>
      <c r="S1062" s="85">
        <f t="shared" si="222"/>
        <v>100</v>
      </c>
      <c r="T1062" s="13">
        <f t="shared" si="238"/>
        <v>0</v>
      </c>
      <c r="U1062" s="85">
        <f t="shared" si="226"/>
        <v>100</v>
      </c>
    </row>
    <row r="1063" spans="1:21" ht="33">
      <c r="A1063" s="61" t="str">
        <f ca="1">IF(ISERROR(MATCH(F1063,Код_КВР,0)),"",INDIRECT(ADDRESS(MATCH(F1063,Код_КВР,0)+1,2,,,"КВР")))</f>
        <v>Предоставление субсидий бюджетным, автономным учреждениям и иным некоммерческим организациям</v>
      </c>
      <c r="B1063" s="145">
        <v>808</v>
      </c>
      <c r="C1063" s="8" t="s">
        <v>222</v>
      </c>
      <c r="D1063" s="8" t="s">
        <v>216</v>
      </c>
      <c r="E1063" s="145" t="s">
        <v>470</v>
      </c>
      <c r="F1063" s="145">
        <v>600</v>
      </c>
      <c r="G1063" s="69">
        <f t="shared" si="238"/>
        <v>100</v>
      </c>
      <c r="H1063" s="69">
        <f t="shared" si="238"/>
        <v>0</v>
      </c>
      <c r="I1063" s="69">
        <f t="shared" si="235"/>
        <v>100</v>
      </c>
      <c r="J1063" s="69">
        <f t="shared" si="238"/>
        <v>0</v>
      </c>
      <c r="K1063" s="85">
        <f t="shared" si="230"/>
        <v>100</v>
      </c>
      <c r="L1063" s="13">
        <f t="shared" si="238"/>
        <v>0</v>
      </c>
      <c r="M1063" s="85">
        <f t="shared" si="233"/>
        <v>100</v>
      </c>
      <c r="N1063" s="13">
        <f t="shared" si="238"/>
        <v>0</v>
      </c>
      <c r="O1063" s="85">
        <f t="shared" si="234"/>
        <v>100</v>
      </c>
      <c r="P1063" s="13">
        <f t="shared" si="238"/>
        <v>0</v>
      </c>
      <c r="Q1063" s="85">
        <f t="shared" si="224"/>
        <v>100</v>
      </c>
      <c r="R1063" s="13">
        <f t="shared" si="238"/>
        <v>0</v>
      </c>
      <c r="S1063" s="85">
        <f t="shared" si="222"/>
        <v>100</v>
      </c>
      <c r="T1063" s="13">
        <f t="shared" si="238"/>
        <v>0</v>
      </c>
      <c r="U1063" s="85">
        <f t="shared" ref="U1063:U1126" si="239">S1063+T1063</f>
        <v>100</v>
      </c>
    </row>
    <row r="1064" spans="1:21">
      <c r="A1064" s="61" t="str">
        <f ca="1">IF(ISERROR(MATCH(F1064,Код_КВР,0)),"",INDIRECT(ADDRESS(MATCH(F1064,Код_КВР,0)+1,2,,,"КВР")))</f>
        <v>Субсидии бюджетным учреждениям</v>
      </c>
      <c r="B1064" s="145">
        <v>808</v>
      </c>
      <c r="C1064" s="8" t="s">
        <v>222</v>
      </c>
      <c r="D1064" s="8" t="s">
        <v>216</v>
      </c>
      <c r="E1064" s="145" t="s">
        <v>470</v>
      </c>
      <c r="F1064" s="145">
        <v>610</v>
      </c>
      <c r="G1064" s="69">
        <f t="shared" si="238"/>
        <v>100</v>
      </c>
      <c r="H1064" s="69">
        <f t="shared" si="238"/>
        <v>0</v>
      </c>
      <c r="I1064" s="69">
        <f t="shared" si="235"/>
        <v>100</v>
      </c>
      <c r="J1064" s="69">
        <f t="shared" si="238"/>
        <v>0</v>
      </c>
      <c r="K1064" s="85">
        <f t="shared" si="230"/>
        <v>100</v>
      </c>
      <c r="L1064" s="13">
        <f t="shared" si="238"/>
        <v>0</v>
      </c>
      <c r="M1064" s="85">
        <f t="shared" si="233"/>
        <v>100</v>
      </c>
      <c r="N1064" s="13">
        <f t="shared" si="238"/>
        <v>0</v>
      </c>
      <c r="O1064" s="85">
        <f t="shared" si="234"/>
        <v>100</v>
      </c>
      <c r="P1064" s="13">
        <f t="shared" si="238"/>
        <v>0</v>
      </c>
      <c r="Q1064" s="85">
        <f t="shared" si="224"/>
        <v>100</v>
      </c>
      <c r="R1064" s="13">
        <f t="shared" si="238"/>
        <v>0</v>
      </c>
      <c r="S1064" s="85">
        <f t="shared" si="222"/>
        <v>100</v>
      </c>
      <c r="T1064" s="13">
        <f t="shared" si="238"/>
        <v>0</v>
      </c>
      <c r="U1064" s="85">
        <f t="shared" si="239"/>
        <v>100</v>
      </c>
    </row>
    <row r="1065" spans="1:21">
      <c r="A1065" s="61" t="str">
        <f ca="1">IF(ISERROR(MATCH(F1065,Код_КВР,0)),"",INDIRECT(ADDRESS(MATCH(F1065,Код_КВР,0)+1,2,,,"КВР")))</f>
        <v>Субсидии бюджетным учреждениям на иные цели</v>
      </c>
      <c r="B1065" s="145">
        <v>808</v>
      </c>
      <c r="C1065" s="8" t="s">
        <v>222</v>
      </c>
      <c r="D1065" s="8" t="s">
        <v>216</v>
      </c>
      <c r="E1065" s="145" t="s">
        <v>470</v>
      </c>
      <c r="F1065" s="145">
        <v>612</v>
      </c>
      <c r="G1065" s="69">
        <v>100</v>
      </c>
      <c r="H1065" s="69"/>
      <c r="I1065" s="69">
        <f t="shared" si="235"/>
        <v>100</v>
      </c>
      <c r="J1065" s="69"/>
      <c r="K1065" s="85">
        <f t="shared" si="230"/>
        <v>100</v>
      </c>
      <c r="L1065" s="13"/>
      <c r="M1065" s="85">
        <f t="shared" si="233"/>
        <v>100</v>
      </c>
      <c r="N1065" s="13"/>
      <c r="O1065" s="85">
        <f t="shared" si="234"/>
        <v>100</v>
      </c>
      <c r="P1065" s="13"/>
      <c r="Q1065" s="85">
        <f t="shared" si="224"/>
        <v>100</v>
      </c>
      <c r="R1065" s="13"/>
      <c r="S1065" s="85">
        <f t="shared" si="222"/>
        <v>100</v>
      </c>
      <c r="T1065" s="13"/>
      <c r="U1065" s="85">
        <f t="shared" si="239"/>
        <v>100</v>
      </c>
    </row>
    <row r="1066" spans="1:21">
      <c r="A1066" s="61" t="str">
        <f ca="1">IF(ISERROR(MATCH(E1066,Код_КЦСР,0)),"",INDIRECT(ADDRESS(MATCH(E1066,Код_КЦСР,0)+1,2,,,"КЦСР")))</f>
        <v>Развитие музейного дела</v>
      </c>
      <c r="B1066" s="145">
        <v>808</v>
      </c>
      <c r="C1066" s="8" t="s">
        <v>222</v>
      </c>
      <c r="D1066" s="8" t="s">
        <v>216</v>
      </c>
      <c r="E1066" s="145" t="s">
        <v>471</v>
      </c>
      <c r="F1066" s="145"/>
      <c r="G1066" s="69">
        <f>G1067+G1071</f>
        <v>682</v>
      </c>
      <c r="H1066" s="69">
        <f>H1067+H1071</f>
        <v>0</v>
      </c>
      <c r="I1066" s="69">
        <f t="shared" si="235"/>
        <v>682</v>
      </c>
      <c r="J1066" s="69">
        <f>J1067+J1071</f>
        <v>0</v>
      </c>
      <c r="K1066" s="85">
        <f t="shared" si="230"/>
        <v>682</v>
      </c>
      <c r="L1066" s="13">
        <f>L1067+L1071</f>
        <v>0</v>
      </c>
      <c r="M1066" s="85">
        <f t="shared" si="233"/>
        <v>682</v>
      </c>
      <c r="N1066" s="13">
        <f>N1067+N1071</f>
        <v>0</v>
      </c>
      <c r="O1066" s="85">
        <f t="shared" si="234"/>
        <v>682</v>
      </c>
      <c r="P1066" s="13">
        <f>P1067+P1071</f>
        <v>0</v>
      </c>
      <c r="Q1066" s="85">
        <f t="shared" si="224"/>
        <v>682</v>
      </c>
      <c r="R1066" s="13">
        <f>R1067+R1071+R1075</f>
        <v>6009.3</v>
      </c>
      <c r="S1066" s="85">
        <f t="shared" si="222"/>
        <v>6691.3</v>
      </c>
      <c r="T1066" s="13">
        <f>T1067+T1071+T1075</f>
        <v>0</v>
      </c>
      <c r="U1066" s="85">
        <f t="shared" si="239"/>
        <v>6691.3</v>
      </c>
    </row>
    <row r="1067" spans="1:21" ht="66">
      <c r="A1067" s="61" t="str">
        <f ca="1">IF(ISERROR(MATCH(E1067,Код_КЦСР,0)),"",INDIRECT(ADDRESS(MATCH(E1067,Код_КЦСР,0)+1,2,,,"КЦСР")))</f>
        <v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 и памятными датами, событиями  мировой и отечественной культуры)</v>
      </c>
      <c r="B1067" s="145">
        <v>808</v>
      </c>
      <c r="C1067" s="8" t="s">
        <v>222</v>
      </c>
      <c r="D1067" s="8" t="s">
        <v>216</v>
      </c>
      <c r="E1067" s="145" t="s">
        <v>472</v>
      </c>
      <c r="F1067" s="145"/>
      <c r="G1067" s="69">
        <f t="shared" ref="G1067:T1069" si="240">G1068</f>
        <v>270</v>
      </c>
      <c r="H1067" s="69">
        <f t="shared" si="240"/>
        <v>0</v>
      </c>
      <c r="I1067" s="69">
        <f t="shared" si="235"/>
        <v>270</v>
      </c>
      <c r="J1067" s="69">
        <f t="shared" si="240"/>
        <v>0</v>
      </c>
      <c r="K1067" s="85">
        <f t="shared" si="230"/>
        <v>270</v>
      </c>
      <c r="L1067" s="13">
        <f t="shared" si="240"/>
        <v>0</v>
      </c>
      <c r="M1067" s="85">
        <f t="shared" si="233"/>
        <v>270</v>
      </c>
      <c r="N1067" s="13">
        <f t="shared" si="240"/>
        <v>0</v>
      </c>
      <c r="O1067" s="85">
        <f t="shared" si="234"/>
        <v>270</v>
      </c>
      <c r="P1067" s="13">
        <f t="shared" si="240"/>
        <v>0</v>
      </c>
      <c r="Q1067" s="85">
        <f t="shared" si="224"/>
        <v>270</v>
      </c>
      <c r="R1067" s="13">
        <f t="shared" si="240"/>
        <v>0</v>
      </c>
      <c r="S1067" s="85">
        <f t="shared" si="222"/>
        <v>270</v>
      </c>
      <c r="T1067" s="13">
        <f t="shared" si="240"/>
        <v>0</v>
      </c>
      <c r="U1067" s="85">
        <f t="shared" si="239"/>
        <v>270</v>
      </c>
    </row>
    <row r="1068" spans="1:21" ht="33">
      <c r="A1068" s="61" t="str">
        <f ca="1">IF(ISERROR(MATCH(F1068,Код_КВР,0)),"",INDIRECT(ADDRESS(MATCH(F1068,Код_КВР,0)+1,2,,,"КВР")))</f>
        <v>Предоставление субсидий бюджетным, автономным учреждениям и иным некоммерческим организациям</v>
      </c>
      <c r="B1068" s="145">
        <v>808</v>
      </c>
      <c r="C1068" s="8" t="s">
        <v>222</v>
      </c>
      <c r="D1068" s="8" t="s">
        <v>216</v>
      </c>
      <c r="E1068" s="145" t="s">
        <v>472</v>
      </c>
      <c r="F1068" s="145">
        <v>600</v>
      </c>
      <c r="G1068" s="69">
        <f t="shared" si="240"/>
        <v>270</v>
      </c>
      <c r="H1068" s="69">
        <f t="shared" si="240"/>
        <v>0</v>
      </c>
      <c r="I1068" s="69">
        <f t="shared" si="235"/>
        <v>270</v>
      </c>
      <c r="J1068" s="69">
        <f t="shared" si="240"/>
        <v>0</v>
      </c>
      <c r="K1068" s="85">
        <f t="shared" si="230"/>
        <v>270</v>
      </c>
      <c r="L1068" s="13">
        <f t="shared" si="240"/>
        <v>0</v>
      </c>
      <c r="M1068" s="85">
        <f t="shared" si="233"/>
        <v>270</v>
      </c>
      <c r="N1068" s="13">
        <f t="shared" si="240"/>
        <v>0</v>
      </c>
      <c r="O1068" s="85">
        <f t="shared" si="234"/>
        <v>270</v>
      </c>
      <c r="P1068" s="13">
        <f t="shared" si="240"/>
        <v>0</v>
      </c>
      <c r="Q1068" s="85">
        <f t="shared" si="224"/>
        <v>270</v>
      </c>
      <c r="R1068" s="13">
        <f t="shared" si="240"/>
        <v>0</v>
      </c>
      <c r="S1068" s="85">
        <f t="shared" ref="S1068:S1135" si="241">Q1068+R1068</f>
        <v>270</v>
      </c>
      <c r="T1068" s="13">
        <f t="shared" si="240"/>
        <v>0</v>
      </c>
      <c r="U1068" s="85">
        <f t="shared" si="239"/>
        <v>270</v>
      </c>
    </row>
    <row r="1069" spans="1:21">
      <c r="A1069" s="61" t="str">
        <f ca="1">IF(ISERROR(MATCH(F1069,Код_КВР,0)),"",INDIRECT(ADDRESS(MATCH(F1069,Код_КВР,0)+1,2,,,"КВР")))</f>
        <v>Субсидии бюджетным учреждениям</v>
      </c>
      <c r="B1069" s="145">
        <v>808</v>
      </c>
      <c r="C1069" s="8" t="s">
        <v>222</v>
      </c>
      <c r="D1069" s="8" t="s">
        <v>216</v>
      </c>
      <c r="E1069" s="145" t="s">
        <v>472</v>
      </c>
      <c r="F1069" s="145">
        <v>610</v>
      </c>
      <c r="G1069" s="69">
        <f t="shared" si="240"/>
        <v>270</v>
      </c>
      <c r="H1069" s="69">
        <f t="shared" si="240"/>
        <v>0</v>
      </c>
      <c r="I1069" s="69">
        <f t="shared" si="235"/>
        <v>270</v>
      </c>
      <c r="J1069" s="69">
        <f t="shared" si="240"/>
        <v>0</v>
      </c>
      <c r="K1069" s="85">
        <f t="shared" si="230"/>
        <v>270</v>
      </c>
      <c r="L1069" s="13">
        <f t="shared" si="240"/>
        <v>0</v>
      </c>
      <c r="M1069" s="85">
        <f t="shared" si="233"/>
        <v>270</v>
      </c>
      <c r="N1069" s="13">
        <f t="shared" si="240"/>
        <v>0</v>
      </c>
      <c r="O1069" s="85">
        <f t="shared" si="234"/>
        <v>270</v>
      </c>
      <c r="P1069" s="13">
        <f t="shared" si="240"/>
        <v>0</v>
      </c>
      <c r="Q1069" s="85">
        <f t="shared" si="224"/>
        <v>270</v>
      </c>
      <c r="R1069" s="13">
        <f t="shared" si="240"/>
        <v>0</v>
      </c>
      <c r="S1069" s="85">
        <f t="shared" si="241"/>
        <v>270</v>
      </c>
      <c r="T1069" s="13">
        <f t="shared" si="240"/>
        <v>0</v>
      </c>
      <c r="U1069" s="85">
        <f t="shared" si="239"/>
        <v>270</v>
      </c>
    </row>
    <row r="1070" spans="1:21">
      <c r="A1070" s="61" t="str">
        <f ca="1">IF(ISERROR(MATCH(F1070,Код_КВР,0)),"",INDIRECT(ADDRESS(MATCH(F1070,Код_КВР,0)+1,2,,,"КВР")))</f>
        <v>Субсидии бюджетным учреждениям на иные цели</v>
      </c>
      <c r="B1070" s="145">
        <v>808</v>
      </c>
      <c r="C1070" s="8" t="s">
        <v>222</v>
      </c>
      <c r="D1070" s="8" t="s">
        <v>216</v>
      </c>
      <c r="E1070" s="145" t="s">
        <v>472</v>
      </c>
      <c r="F1070" s="145">
        <v>612</v>
      </c>
      <c r="G1070" s="69">
        <v>270</v>
      </c>
      <c r="H1070" s="69"/>
      <c r="I1070" s="69">
        <f t="shared" si="235"/>
        <v>270</v>
      </c>
      <c r="J1070" s="69"/>
      <c r="K1070" s="85">
        <f t="shared" si="230"/>
        <v>270</v>
      </c>
      <c r="L1070" s="13"/>
      <c r="M1070" s="85">
        <f t="shared" si="233"/>
        <v>270</v>
      </c>
      <c r="N1070" s="13"/>
      <c r="O1070" s="85">
        <f t="shared" si="234"/>
        <v>270</v>
      </c>
      <c r="P1070" s="13"/>
      <c r="Q1070" s="85">
        <f t="shared" si="224"/>
        <v>270</v>
      </c>
      <c r="R1070" s="13"/>
      <c r="S1070" s="85">
        <f t="shared" si="241"/>
        <v>270</v>
      </c>
      <c r="T1070" s="13"/>
      <c r="U1070" s="85">
        <f t="shared" si="239"/>
        <v>270</v>
      </c>
    </row>
    <row r="1071" spans="1:21" ht="49.5">
      <c r="A1071" s="61" t="str">
        <f ca="1">IF(ISERROR(MATCH(E1071,Код_КЦСР,0)),"",INDIRECT(ADDRESS(MATCH(E1071,Код_КЦСР,0)+1,2,,,"КЦСР")))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1071" s="145">
        <v>808</v>
      </c>
      <c r="C1071" s="8" t="s">
        <v>222</v>
      </c>
      <c r="D1071" s="8" t="s">
        <v>216</v>
      </c>
      <c r="E1071" s="145" t="s">
        <v>474</v>
      </c>
      <c r="F1071" s="145"/>
      <c r="G1071" s="69">
        <f t="shared" ref="G1071:T1073" si="242">G1072</f>
        <v>412</v>
      </c>
      <c r="H1071" s="69">
        <f t="shared" si="242"/>
        <v>0</v>
      </c>
      <c r="I1071" s="69">
        <f t="shared" si="235"/>
        <v>412</v>
      </c>
      <c r="J1071" s="69">
        <f t="shared" si="242"/>
        <v>0</v>
      </c>
      <c r="K1071" s="85">
        <f t="shared" si="230"/>
        <v>412</v>
      </c>
      <c r="L1071" s="13">
        <f t="shared" si="242"/>
        <v>0</v>
      </c>
      <c r="M1071" s="85">
        <f t="shared" si="233"/>
        <v>412</v>
      </c>
      <c r="N1071" s="13">
        <f t="shared" si="242"/>
        <v>0</v>
      </c>
      <c r="O1071" s="85">
        <f t="shared" si="234"/>
        <v>412</v>
      </c>
      <c r="P1071" s="13">
        <f t="shared" si="242"/>
        <v>0</v>
      </c>
      <c r="Q1071" s="85">
        <f t="shared" si="224"/>
        <v>412</v>
      </c>
      <c r="R1071" s="13">
        <f t="shared" si="242"/>
        <v>0</v>
      </c>
      <c r="S1071" s="85">
        <f t="shared" si="241"/>
        <v>412</v>
      </c>
      <c r="T1071" s="13">
        <f t="shared" si="242"/>
        <v>0</v>
      </c>
      <c r="U1071" s="85">
        <f t="shared" si="239"/>
        <v>412</v>
      </c>
    </row>
    <row r="1072" spans="1:21" ht="33">
      <c r="A1072" s="61" t="str">
        <f ca="1">IF(ISERROR(MATCH(F1072,Код_КВР,0)),"",INDIRECT(ADDRESS(MATCH(F1072,Код_КВР,0)+1,2,,,"КВР")))</f>
        <v>Предоставление субсидий бюджетным, автономным учреждениям и иным некоммерческим организациям</v>
      </c>
      <c r="B1072" s="145">
        <v>808</v>
      </c>
      <c r="C1072" s="8" t="s">
        <v>222</v>
      </c>
      <c r="D1072" s="8" t="s">
        <v>216</v>
      </c>
      <c r="E1072" s="145" t="s">
        <v>474</v>
      </c>
      <c r="F1072" s="145">
        <v>600</v>
      </c>
      <c r="G1072" s="69">
        <f t="shared" si="242"/>
        <v>412</v>
      </c>
      <c r="H1072" s="69">
        <f t="shared" si="242"/>
        <v>0</v>
      </c>
      <c r="I1072" s="69">
        <f t="shared" si="235"/>
        <v>412</v>
      </c>
      <c r="J1072" s="69">
        <f t="shared" si="242"/>
        <v>0</v>
      </c>
      <c r="K1072" s="85">
        <f t="shared" si="230"/>
        <v>412</v>
      </c>
      <c r="L1072" s="13">
        <f t="shared" si="242"/>
        <v>0</v>
      </c>
      <c r="M1072" s="85">
        <f t="shared" si="233"/>
        <v>412</v>
      </c>
      <c r="N1072" s="13">
        <f t="shared" si="242"/>
        <v>0</v>
      </c>
      <c r="O1072" s="85">
        <f t="shared" si="234"/>
        <v>412</v>
      </c>
      <c r="P1072" s="13">
        <f t="shared" si="242"/>
        <v>0</v>
      </c>
      <c r="Q1072" s="85">
        <f t="shared" si="224"/>
        <v>412</v>
      </c>
      <c r="R1072" s="13">
        <f t="shared" si="242"/>
        <v>0</v>
      </c>
      <c r="S1072" s="85">
        <f t="shared" si="241"/>
        <v>412</v>
      </c>
      <c r="T1072" s="13">
        <f t="shared" si="242"/>
        <v>0</v>
      </c>
      <c r="U1072" s="85">
        <f t="shared" si="239"/>
        <v>412</v>
      </c>
    </row>
    <row r="1073" spans="1:21">
      <c r="A1073" s="61" t="str">
        <f ca="1">IF(ISERROR(MATCH(F1073,Код_КВР,0)),"",INDIRECT(ADDRESS(MATCH(F1073,Код_КВР,0)+1,2,,,"КВР")))</f>
        <v>Субсидии бюджетным учреждениям</v>
      </c>
      <c r="B1073" s="145">
        <v>808</v>
      </c>
      <c r="C1073" s="8" t="s">
        <v>222</v>
      </c>
      <c r="D1073" s="8" t="s">
        <v>216</v>
      </c>
      <c r="E1073" s="145" t="s">
        <v>474</v>
      </c>
      <c r="F1073" s="145">
        <v>610</v>
      </c>
      <c r="G1073" s="69">
        <f t="shared" si="242"/>
        <v>412</v>
      </c>
      <c r="H1073" s="69">
        <f t="shared" si="242"/>
        <v>0</v>
      </c>
      <c r="I1073" s="69">
        <f t="shared" si="235"/>
        <v>412</v>
      </c>
      <c r="J1073" s="69">
        <f t="shared" si="242"/>
        <v>0</v>
      </c>
      <c r="K1073" s="85">
        <f t="shared" si="230"/>
        <v>412</v>
      </c>
      <c r="L1073" s="13">
        <f t="shared" si="242"/>
        <v>0</v>
      </c>
      <c r="M1073" s="85">
        <f t="shared" si="233"/>
        <v>412</v>
      </c>
      <c r="N1073" s="13">
        <f t="shared" si="242"/>
        <v>0</v>
      </c>
      <c r="O1073" s="85">
        <f t="shared" si="234"/>
        <v>412</v>
      </c>
      <c r="P1073" s="13">
        <f t="shared" si="242"/>
        <v>0</v>
      </c>
      <c r="Q1073" s="85">
        <f t="shared" si="224"/>
        <v>412</v>
      </c>
      <c r="R1073" s="13">
        <f t="shared" si="242"/>
        <v>0</v>
      </c>
      <c r="S1073" s="85">
        <f t="shared" si="241"/>
        <v>412</v>
      </c>
      <c r="T1073" s="13">
        <f t="shared" si="242"/>
        <v>0</v>
      </c>
      <c r="U1073" s="85">
        <f t="shared" si="239"/>
        <v>412</v>
      </c>
    </row>
    <row r="1074" spans="1:21">
      <c r="A1074" s="61" t="str">
        <f ca="1">IF(ISERROR(MATCH(F1074,Код_КВР,0)),"",INDIRECT(ADDRESS(MATCH(F1074,Код_КВР,0)+1,2,,,"КВР")))</f>
        <v>Субсидии бюджетным учреждениям на иные цели</v>
      </c>
      <c r="B1074" s="145">
        <v>808</v>
      </c>
      <c r="C1074" s="8" t="s">
        <v>222</v>
      </c>
      <c r="D1074" s="8" t="s">
        <v>216</v>
      </c>
      <c r="E1074" s="145" t="s">
        <v>474</v>
      </c>
      <c r="F1074" s="145">
        <v>612</v>
      </c>
      <c r="G1074" s="69">
        <v>412</v>
      </c>
      <c r="H1074" s="69"/>
      <c r="I1074" s="69">
        <f t="shared" si="235"/>
        <v>412</v>
      </c>
      <c r="J1074" s="69"/>
      <c r="K1074" s="85">
        <f t="shared" si="230"/>
        <v>412</v>
      </c>
      <c r="L1074" s="13"/>
      <c r="M1074" s="85">
        <f t="shared" si="233"/>
        <v>412</v>
      </c>
      <c r="N1074" s="13"/>
      <c r="O1074" s="85">
        <f t="shared" si="234"/>
        <v>412</v>
      </c>
      <c r="P1074" s="13"/>
      <c r="Q1074" s="85">
        <f t="shared" ref="Q1074:Q1141" si="243">O1074+P1074</f>
        <v>412</v>
      </c>
      <c r="R1074" s="13"/>
      <c r="S1074" s="85">
        <f t="shared" si="241"/>
        <v>412</v>
      </c>
      <c r="T1074" s="13"/>
      <c r="U1074" s="85">
        <f t="shared" si="239"/>
        <v>412</v>
      </c>
    </row>
    <row r="1075" spans="1:21" ht="35.25" customHeight="1">
      <c r="A1075" s="61" t="str">
        <f ca="1">IF(ISERROR(MATCH(E1075,Код_КЦСР,0)),"",INDIRECT(ADDRESS(MATCH(E1075,Код_КЦСР,0)+1,2,,,"КЦСР")))</f>
        <v>Субсидии на иные цели МБУК «Череповецкое музейное объединение» для погашения кредиторской задолженности</v>
      </c>
      <c r="B1075" s="145">
        <v>808</v>
      </c>
      <c r="C1075" s="8" t="s">
        <v>222</v>
      </c>
      <c r="D1075" s="8" t="s">
        <v>216</v>
      </c>
      <c r="E1075" s="145" t="s">
        <v>676</v>
      </c>
      <c r="F1075" s="145"/>
      <c r="G1075" s="69"/>
      <c r="H1075" s="69"/>
      <c r="I1075" s="69"/>
      <c r="J1075" s="69"/>
      <c r="K1075" s="85"/>
      <c r="L1075" s="13"/>
      <c r="M1075" s="85"/>
      <c r="N1075" s="13"/>
      <c r="O1075" s="85"/>
      <c r="P1075" s="13"/>
      <c r="Q1075" s="85"/>
      <c r="R1075" s="13">
        <f>R1076</f>
        <v>6009.3</v>
      </c>
      <c r="S1075" s="85">
        <f t="shared" si="241"/>
        <v>6009.3</v>
      </c>
      <c r="T1075" s="13">
        <f>T1076</f>
        <v>0</v>
      </c>
      <c r="U1075" s="85">
        <f t="shared" si="239"/>
        <v>6009.3</v>
      </c>
    </row>
    <row r="1076" spans="1:21" ht="33">
      <c r="A1076" s="61" t="str">
        <f ca="1">IF(ISERROR(MATCH(F1076,Код_КВР,0)),"",INDIRECT(ADDRESS(MATCH(F1076,Код_КВР,0)+1,2,,,"КВР")))</f>
        <v>Предоставление субсидий бюджетным, автономным учреждениям и иным некоммерческим организациям</v>
      </c>
      <c r="B1076" s="145">
        <v>808</v>
      </c>
      <c r="C1076" s="8" t="s">
        <v>222</v>
      </c>
      <c r="D1076" s="8" t="s">
        <v>216</v>
      </c>
      <c r="E1076" s="145" t="s">
        <v>676</v>
      </c>
      <c r="F1076" s="145">
        <v>600</v>
      </c>
      <c r="G1076" s="69"/>
      <c r="H1076" s="69"/>
      <c r="I1076" s="69"/>
      <c r="J1076" s="69"/>
      <c r="K1076" s="85"/>
      <c r="L1076" s="13"/>
      <c r="M1076" s="85"/>
      <c r="N1076" s="13"/>
      <c r="O1076" s="85"/>
      <c r="P1076" s="13"/>
      <c r="Q1076" s="85"/>
      <c r="R1076" s="13">
        <f>R1077</f>
        <v>6009.3</v>
      </c>
      <c r="S1076" s="85">
        <f t="shared" si="241"/>
        <v>6009.3</v>
      </c>
      <c r="T1076" s="13">
        <f>T1077</f>
        <v>0</v>
      </c>
      <c r="U1076" s="85">
        <f t="shared" si="239"/>
        <v>6009.3</v>
      </c>
    </row>
    <row r="1077" spans="1:21">
      <c r="A1077" s="61" t="str">
        <f ca="1">IF(ISERROR(MATCH(F1077,Код_КВР,0)),"",INDIRECT(ADDRESS(MATCH(F1077,Код_КВР,0)+1,2,,,"КВР")))</f>
        <v>Субсидии бюджетным учреждениям</v>
      </c>
      <c r="B1077" s="145">
        <v>808</v>
      </c>
      <c r="C1077" s="8" t="s">
        <v>222</v>
      </c>
      <c r="D1077" s="8" t="s">
        <v>216</v>
      </c>
      <c r="E1077" s="145" t="s">
        <v>676</v>
      </c>
      <c r="F1077" s="145">
        <v>610</v>
      </c>
      <c r="G1077" s="69"/>
      <c r="H1077" s="69"/>
      <c r="I1077" s="69"/>
      <c r="J1077" s="69"/>
      <c r="K1077" s="85"/>
      <c r="L1077" s="13"/>
      <c r="M1077" s="85"/>
      <c r="N1077" s="13"/>
      <c r="O1077" s="85"/>
      <c r="P1077" s="13"/>
      <c r="Q1077" s="85"/>
      <c r="R1077" s="13">
        <f>R1078</f>
        <v>6009.3</v>
      </c>
      <c r="S1077" s="85">
        <f t="shared" si="241"/>
        <v>6009.3</v>
      </c>
      <c r="T1077" s="13">
        <f>T1078</f>
        <v>0</v>
      </c>
      <c r="U1077" s="85">
        <f t="shared" si="239"/>
        <v>6009.3</v>
      </c>
    </row>
    <row r="1078" spans="1:21" ht="20.25" customHeight="1">
      <c r="A1078" s="61" t="str">
        <f ca="1">IF(ISERROR(MATCH(F1078,Код_КВР,0)),"",INDIRECT(ADDRESS(MATCH(F1078,Код_КВР,0)+1,2,,,"КВР")))</f>
        <v>Субсидии бюджетным учреждениям на иные цели</v>
      </c>
      <c r="B1078" s="145">
        <v>808</v>
      </c>
      <c r="C1078" s="8" t="s">
        <v>222</v>
      </c>
      <c r="D1078" s="8" t="s">
        <v>216</v>
      </c>
      <c r="E1078" s="145" t="s">
        <v>676</v>
      </c>
      <c r="F1078" s="145">
        <v>612</v>
      </c>
      <c r="G1078" s="69"/>
      <c r="H1078" s="69"/>
      <c r="I1078" s="69"/>
      <c r="J1078" s="69"/>
      <c r="K1078" s="85"/>
      <c r="L1078" s="13"/>
      <c r="M1078" s="85"/>
      <c r="N1078" s="13"/>
      <c r="O1078" s="85"/>
      <c r="P1078" s="13"/>
      <c r="Q1078" s="85"/>
      <c r="R1078" s="13">
        <v>6009.3</v>
      </c>
      <c r="S1078" s="85">
        <f t="shared" si="241"/>
        <v>6009.3</v>
      </c>
      <c r="T1078" s="13"/>
      <c r="U1078" s="85">
        <f t="shared" si="239"/>
        <v>6009.3</v>
      </c>
    </row>
    <row r="1079" spans="1:21">
      <c r="A1079" s="61" t="str">
        <f ca="1">IF(ISERROR(MATCH(E1079,Код_КЦСР,0)),"",INDIRECT(ADDRESS(MATCH(E1079,Код_КЦСР,0)+1,2,,,"КЦСР")))</f>
        <v>Развитие библиотечного дела</v>
      </c>
      <c r="B1079" s="145">
        <v>808</v>
      </c>
      <c r="C1079" s="8" t="s">
        <v>222</v>
      </c>
      <c r="D1079" s="8" t="s">
        <v>216</v>
      </c>
      <c r="E1079" s="145" t="s">
        <v>482</v>
      </c>
      <c r="F1079" s="145"/>
      <c r="G1079" s="69">
        <f>G1080+G1084</f>
        <v>3443</v>
      </c>
      <c r="H1079" s="69">
        <f>H1080+H1084</f>
        <v>0</v>
      </c>
      <c r="I1079" s="69">
        <f t="shared" si="235"/>
        <v>3443</v>
      </c>
      <c r="J1079" s="69">
        <f>J1080+J1084</f>
        <v>0</v>
      </c>
      <c r="K1079" s="85">
        <f t="shared" si="230"/>
        <v>3443</v>
      </c>
      <c r="L1079" s="13">
        <f>L1080+L1084</f>
        <v>0</v>
      </c>
      <c r="M1079" s="85">
        <f t="shared" si="233"/>
        <v>3443</v>
      </c>
      <c r="N1079" s="13">
        <f>N1080+N1084</f>
        <v>0</v>
      </c>
      <c r="O1079" s="85">
        <f t="shared" si="234"/>
        <v>3443</v>
      </c>
      <c r="P1079" s="13">
        <f>P1080+P1084</f>
        <v>0</v>
      </c>
      <c r="Q1079" s="85">
        <f t="shared" si="243"/>
        <v>3443</v>
      </c>
      <c r="R1079" s="13">
        <f>R1080+R1084</f>
        <v>0</v>
      </c>
      <c r="S1079" s="85">
        <f t="shared" si="241"/>
        <v>3443</v>
      </c>
      <c r="T1079" s="13">
        <f>T1080+T1084</f>
        <v>0</v>
      </c>
      <c r="U1079" s="85">
        <f t="shared" si="239"/>
        <v>3443</v>
      </c>
    </row>
    <row r="1080" spans="1:21" ht="33">
      <c r="A1080" s="61" t="str">
        <f ca="1">IF(ISERROR(MATCH(E1080,Код_КЦСР,0)),"",INDIRECT(ADDRESS(MATCH(E1080,Код_КЦСР,0)+1,2,,,"КЦСР")))</f>
        <v>Ведомственная целевая программа «Отрасль «Культура города Череповца» (2012-2014 годы) (Комплектование библиотечных фондов)</v>
      </c>
      <c r="B1080" s="145">
        <v>808</v>
      </c>
      <c r="C1080" s="8" t="s">
        <v>222</v>
      </c>
      <c r="D1080" s="8" t="s">
        <v>216</v>
      </c>
      <c r="E1080" s="145" t="s">
        <v>483</v>
      </c>
      <c r="F1080" s="145"/>
      <c r="G1080" s="69">
        <f t="shared" ref="G1080:T1082" si="244">G1081</f>
        <v>1300</v>
      </c>
      <c r="H1080" s="69">
        <f t="shared" si="244"/>
        <v>0</v>
      </c>
      <c r="I1080" s="69">
        <f t="shared" si="235"/>
        <v>1300</v>
      </c>
      <c r="J1080" s="69">
        <f t="shared" si="244"/>
        <v>0</v>
      </c>
      <c r="K1080" s="85">
        <f t="shared" si="230"/>
        <v>1300</v>
      </c>
      <c r="L1080" s="13">
        <f t="shared" si="244"/>
        <v>0</v>
      </c>
      <c r="M1080" s="85">
        <f t="shared" si="233"/>
        <v>1300</v>
      </c>
      <c r="N1080" s="13">
        <f t="shared" si="244"/>
        <v>0</v>
      </c>
      <c r="O1080" s="85">
        <f t="shared" si="234"/>
        <v>1300</v>
      </c>
      <c r="P1080" s="13">
        <f t="shared" si="244"/>
        <v>0</v>
      </c>
      <c r="Q1080" s="85">
        <f t="shared" si="243"/>
        <v>1300</v>
      </c>
      <c r="R1080" s="13">
        <f t="shared" si="244"/>
        <v>0</v>
      </c>
      <c r="S1080" s="85">
        <f t="shared" si="241"/>
        <v>1300</v>
      </c>
      <c r="T1080" s="13">
        <f t="shared" si="244"/>
        <v>0</v>
      </c>
      <c r="U1080" s="85">
        <f t="shared" si="239"/>
        <v>1300</v>
      </c>
    </row>
    <row r="1081" spans="1:21" ht="33">
      <c r="A1081" s="61" t="str">
        <f ca="1">IF(ISERROR(MATCH(F1081,Код_КВР,0)),"",INDIRECT(ADDRESS(MATCH(F1081,Код_КВР,0)+1,2,,,"КВР")))</f>
        <v>Предоставление субсидий бюджетным, автономным учреждениям и иным некоммерческим организациям</v>
      </c>
      <c r="B1081" s="145">
        <v>808</v>
      </c>
      <c r="C1081" s="8" t="s">
        <v>222</v>
      </c>
      <c r="D1081" s="8" t="s">
        <v>216</v>
      </c>
      <c r="E1081" s="145" t="s">
        <v>483</v>
      </c>
      <c r="F1081" s="145">
        <v>600</v>
      </c>
      <c r="G1081" s="69">
        <f t="shared" si="244"/>
        <v>1300</v>
      </c>
      <c r="H1081" s="69">
        <f t="shared" si="244"/>
        <v>0</v>
      </c>
      <c r="I1081" s="69">
        <f t="shared" si="235"/>
        <v>1300</v>
      </c>
      <c r="J1081" s="69">
        <f t="shared" si="244"/>
        <v>0</v>
      </c>
      <c r="K1081" s="85">
        <f t="shared" si="230"/>
        <v>1300</v>
      </c>
      <c r="L1081" s="13">
        <f t="shared" si="244"/>
        <v>0</v>
      </c>
      <c r="M1081" s="85">
        <f t="shared" si="233"/>
        <v>1300</v>
      </c>
      <c r="N1081" s="13">
        <f t="shared" si="244"/>
        <v>0</v>
      </c>
      <c r="O1081" s="85">
        <f t="shared" si="234"/>
        <v>1300</v>
      </c>
      <c r="P1081" s="13">
        <f t="shared" si="244"/>
        <v>0</v>
      </c>
      <c r="Q1081" s="85">
        <f t="shared" si="243"/>
        <v>1300</v>
      </c>
      <c r="R1081" s="13">
        <f t="shared" si="244"/>
        <v>0</v>
      </c>
      <c r="S1081" s="85">
        <f t="shared" si="241"/>
        <v>1300</v>
      </c>
      <c r="T1081" s="13">
        <f t="shared" si="244"/>
        <v>0</v>
      </c>
      <c r="U1081" s="85">
        <f t="shared" si="239"/>
        <v>1300</v>
      </c>
    </row>
    <row r="1082" spans="1:21">
      <c r="A1082" s="61" t="str">
        <f ca="1">IF(ISERROR(MATCH(F1082,Код_КВР,0)),"",INDIRECT(ADDRESS(MATCH(F1082,Код_КВР,0)+1,2,,,"КВР")))</f>
        <v>Субсидии бюджетным учреждениям</v>
      </c>
      <c r="B1082" s="145">
        <v>808</v>
      </c>
      <c r="C1082" s="8" t="s">
        <v>222</v>
      </c>
      <c r="D1082" s="8" t="s">
        <v>216</v>
      </c>
      <c r="E1082" s="145" t="s">
        <v>483</v>
      </c>
      <c r="F1082" s="145">
        <v>610</v>
      </c>
      <c r="G1082" s="69">
        <f t="shared" si="244"/>
        <v>1300</v>
      </c>
      <c r="H1082" s="69">
        <f t="shared" si="244"/>
        <v>0</v>
      </c>
      <c r="I1082" s="69">
        <f t="shared" si="235"/>
        <v>1300</v>
      </c>
      <c r="J1082" s="69">
        <f t="shared" si="244"/>
        <v>0</v>
      </c>
      <c r="K1082" s="85">
        <f t="shared" si="230"/>
        <v>1300</v>
      </c>
      <c r="L1082" s="13">
        <f t="shared" si="244"/>
        <v>0</v>
      </c>
      <c r="M1082" s="85">
        <f t="shared" si="233"/>
        <v>1300</v>
      </c>
      <c r="N1082" s="13">
        <f t="shared" si="244"/>
        <v>0</v>
      </c>
      <c r="O1082" s="85">
        <f t="shared" si="234"/>
        <v>1300</v>
      </c>
      <c r="P1082" s="13">
        <f t="shared" si="244"/>
        <v>0</v>
      </c>
      <c r="Q1082" s="85">
        <f t="shared" si="243"/>
        <v>1300</v>
      </c>
      <c r="R1082" s="13">
        <f t="shared" si="244"/>
        <v>0</v>
      </c>
      <c r="S1082" s="85">
        <f t="shared" si="241"/>
        <v>1300</v>
      </c>
      <c r="T1082" s="13">
        <f t="shared" si="244"/>
        <v>0</v>
      </c>
      <c r="U1082" s="85">
        <f t="shared" si="239"/>
        <v>1300</v>
      </c>
    </row>
    <row r="1083" spans="1:21">
      <c r="A1083" s="61" t="str">
        <f ca="1">IF(ISERROR(MATCH(F1083,Код_КВР,0)),"",INDIRECT(ADDRESS(MATCH(F1083,Код_КВР,0)+1,2,,,"КВР")))</f>
        <v>Субсидии бюджетным учреждениям на иные цели</v>
      </c>
      <c r="B1083" s="145">
        <v>808</v>
      </c>
      <c r="C1083" s="8" t="s">
        <v>222</v>
      </c>
      <c r="D1083" s="8" t="s">
        <v>216</v>
      </c>
      <c r="E1083" s="145" t="s">
        <v>483</v>
      </c>
      <c r="F1083" s="145">
        <v>612</v>
      </c>
      <c r="G1083" s="69">
        <v>1300</v>
      </c>
      <c r="H1083" s="69"/>
      <c r="I1083" s="69">
        <f t="shared" si="235"/>
        <v>1300</v>
      </c>
      <c r="J1083" s="69"/>
      <c r="K1083" s="85">
        <f t="shared" si="230"/>
        <v>1300</v>
      </c>
      <c r="L1083" s="13"/>
      <c r="M1083" s="85">
        <f t="shared" si="233"/>
        <v>1300</v>
      </c>
      <c r="N1083" s="13"/>
      <c r="O1083" s="85">
        <f t="shared" si="234"/>
        <v>1300</v>
      </c>
      <c r="P1083" s="13"/>
      <c r="Q1083" s="85">
        <f t="shared" si="243"/>
        <v>1300</v>
      </c>
      <c r="R1083" s="13"/>
      <c r="S1083" s="85">
        <f t="shared" si="241"/>
        <v>1300</v>
      </c>
      <c r="T1083" s="13"/>
      <c r="U1083" s="85">
        <f t="shared" si="239"/>
        <v>1300</v>
      </c>
    </row>
    <row r="1084" spans="1:21" ht="67.5" customHeight="1">
      <c r="A1084" s="61" t="str">
        <f ca="1">IF(ISERROR(MATCH(E1084,Код_КЦСР,0)),"",INDIRECT(ADDRESS(MATCH(E1084,Код_КЦСР,0)+1,2,,,"КЦСР")))</f>
        <v>Ведомственная целевая программа «Отрасль «Культура города Череповца» (2012-2014 годы) (Предоставление пользователям информационных продуктов, подписка на печатные периодические издания)</v>
      </c>
      <c r="B1084" s="145">
        <v>808</v>
      </c>
      <c r="C1084" s="8" t="s">
        <v>222</v>
      </c>
      <c r="D1084" s="8" t="s">
        <v>216</v>
      </c>
      <c r="E1084" s="145" t="s">
        <v>484</v>
      </c>
      <c r="F1084" s="145"/>
      <c r="G1084" s="69">
        <f t="shared" ref="G1084:T1086" si="245">G1085</f>
        <v>2143</v>
      </c>
      <c r="H1084" s="69">
        <f t="shared" si="245"/>
        <v>0</v>
      </c>
      <c r="I1084" s="69">
        <f t="shared" si="235"/>
        <v>2143</v>
      </c>
      <c r="J1084" s="69">
        <f t="shared" si="245"/>
        <v>0</v>
      </c>
      <c r="K1084" s="85">
        <f t="shared" si="230"/>
        <v>2143</v>
      </c>
      <c r="L1084" s="13">
        <f t="shared" si="245"/>
        <v>0</v>
      </c>
      <c r="M1084" s="85">
        <f t="shared" si="233"/>
        <v>2143</v>
      </c>
      <c r="N1084" s="13">
        <f t="shared" si="245"/>
        <v>0</v>
      </c>
      <c r="O1084" s="85">
        <f t="shared" si="234"/>
        <v>2143</v>
      </c>
      <c r="P1084" s="13">
        <f t="shared" si="245"/>
        <v>0</v>
      </c>
      <c r="Q1084" s="85">
        <f t="shared" si="243"/>
        <v>2143</v>
      </c>
      <c r="R1084" s="13">
        <f t="shared" si="245"/>
        <v>0</v>
      </c>
      <c r="S1084" s="85">
        <f t="shared" si="241"/>
        <v>2143</v>
      </c>
      <c r="T1084" s="13">
        <f t="shared" si="245"/>
        <v>0</v>
      </c>
      <c r="U1084" s="85">
        <f t="shared" si="239"/>
        <v>2143</v>
      </c>
    </row>
    <row r="1085" spans="1:21" ht="33">
      <c r="A1085" s="61" t="str">
        <f ca="1">IF(ISERROR(MATCH(F1085,Код_КВР,0)),"",INDIRECT(ADDRESS(MATCH(F1085,Код_КВР,0)+1,2,,,"КВР")))</f>
        <v>Предоставление субсидий бюджетным, автономным учреждениям и иным некоммерческим организациям</v>
      </c>
      <c r="B1085" s="145">
        <v>808</v>
      </c>
      <c r="C1085" s="8" t="s">
        <v>222</v>
      </c>
      <c r="D1085" s="8" t="s">
        <v>216</v>
      </c>
      <c r="E1085" s="145" t="s">
        <v>484</v>
      </c>
      <c r="F1085" s="145">
        <v>600</v>
      </c>
      <c r="G1085" s="69">
        <f t="shared" si="245"/>
        <v>2143</v>
      </c>
      <c r="H1085" s="69">
        <f t="shared" si="245"/>
        <v>0</v>
      </c>
      <c r="I1085" s="69">
        <f t="shared" si="235"/>
        <v>2143</v>
      </c>
      <c r="J1085" s="69">
        <f t="shared" si="245"/>
        <v>0</v>
      </c>
      <c r="K1085" s="85">
        <f t="shared" si="230"/>
        <v>2143</v>
      </c>
      <c r="L1085" s="13">
        <f t="shared" si="245"/>
        <v>0</v>
      </c>
      <c r="M1085" s="85">
        <f t="shared" si="233"/>
        <v>2143</v>
      </c>
      <c r="N1085" s="13">
        <f t="shared" si="245"/>
        <v>0</v>
      </c>
      <c r="O1085" s="85">
        <f t="shared" si="234"/>
        <v>2143</v>
      </c>
      <c r="P1085" s="13">
        <f t="shared" si="245"/>
        <v>0</v>
      </c>
      <c r="Q1085" s="85">
        <f t="shared" si="243"/>
        <v>2143</v>
      </c>
      <c r="R1085" s="13">
        <f t="shared" si="245"/>
        <v>0</v>
      </c>
      <c r="S1085" s="85">
        <f t="shared" si="241"/>
        <v>2143</v>
      </c>
      <c r="T1085" s="13">
        <f t="shared" si="245"/>
        <v>0</v>
      </c>
      <c r="U1085" s="85">
        <f t="shared" si="239"/>
        <v>2143</v>
      </c>
    </row>
    <row r="1086" spans="1:21">
      <c r="A1086" s="61" t="str">
        <f ca="1">IF(ISERROR(MATCH(F1086,Код_КВР,0)),"",INDIRECT(ADDRESS(MATCH(F1086,Код_КВР,0)+1,2,,,"КВР")))</f>
        <v>Субсидии бюджетным учреждениям</v>
      </c>
      <c r="B1086" s="145">
        <v>808</v>
      </c>
      <c r="C1086" s="8" t="s">
        <v>222</v>
      </c>
      <c r="D1086" s="8" t="s">
        <v>216</v>
      </c>
      <c r="E1086" s="145" t="s">
        <v>484</v>
      </c>
      <c r="F1086" s="145">
        <v>610</v>
      </c>
      <c r="G1086" s="69">
        <f t="shared" si="245"/>
        <v>2143</v>
      </c>
      <c r="H1086" s="69">
        <f t="shared" si="245"/>
        <v>0</v>
      </c>
      <c r="I1086" s="69">
        <f t="shared" si="235"/>
        <v>2143</v>
      </c>
      <c r="J1086" s="69">
        <f t="shared" si="245"/>
        <v>0</v>
      </c>
      <c r="K1086" s="85">
        <f t="shared" si="230"/>
        <v>2143</v>
      </c>
      <c r="L1086" s="13">
        <f t="shared" si="245"/>
        <v>0</v>
      </c>
      <c r="M1086" s="85">
        <f t="shared" si="233"/>
        <v>2143</v>
      </c>
      <c r="N1086" s="13">
        <f t="shared" si="245"/>
        <v>0</v>
      </c>
      <c r="O1086" s="85">
        <f t="shared" si="234"/>
        <v>2143</v>
      </c>
      <c r="P1086" s="13">
        <f t="shared" si="245"/>
        <v>0</v>
      </c>
      <c r="Q1086" s="85">
        <f t="shared" si="243"/>
        <v>2143</v>
      </c>
      <c r="R1086" s="13">
        <f t="shared" si="245"/>
        <v>0</v>
      </c>
      <c r="S1086" s="85">
        <f t="shared" si="241"/>
        <v>2143</v>
      </c>
      <c r="T1086" s="13">
        <f t="shared" si="245"/>
        <v>0</v>
      </c>
      <c r="U1086" s="85">
        <f t="shared" si="239"/>
        <v>2143</v>
      </c>
    </row>
    <row r="1087" spans="1:21">
      <c r="A1087" s="61" t="str">
        <f ca="1">IF(ISERROR(MATCH(F1087,Код_КВР,0)),"",INDIRECT(ADDRESS(MATCH(F1087,Код_КВР,0)+1,2,,,"КВР")))</f>
        <v>Субсидии бюджетным учреждениям на иные цели</v>
      </c>
      <c r="B1087" s="145">
        <v>808</v>
      </c>
      <c r="C1087" s="8" t="s">
        <v>222</v>
      </c>
      <c r="D1087" s="8" t="s">
        <v>216</v>
      </c>
      <c r="E1087" s="145" t="s">
        <v>484</v>
      </c>
      <c r="F1087" s="145">
        <v>612</v>
      </c>
      <c r="G1087" s="69">
        <v>2143</v>
      </c>
      <c r="H1087" s="69"/>
      <c r="I1087" s="69">
        <f t="shared" si="235"/>
        <v>2143</v>
      </c>
      <c r="J1087" s="69"/>
      <c r="K1087" s="85">
        <f t="shared" si="230"/>
        <v>2143</v>
      </c>
      <c r="L1087" s="13"/>
      <c r="M1087" s="85">
        <f t="shared" si="233"/>
        <v>2143</v>
      </c>
      <c r="N1087" s="13"/>
      <c r="O1087" s="85">
        <f t="shared" si="234"/>
        <v>2143</v>
      </c>
      <c r="P1087" s="13"/>
      <c r="Q1087" s="85">
        <f t="shared" si="243"/>
        <v>2143</v>
      </c>
      <c r="R1087" s="13"/>
      <c r="S1087" s="85">
        <f t="shared" si="241"/>
        <v>2143</v>
      </c>
      <c r="T1087" s="13"/>
      <c r="U1087" s="85">
        <f t="shared" si="239"/>
        <v>2143</v>
      </c>
    </row>
    <row r="1088" spans="1:21">
      <c r="A1088" s="61" t="str">
        <f ca="1">IF(ISERROR(MATCH(E1088,Код_КЦСР,0)),"",INDIRECT(ADDRESS(MATCH(E1088,Код_КЦСР,0)+1,2,,,"КЦСР")))</f>
        <v>Совершенствование культурно-досуговой деятельности</v>
      </c>
      <c r="B1088" s="145">
        <v>808</v>
      </c>
      <c r="C1088" s="8" t="s">
        <v>222</v>
      </c>
      <c r="D1088" s="8" t="s">
        <v>216</v>
      </c>
      <c r="E1088" s="145" t="s">
        <v>493</v>
      </c>
      <c r="F1088" s="145"/>
      <c r="G1088" s="69">
        <f>G1089+G1093</f>
        <v>557</v>
      </c>
      <c r="H1088" s="69">
        <f>H1089+H1093</f>
        <v>0</v>
      </c>
      <c r="I1088" s="69">
        <f t="shared" si="235"/>
        <v>557</v>
      </c>
      <c r="J1088" s="69">
        <f>J1089+J1093</f>
        <v>0</v>
      </c>
      <c r="K1088" s="85">
        <f t="shared" si="230"/>
        <v>557</v>
      </c>
      <c r="L1088" s="13">
        <f>L1089+L1093</f>
        <v>0</v>
      </c>
      <c r="M1088" s="85">
        <f t="shared" si="233"/>
        <v>557</v>
      </c>
      <c r="N1088" s="13">
        <f>N1089+N1093</f>
        <v>0</v>
      </c>
      <c r="O1088" s="85">
        <f t="shared" si="234"/>
        <v>557</v>
      </c>
      <c r="P1088" s="13">
        <f>P1089+P1093</f>
        <v>0</v>
      </c>
      <c r="Q1088" s="85">
        <f t="shared" si="243"/>
        <v>557</v>
      </c>
      <c r="R1088" s="13">
        <f>R1089+R1093</f>
        <v>0</v>
      </c>
      <c r="S1088" s="85">
        <f t="shared" si="241"/>
        <v>557</v>
      </c>
      <c r="T1088" s="13">
        <f>T1089+T1093</f>
        <v>0</v>
      </c>
      <c r="U1088" s="85">
        <f t="shared" si="239"/>
        <v>557</v>
      </c>
    </row>
    <row r="1089" spans="1:21" ht="66">
      <c r="A1089" s="61" t="str">
        <f ca="1">IF(ISERROR(MATCH(E1089,Код_КЦСР,0)),"",INDIRECT(ADDRESS(MATCH(E1089,Код_КЦСР,0)+1,2,,,"КЦСР")))</f>
        <v>Ведомственная целевая программа «Отрасль 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v>
      </c>
      <c r="B1089" s="145">
        <v>808</v>
      </c>
      <c r="C1089" s="8" t="s">
        <v>222</v>
      </c>
      <c r="D1089" s="8" t="s">
        <v>216</v>
      </c>
      <c r="E1089" s="145" t="s">
        <v>495</v>
      </c>
      <c r="F1089" s="145"/>
      <c r="G1089" s="69">
        <f t="shared" ref="G1089:T1091" si="246">G1090</f>
        <v>450</v>
      </c>
      <c r="H1089" s="69">
        <f t="shared" si="246"/>
        <v>0</v>
      </c>
      <c r="I1089" s="69">
        <f t="shared" si="235"/>
        <v>450</v>
      </c>
      <c r="J1089" s="69">
        <f t="shared" si="246"/>
        <v>0</v>
      </c>
      <c r="K1089" s="85">
        <f t="shared" si="230"/>
        <v>450</v>
      </c>
      <c r="L1089" s="13">
        <f t="shared" si="246"/>
        <v>0</v>
      </c>
      <c r="M1089" s="85">
        <f t="shared" si="233"/>
        <v>450</v>
      </c>
      <c r="N1089" s="13">
        <f t="shared" si="246"/>
        <v>0</v>
      </c>
      <c r="O1089" s="85">
        <f t="shared" si="234"/>
        <v>450</v>
      </c>
      <c r="P1089" s="13">
        <f t="shared" si="246"/>
        <v>0</v>
      </c>
      <c r="Q1089" s="85">
        <f t="shared" si="243"/>
        <v>450</v>
      </c>
      <c r="R1089" s="13">
        <f t="shared" si="246"/>
        <v>0</v>
      </c>
      <c r="S1089" s="85">
        <f t="shared" si="241"/>
        <v>450</v>
      </c>
      <c r="T1089" s="13">
        <f t="shared" si="246"/>
        <v>0</v>
      </c>
      <c r="U1089" s="85">
        <f t="shared" si="239"/>
        <v>450</v>
      </c>
    </row>
    <row r="1090" spans="1:21" ht="33">
      <c r="A1090" s="61" t="str">
        <f ca="1">IF(ISERROR(MATCH(F1090,Код_КВР,0)),"",INDIRECT(ADDRESS(MATCH(F1090,Код_КВР,0)+1,2,,,"КВР")))</f>
        <v>Предоставление субсидий бюджетным, автономным учреждениям и иным некоммерческим организациям</v>
      </c>
      <c r="B1090" s="145">
        <v>808</v>
      </c>
      <c r="C1090" s="8" t="s">
        <v>222</v>
      </c>
      <c r="D1090" s="8" t="s">
        <v>216</v>
      </c>
      <c r="E1090" s="145" t="s">
        <v>495</v>
      </c>
      <c r="F1090" s="145">
        <v>600</v>
      </c>
      <c r="G1090" s="69">
        <f t="shared" si="246"/>
        <v>450</v>
      </c>
      <c r="H1090" s="69">
        <f t="shared" si="246"/>
        <v>0</v>
      </c>
      <c r="I1090" s="69">
        <f t="shared" si="235"/>
        <v>450</v>
      </c>
      <c r="J1090" s="69">
        <f t="shared" si="246"/>
        <v>0</v>
      </c>
      <c r="K1090" s="85">
        <f t="shared" si="230"/>
        <v>450</v>
      </c>
      <c r="L1090" s="13">
        <f t="shared" si="246"/>
        <v>0</v>
      </c>
      <c r="M1090" s="85">
        <f t="shared" si="233"/>
        <v>450</v>
      </c>
      <c r="N1090" s="13">
        <f t="shared" si="246"/>
        <v>0</v>
      </c>
      <c r="O1090" s="85">
        <f t="shared" si="234"/>
        <v>450</v>
      </c>
      <c r="P1090" s="13">
        <f t="shared" si="246"/>
        <v>0</v>
      </c>
      <c r="Q1090" s="85">
        <f t="shared" si="243"/>
        <v>450</v>
      </c>
      <c r="R1090" s="13">
        <f t="shared" si="246"/>
        <v>0</v>
      </c>
      <c r="S1090" s="85">
        <f t="shared" si="241"/>
        <v>450</v>
      </c>
      <c r="T1090" s="13">
        <f t="shared" si="246"/>
        <v>0</v>
      </c>
      <c r="U1090" s="85">
        <f t="shared" si="239"/>
        <v>450</v>
      </c>
    </row>
    <row r="1091" spans="1:21">
      <c r="A1091" s="61" t="str">
        <f ca="1">IF(ISERROR(MATCH(F1091,Код_КВР,0)),"",INDIRECT(ADDRESS(MATCH(F1091,Код_КВР,0)+1,2,,,"КВР")))</f>
        <v>Субсидии бюджетным учреждениям</v>
      </c>
      <c r="B1091" s="145">
        <v>808</v>
      </c>
      <c r="C1091" s="8" t="s">
        <v>222</v>
      </c>
      <c r="D1091" s="8" t="s">
        <v>216</v>
      </c>
      <c r="E1091" s="145" t="s">
        <v>495</v>
      </c>
      <c r="F1091" s="145">
        <v>610</v>
      </c>
      <c r="G1091" s="69">
        <f t="shared" si="246"/>
        <v>450</v>
      </c>
      <c r="H1091" s="69">
        <f t="shared" si="246"/>
        <v>0</v>
      </c>
      <c r="I1091" s="69">
        <f t="shared" si="235"/>
        <v>450</v>
      </c>
      <c r="J1091" s="69">
        <f t="shared" si="246"/>
        <v>0</v>
      </c>
      <c r="K1091" s="85">
        <f t="shared" si="230"/>
        <v>450</v>
      </c>
      <c r="L1091" s="13">
        <f t="shared" si="246"/>
        <v>0</v>
      </c>
      <c r="M1091" s="85">
        <f t="shared" si="233"/>
        <v>450</v>
      </c>
      <c r="N1091" s="13">
        <f t="shared" si="246"/>
        <v>0</v>
      </c>
      <c r="O1091" s="85">
        <f t="shared" si="234"/>
        <v>450</v>
      </c>
      <c r="P1091" s="13">
        <f t="shared" si="246"/>
        <v>0</v>
      </c>
      <c r="Q1091" s="85">
        <f t="shared" si="243"/>
        <v>450</v>
      </c>
      <c r="R1091" s="13">
        <f t="shared" si="246"/>
        <v>0</v>
      </c>
      <c r="S1091" s="85">
        <f t="shared" si="241"/>
        <v>450</v>
      </c>
      <c r="T1091" s="13">
        <f t="shared" si="246"/>
        <v>0</v>
      </c>
      <c r="U1091" s="85">
        <f t="shared" si="239"/>
        <v>450</v>
      </c>
    </row>
    <row r="1092" spans="1:21">
      <c r="A1092" s="61" t="str">
        <f ca="1">IF(ISERROR(MATCH(F1092,Код_КВР,0)),"",INDIRECT(ADDRESS(MATCH(F1092,Код_КВР,0)+1,2,,,"КВР")))</f>
        <v>Субсидии бюджетным учреждениям на иные цели</v>
      </c>
      <c r="B1092" s="145">
        <v>808</v>
      </c>
      <c r="C1092" s="8" t="s">
        <v>222</v>
      </c>
      <c r="D1092" s="8" t="s">
        <v>216</v>
      </c>
      <c r="E1092" s="145" t="s">
        <v>495</v>
      </c>
      <c r="F1092" s="145">
        <v>612</v>
      </c>
      <c r="G1092" s="69">
        <v>450</v>
      </c>
      <c r="H1092" s="69"/>
      <c r="I1092" s="69">
        <f t="shared" si="235"/>
        <v>450</v>
      </c>
      <c r="J1092" s="69"/>
      <c r="K1092" s="85">
        <f t="shared" si="230"/>
        <v>450</v>
      </c>
      <c r="L1092" s="13"/>
      <c r="M1092" s="85">
        <f t="shared" si="233"/>
        <v>450</v>
      </c>
      <c r="N1092" s="13"/>
      <c r="O1092" s="85">
        <f t="shared" si="234"/>
        <v>450</v>
      </c>
      <c r="P1092" s="13"/>
      <c r="Q1092" s="85">
        <f t="shared" si="243"/>
        <v>450</v>
      </c>
      <c r="R1092" s="13"/>
      <c r="S1092" s="85">
        <f t="shared" si="241"/>
        <v>450</v>
      </c>
      <c r="T1092" s="13"/>
      <c r="U1092" s="85">
        <f t="shared" si="239"/>
        <v>450</v>
      </c>
    </row>
    <row r="1093" spans="1:21" ht="82.5">
      <c r="A1093" s="61" t="str">
        <f ca="1">IF(ISERROR(MATCH(E1093,Код_КЦСР,0)),"",INDIRECT(ADDRESS(MATCH(E1093,Код_КЦСР,0)+1,2,,,"КЦСР")))</f>
        <v>Ведомственная целевая программа «Отрасль «Культура города Череповца» (2012-2014 годы) (Приобщение населения города к народным традициям, старинному быту и обычаям русского народа, организация и проведение конкурсов, фестивалей и смотров самодеятельного художественного творчества, выставок)</v>
      </c>
      <c r="B1093" s="145">
        <v>808</v>
      </c>
      <c r="C1093" s="8" t="s">
        <v>222</v>
      </c>
      <c r="D1093" s="8" t="s">
        <v>216</v>
      </c>
      <c r="E1093" s="145" t="s">
        <v>499</v>
      </c>
      <c r="F1093" s="145"/>
      <c r="G1093" s="69">
        <f t="shared" ref="G1093:T1095" si="247">G1094</f>
        <v>107</v>
      </c>
      <c r="H1093" s="69">
        <f t="shared" si="247"/>
        <v>0</v>
      </c>
      <c r="I1093" s="69">
        <f t="shared" si="235"/>
        <v>107</v>
      </c>
      <c r="J1093" s="69">
        <f t="shared" si="247"/>
        <v>0</v>
      </c>
      <c r="K1093" s="85">
        <f t="shared" si="230"/>
        <v>107</v>
      </c>
      <c r="L1093" s="13">
        <f t="shared" si="247"/>
        <v>0</v>
      </c>
      <c r="M1093" s="85">
        <f t="shared" si="233"/>
        <v>107</v>
      </c>
      <c r="N1093" s="13">
        <f t="shared" si="247"/>
        <v>0</v>
      </c>
      <c r="O1093" s="85">
        <f t="shared" si="234"/>
        <v>107</v>
      </c>
      <c r="P1093" s="13">
        <f t="shared" si="247"/>
        <v>0</v>
      </c>
      <c r="Q1093" s="85">
        <f t="shared" si="243"/>
        <v>107</v>
      </c>
      <c r="R1093" s="13">
        <f t="shared" si="247"/>
        <v>0</v>
      </c>
      <c r="S1093" s="85">
        <f t="shared" si="241"/>
        <v>107</v>
      </c>
      <c r="T1093" s="13">
        <f t="shared" si="247"/>
        <v>0</v>
      </c>
      <c r="U1093" s="85">
        <f t="shared" si="239"/>
        <v>107</v>
      </c>
    </row>
    <row r="1094" spans="1:21" ht="33">
      <c r="A1094" s="61" t="str">
        <f ca="1">IF(ISERROR(MATCH(F1094,Код_КВР,0)),"",INDIRECT(ADDRESS(MATCH(F1094,Код_КВР,0)+1,2,,,"КВР")))</f>
        <v>Предоставление субсидий бюджетным, автономным учреждениям и иным некоммерческим организациям</v>
      </c>
      <c r="B1094" s="145">
        <v>808</v>
      </c>
      <c r="C1094" s="8" t="s">
        <v>222</v>
      </c>
      <c r="D1094" s="8" t="s">
        <v>216</v>
      </c>
      <c r="E1094" s="145" t="s">
        <v>499</v>
      </c>
      <c r="F1094" s="145">
        <v>600</v>
      </c>
      <c r="G1094" s="69">
        <f t="shared" si="247"/>
        <v>107</v>
      </c>
      <c r="H1094" s="69">
        <f t="shared" si="247"/>
        <v>0</v>
      </c>
      <c r="I1094" s="69">
        <f t="shared" si="235"/>
        <v>107</v>
      </c>
      <c r="J1094" s="69">
        <f t="shared" si="247"/>
        <v>0</v>
      </c>
      <c r="K1094" s="85">
        <f t="shared" si="230"/>
        <v>107</v>
      </c>
      <c r="L1094" s="13">
        <f t="shared" si="247"/>
        <v>0</v>
      </c>
      <c r="M1094" s="85">
        <f t="shared" si="233"/>
        <v>107</v>
      </c>
      <c r="N1094" s="13">
        <f t="shared" si="247"/>
        <v>0</v>
      </c>
      <c r="O1094" s="85">
        <f t="shared" si="234"/>
        <v>107</v>
      </c>
      <c r="P1094" s="13">
        <f t="shared" si="247"/>
        <v>0</v>
      </c>
      <c r="Q1094" s="85">
        <f t="shared" si="243"/>
        <v>107</v>
      </c>
      <c r="R1094" s="13">
        <f t="shared" si="247"/>
        <v>0</v>
      </c>
      <c r="S1094" s="85">
        <f t="shared" si="241"/>
        <v>107</v>
      </c>
      <c r="T1094" s="13">
        <f t="shared" si="247"/>
        <v>0</v>
      </c>
      <c r="U1094" s="85">
        <f t="shared" si="239"/>
        <v>107</v>
      </c>
    </row>
    <row r="1095" spans="1:21">
      <c r="A1095" s="61" t="str">
        <f ca="1">IF(ISERROR(MATCH(F1095,Код_КВР,0)),"",INDIRECT(ADDRESS(MATCH(F1095,Код_КВР,0)+1,2,,,"КВР")))</f>
        <v>Субсидии бюджетным учреждениям</v>
      </c>
      <c r="B1095" s="145">
        <v>808</v>
      </c>
      <c r="C1095" s="8" t="s">
        <v>222</v>
      </c>
      <c r="D1095" s="8" t="s">
        <v>216</v>
      </c>
      <c r="E1095" s="145" t="s">
        <v>499</v>
      </c>
      <c r="F1095" s="145">
        <v>610</v>
      </c>
      <c r="G1095" s="69">
        <f t="shared" si="247"/>
        <v>107</v>
      </c>
      <c r="H1095" s="69">
        <f t="shared" si="247"/>
        <v>0</v>
      </c>
      <c r="I1095" s="69">
        <f t="shared" si="235"/>
        <v>107</v>
      </c>
      <c r="J1095" s="69">
        <f t="shared" si="247"/>
        <v>0</v>
      </c>
      <c r="K1095" s="85">
        <f t="shared" si="230"/>
        <v>107</v>
      </c>
      <c r="L1095" s="13">
        <f t="shared" si="247"/>
        <v>0</v>
      </c>
      <c r="M1095" s="85">
        <f t="shared" si="233"/>
        <v>107</v>
      </c>
      <c r="N1095" s="13">
        <f t="shared" si="247"/>
        <v>0</v>
      </c>
      <c r="O1095" s="85">
        <f t="shared" si="234"/>
        <v>107</v>
      </c>
      <c r="P1095" s="13">
        <f t="shared" si="247"/>
        <v>0</v>
      </c>
      <c r="Q1095" s="85">
        <f t="shared" si="243"/>
        <v>107</v>
      </c>
      <c r="R1095" s="13">
        <f t="shared" si="247"/>
        <v>0</v>
      </c>
      <c r="S1095" s="85">
        <f t="shared" si="241"/>
        <v>107</v>
      </c>
      <c r="T1095" s="13">
        <f t="shared" si="247"/>
        <v>0</v>
      </c>
      <c r="U1095" s="85">
        <f t="shared" si="239"/>
        <v>107</v>
      </c>
    </row>
    <row r="1096" spans="1:21">
      <c r="A1096" s="61" t="str">
        <f ca="1">IF(ISERROR(MATCH(F1096,Код_КВР,0)),"",INDIRECT(ADDRESS(MATCH(F1096,Код_КВР,0)+1,2,,,"КВР")))</f>
        <v>Субсидии бюджетным учреждениям на иные цели</v>
      </c>
      <c r="B1096" s="145">
        <v>808</v>
      </c>
      <c r="C1096" s="8" t="s">
        <v>222</v>
      </c>
      <c r="D1096" s="8" t="s">
        <v>216</v>
      </c>
      <c r="E1096" s="145" t="s">
        <v>499</v>
      </c>
      <c r="F1096" s="145">
        <v>612</v>
      </c>
      <c r="G1096" s="69">
        <v>107</v>
      </c>
      <c r="H1096" s="69"/>
      <c r="I1096" s="69">
        <f t="shared" si="235"/>
        <v>107</v>
      </c>
      <c r="J1096" s="69"/>
      <c r="K1096" s="85">
        <f t="shared" si="230"/>
        <v>107</v>
      </c>
      <c r="L1096" s="13"/>
      <c r="M1096" s="85">
        <f t="shared" si="233"/>
        <v>107</v>
      </c>
      <c r="N1096" s="13"/>
      <c r="O1096" s="85">
        <f t="shared" si="234"/>
        <v>107</v>
      </c>
      <c r="P1096" s="13"/>
      <c r="Q1096" s="85">
        <f t="shared" si="243"/>
        <v>107</v>
      </c>
      <c r="R1096" s="13"/>
      <c r="S1096" s="85">
        <f t="shared" si="241"/>
        <v>107</v>
      </c>
      <c r="T1096" s="13"/>
      <c r="U1096" s="85">
        <f t="shared" si="239"/>
        <v>107</v>
      </c>
    </row>
    <row r="1097" spans="1:21">
      <c r="A1097" s="61" t="str">
        <f ca="1">IF(ISERROR(MATCH(E1097,Код_КЦСР,0)),"",INDIRECT(ADDRESS(MATCH(E1097,Код_КЦСР,0)+1,2,,,"КЦСР")))</f>
        <v>Развитие исполнительских искусств</v>
      </c>
      <c r="B1097" s="145">
        <v>808</v>
      </c>
      <c r="C1097" s="8" t="s">
        <v>222</v>
      </c>
      <c r="D1097" s="8" t="s">
        <v>216</v>
      </c>
      <c r="E1097" s="145" t="s">
        <v>503</v>
      </c>
      <c r="F1097" s="145"/>
      <c r="G1097" s="69">
        <f>G1098+G1102</f>
        <v>1912</v>
      </c>
      <c r="H1097" s="69">
        <f>H1098+H1102</f>
        <v>0</v>
      </c>
      <c r="I1097" s="69">
        <f t="shared" si="235"/>
        <v>1912</v>
      </c>
      <c r="J1097" s="69">
        <f>J1098+J1102</f>
        <v>0</v>
      </c>
      <c r="K1097" s="85">
        <f t="shared" si="230"/>
        <v>1912</v>
      </c>
      <c r="L1097" s="13">
        <f>L1098+L1102</f>
        <v>0</v>
      </c>
      <c r="M1097" s="85">
        <f t="shared" si="233"/>
        <v>1912</v>
      </c>
      <c r="N1097" s="13">
        <f>N1098+N1102</f>
        <v>0</v>
      </c>
      <c r="O1097" s="85">
        <f t="shared" si="234"/>
        <v>1912</v>
      </c>
      <c r="P1097" s="13">
        <f>P1098+P1102</f>
        <v>0</v>
      </c>
      <c r="Q1097" s="85">
        <f t="shared" si="243"/>
        <v>1912</v>
      </c>
      <c r="R1097" s="13">
        <f>R1098+R1102</f>
        <v>0</v>
      </c>
      <c r="S1097" s="85">
        <f t="shared" si="241"/>
        <v>1912</v>
      </c>
      <c r="T1097" s="13">
        <f>T1098+T1102</f>
        <v>0</v>
      </c>
      <c r="U1097" s="85">
        <f t="shared" si="239"/>
        <v>1912</v>
      </c>
    </row>
    <row r="1098" spans="1:21" ht="66">
      <c r="A1098" s="61" t="str">
        <f ca="1">IF(ISERROR(MATCH(E1098,Код_КЦСР,0)),"",INDIRECT(ADDRESS(MATCH(E1098,Код_КЦСР,0)+1,2,,,"КЦСР")))</f>
        <v>Ведомственная целевая программа «Отрасль «Культура города Череповца» (2012-2014 годы) (Работа над созданием новых спектаклей, концертов, концертных программ, цирковых номеров (программ) и иных зрелищных программ)</v>
      </c>
      <c r="B1098" s="145">
        <v>808</v>
      </c>
      <c r="C1098" s="8" t="s">
        <v>222</v>
      </c>
      <c r="D1098" s="8" t="s">
        <v>216</v>
      </c>
      <c r="E1098" s="145" t="s">
        <v>505</v>
      </c>
      <c r="F1098" s="145"/>
      <c r="G1098" s="69">
        <f t="shared" ref="G1098:T1100" si="248">G1099</f>
        <v>612</v>
      </c>
      <c r="H1098" s="69">
        <f t="shared" si="248"/>
        <v>0</v>
      </c>
      <c r="I1098" s="69">
        <f t="shared" si="235"/>
        <v>612</v>
      </c>
      <c r="J1098" s="69">
        <f t="shared" si="248"/>
        <v>0</v>
      </c>
      <c r="K1098" s="85">
        <f t="shared" si="230"/>
        <v>612</v>
      </c>
      <c r="L1098" s="13">
        <f t="shared" si="248"/>
        <v>0</v>
      </c>
      <c r="M1098" s="85">
        <f t="shared" si="233"/>
        <v>612</v>
      </c>
      <c r="N1098" s="13">
        <f t="shared" si="248"/>
        <v>0</v>
      </c>
      <c r="O1098" s="85">
        <f t="shared" si="234"/>
        <v>612</v>
      </c>
      <c r="P1098" s="13">
        <f t="shared" si="248"/>
        <v>0</v>
      </c>
      <c r="Q1098" s="85">
        <f t="shared" si="243"/>
        <v>612</v>
      </c>
      <c r="R1098" s="13">
        <f t="shared" si="248"/>
        <v>0</v>
      </c>
      <c r="S1098" s="85">
        <f t="shared" si="241"/>
        <v>612</v>
      </c>
      <c r="T1098" s="13">
        <f t="shared" si="248"/>
        <v>0</v>
      </c>
      <c r="U1098" s="85">
        <f t="shared" si="239"/>
        <v>612</v>
      </c>
    </row>
    <row r="1099" spans="1:21" ht="33">
      <c r="A1099" s="61" t="str">
        <f ca="1">IF(ISERROR(MATCH(F1099,Код_КВР,0)),"",INDIRECT(ADDRESS(MATCH(F1099,Код_КВР,0)+1,2,,,"КВР")))</f>
        <v>Предоставление субсидий бюджетным, автономным учреждениям и иным некоммерческим организациям</v>
      </c>
      <c r="B1099" s="145">
        <v>808</v>
      </c>
      <c r="C1099" s="8" t="s">
        <v>222</v>
      </c>
      <c r="D1099" s="8" t="s">
        <v>216</v>
      </c>
      <c r="E1099" s="145" t="s">
        <v>505</v>
      </c>
      <c r="F1099" s="145">
        <v>600</v>
      </c>
      <c r="G1099" s="69">
        <f t="shared" si="248"/>
        <v>612</v>
      </c>
      <c r="H1099" s="69">
        <f t="shared" si="248"/>
        <v>0</v>
      </c>
      <c r="I1099" s="69">
        <f t="shared" si="235"/>
        <v>612</v>
      </c>
      <c r="J1099" s="69">
        <f t="shared" si="248"/>
        <v>0</v>
      </c>
      <c r="K1099" s="85">
        <f t="shared" ref="K1099:K1179" si="249">I1099+J1099</f>
        <v>612</v>
      </c>
      <c r="L1099" s="13">
        <f t="shared" si="248"/>
        <v>0</v>
      </c>
      <c r="M1099" s="85">
        <f t="shared" si="233"/>
        <v>612</v>
      </c>
      <c r="N1099" s="13">
        <f t="shared" si="248"/>
        <v>0</v>
      </c>
      <c r="O1099" s="85">
        <f t="shared" si="234"/>
        <v>612</v>
      </c>
      <c r="P1099" s="13">
        <f t="shared" si="248"/>
        <v>0</v>
      </c>
      <c r="Q1099" s="85">
        <f t="shared" si="243"/>
        <v>612</v>
      </c>
      <c r="R1099" s="13">
        <f t="shared" si="248"/>
        <v>0</v>
      </c>
      <c r="S1099" s="85">
        <f t="shared" si="241"/>
        <v>612</v>
      </c>
      <c r="T1099" s="13">
        <f t="shared" si="248"/>
        <v>0</v>
      </c>
      <c r="U1099" s="85">
        <f t="shared" si="239"/>
        <v>612</v>
      </c>
    </row>
    <row r="1100" spans="1:21">
      <c r="A1100" s="61" t="str">
        <f ca="1">IF(ISERROR(MATCH(F1100,Код_КВР,0)),"",INDIRECT(ADDRESS(MATCH(F1100,Код_КВР,0)+1,2,,,"КВР")))</f>
        <v>Субсидии автономным учреждениям</v>
      </c>
      <c r="B1100" s="145">
        <v>808</v>
      </c>
      <c r="C1100" s="8" t="s">
        <v>222</v>
      </c>
      <c r="D1100" s="8" t="s">
        <v>216</v>
      </c>
      <c r="E1100" s="145" t="s">
        <v>505</v>
      </c>
      <c r="F1100" s="145">
        <v>620</v>
      </c>
      <c r="G1100" s="69">
        <f t="shared" si="248"/>
        <v>612</v>
      </c>
      <c r="H1100" s="69">
        <f t="shared" si="248"/>
        <v>0</v>
      </c>
      <c r="I1100" s="69">
        <f t="shared" si="235"/>
        <v>612</v>
      </c>
      <c r="J1100" s="69">
        <f t="shared" si="248"/>
        <v>0</v>
      </c>
      <c r="K1100" s="85">
        <f t="shared" si="249"/>
        <v>612</v>
      </c>
      <c r="L1100" s="13">
        <f t="shared" si="248"/>
        <v>0</v>
      </c>
      <c r="M1100" s="85">
        <f t="shared" si="233"/>
        <v>612</v>
      </c>
      <c r="N1100" s="13">
        <f t="shared" si="248"/>
        <v>0</v>
      </c>
      <c r="O1100" s="85">
        <f t="shared" si="234"/>
        <v>612</v>
      </c>
      <c r="P1100" s="13">
        <f t="shared" si="248"/>
        <v>0</v>
      </c>
      <c r="Q1100" s="85">
        <f t="shared" si="243"/>
        <v>612</v>
      </c>
      <c r="R1100" s="13">
        <f t="shared" si="248"/>
        <v>0</v>
      </c>
      <c r="S1100" s="85">
        <f t="shared" si="241"/>
        <v>612</v>
      </c>
      <c r="T1100" s="13">
        <f t="shared" si="248"/>
        <v>0</v>
      </c>
      <c r="U1100" s="85">
        <f t="shared" si="239"/>
        <v>612</v>
      </c>
    </row>
    <row r="1101" spans="1:21">
      <c r="A1101" s="61" t="str">
        <f ca="1">IF(ISERROR(MATCH(F1101,Код_КВР,0)),"",INDIRECT(ADDRESS(MATCH(F1101,Код_КВР,0)+1,2,,,"КВР")))</f>
        <v>Субсидии автономным учреждениям на иные цели</v>
      </c>
      <c r="B1101" s="145">
        <v>808</v>
      </c>
      <c r="C1101" s="8" t="s">
        <v>222</v>
      </c>
      <c r="D1101" s="8" t="s">
        <v>216</v>
      </c>
      <c r="E1101" s="145" t="s">
        <v>505</v>
      </c>
      <c r="F1101" s="145">
        <v>622</v>
      </c>
      <c r="G1101" s="69">
        <v>612</v>
      </c>
      <c r="H1101" s="69"/>
      <c r="I1101" s="69">
        <f t="shared" si="235"/>
        <v>612</v>
      </c>
      <c r="J1101" s="69"/>
      <c r="K1101" s="85">
        <f t="shared" si="249"/>
        <v>612</v>
      </c>
      <c r="L1101" s="13"/>
      <c r="M1101" s="85">
        <f t="shared" si="233"/>
        <v>612</v>
      </c>
      <c r="N1101" s="13"/>
      <c r="O1101" s="85">
        <f t="shared" si="234"/>
        <v>612</v>
      </c>
      <c r="P1101" s="13"/>
      <c r="Q1101" s="85">
        <f t="shared" si="243"/>
        <v>612</v>
      </c>
      <c r="R1101" s="13"/>
      <c r="S1101" s="85">
        <f t="shared" si="241"/>
        <v>612</v>
      </c>
      <c r="T1101" s="13"/>
      <c r="U1101" s="85">
        <f t="shared" si="239"/>
        <v>612</v>
      </c>
    </row>
    <row r="1102" spans="1:21" ht="49.5">
      <c r="A1102" s="61" t="str">
        <f ca="1">IF(ISERROR(MATCH(E1102,Код_КЦСР,0)),"",INDIRECT(ADDRESS(MATCH(E1102,Код_КЦСР,0)+1,2,,,"КЦСР")))</f>
        <v>Ведомственная целевая программа «Отрасль «Культура города Череповца» (2012-2014 годы) (Укрепление материально-технической базы  муниципальных учреждений)</v>
      </c>
      <c r="B1102" s="145">
        <v>808</v>
      </c>
      <c r="C1102" s="8" t="s">
        <v>222</v>
      </c>
      <c r="D1102" s="8" t="s">
        <v>216</v>
      </c>
      <c r="E1102" s="145" t="s">
        <v>506</v>
      </c>
      <c r="F1102" s="145"/>
      <c r="G1102" s="69">
        <f>G1103</f>
        <v>1300</v>
      </c>
      <c r="H1102" s="69">
        <f>H1103</f>
        <v>0</v>
      </c>
      <c r="I1102" s="69">
        <f t="shared" si="235"/>
        <v>1300</v>
      </c>
      <c r="J1102" s="69">
        <f>J1103</f>
        <v>0</v>
      </c>
      <c r="K1102" s="85">
        <f t="shared" si="249"/>
        <v>1300</v>
      </c>
      <c r="L1102" s="13">
        <f>L1103</f>
        <v>0</v>
      </c>
      <c r="M1102" s="85">
        <f t="shared" si="233"/>
        <v>1300</v>
      </c>
      <c r="N1102" s="13">
        <f>N1103</f>
        <v>0</v>
      </c>
      <c r="O1102" s="85">
        <f t="shared" si="234"/>
        <v>1300</v>
      </c>
      <c r="P1102" s="13">
        <f>P1103</f>
        <v>0</v>
      </c>
      <c r="Q1102" s="85">
        <f t="shared" si="243"/>
        <v>1300</v>
      </c>
      <c r="R1102" s="13">
        <f>R1103</f>
        <v>0</v>
      </c>
      <c r="S1102" s="85">
        <f t="shared" si="241"/>
        <v>1300</v>
      </c>
      <c r="T1102" s="13">
        <f>T1103</f>
        <v>0</v>
      </c>
      <c r="U1102" s="85">
        <f t="shared" si="239"/>
        <v>1300</v>
      </c>
    </row>
    <row r="1103" spans="1:21" ht="33">
      <c r="A1103" s="61" t="str">
        <f ca="1">IF(ISERROR(MATCH(F1103,Код_КВР,0)),"",INDIRECT(ADDRESS(MATCH(F1103,Код_КВР,0)+1,2,,,"КВР")))</f>
        <v>Предоставление субсидий бюджетным, автономным учреждениям и иным некоммерческим организациям</v>
      </c>
      <c r="B1103" s="145">
        <v>808</v>
      </c>
      <c r="C1103" s="8" t="s">
        <v>222</v>
      </c>
      <c r="D1103" s="8" t="s">
        <v>216</v>
      </c>
      <c r="E1103" s="145" t="s">
        <v>506</v>
      </c>
      <c r="F1103" s="145">
        <v>600</v>
      </c>
      <c r="G1103" s="69">
        <f>G1104+G1106</f>
        <v>1300</v>
      </c>
      <c r="H1103" s="69">
        <f>H1104+H1106</f>
        <v>0</v>
      </c>
      <c r="I1103" s="69">
        <f t="shared" si="235"/>
        <v>1300</v>
      </c>
      <c r="J1103" s="69">
        <f>J1104+J1106</f>
        <v>0</v>
      </c>
      <c r="K1103" s="85">
        <f t="shared" si="249"/>
        <v>1300</v>
      </c>
      <c r="L1103" s="13">
        <f>L1104+L1106</f>
        <v>0</v>
      </c>
      <c r="M1103" s="85">
        <f t="shared" si="233"/>
        <v>1300</v>
      </c>
      <c r="N1103" s="13">
        <f>N1104+N1106</f>
        <v>0</v>
      </c>
      <c r="O1103" s="85">
        <f t="shared" si="234"/>
        <v>1300</v>
      </c>
      <c r="P1103" s="13">
        <f>P1104+P1106</f>
        <v>0</v>
      </c>
      <c r="Q1103" s="85">
        <f t="shared" si="243"/>
        <v>1300</v>
      </c>
      <c r="R1103" s="13">
        <f>R1104+R1106</f>
        <v>0</v>
      </c>
      <c r="S1103" s="85">
        <f t="shared" si="241"/>
        <v>1300</v>
      </c>
      <c r="T1103" s="13">
        <f>T1104+T1106</f>
        <v>0</v>
      </c>
      <c r="U1103" s="85">
        <f t="shared" si="239"/>
        <v>1300</v>
      </c>
    </row>
    <row r="1104" spans="1:21">
      <c r="A1104" s="61" t="str">
        <f ca="1">IF(ISERROR(MATCH(F1104,Код_КВР,0)),"",INDIRECT(ADDRESS(MATCH(F1104,Код_КВР,0)+1,2,,,"КВР")))</f>
        <v>Субсидии бюджетным учреждениям</v>
      </c>
      <c r="B1104" s="145">
        <v>808</v>
      </c>
      <c r="C1104" s="8" t="s">
        <v>222</v>
      </c>
      <c r="D1104" s="8" t="s">
        <v>216</v>
      </c>
      <c r="E1104" s="145" t="s">
        <v>506</v>
      </c>
      <c r="F1104" s="145">
        <v>610</v>
      </c>
      <c r="G1104" s="69">
        <f>G1105</f>
        <v>200</v>
      </c>
      <c r="H1104" s="69">
        <f>H1105</f>
        <v>0</v>
      </c>
      <c r="I1104" s="69">
        <f t="shared" si="235"/>
        <v>200</v>
      </c>
      <c r="J1104" s="69">
        <f>J1105</f>
        <v>0</v>
      </c>
      <c r="K1104" s="85">
        <f t="shared" si="249"/>
        <v>200</v>
      </c>
      <c r="L1104" s="13">
        <f>L1105</f>
        <v>0</v>
      </c>
      <c r="M1104" s="85">
        <f t="shared" ref="M1104:M1184" si="250">K1104+L1104</f>
        <v>200</v>
      </c>
      <c r="N1104" s="13">
        <f>N1105</f>
        <v>0</v>
      </c>
      <c r="O1104" s="85">
        <f t="shared" ref="O1104:O1184" si="251">M1104+N1104</f>
        <v>200</v>
      </c>
      <c r="P1104" s="13">
        <f>P1105</f>
        <v>0</v>
      </c>
      <c r="Q1104" s="85">
        <f t="shared" si="243"/>
        <v>200</v>
      </c>
      <c r="R1104" s="13">
        <f>R1105</f>
        <v>0</v>
      </c>
      <c r="S1104" s="85">
        <f t="shared" si="241"/>
        <v>200</v>
      </c>
      <c r="T1104" s="13">
        <f>T1105</f>
        <v>0</v>
      </c>
      <c r="U1104" s="85">
        <f t="shared" si="239"/>
        <v>200</v>
      </c>
    </row>
    <row r="1105" spans="1:21">
      <c r="A1105" s="61" t="str">
        <f ca="1">IF(ISERROR(MATCH(F1105,Код_КВР,0)),"",INDIRECT(ADDRESS(MATCH(F1105,Код_КВР,0)+1,2,,,"КВР")))</f>
        <v>Субсидии бюджетным учреждениям на иные цели</v>
      </c>
      <c r="B1105" s="145">
        <v>808</v>
      </c>
      <c r="C1105" s="8" t="s">
        <v>222</v>
      </c>
      <c r="D1105" s="8" t="s">
        <v>216</v>
      </c>
      <c r="E1105" s="145" t="s">
        <v>506</v>
      </c>
      <c r="F1105" s="145">
        <v>612</v>
      </c>
      <c r="G1105" s="69">
        <v>200</v>
      </c>
      <c r="H1105" s="69"/>
      <c r="I1105" s="69">
        <f t="shared" si="235"/>
        <v>200</v>
      </c>
      <c r="J1105" s="69"/>
      <c r="K1105" s="85">
        <f t="shared" si="249"/>
        <v>200</v>
      </c>
      <c r="L1105" s="13"/>
      <c r="M1105" s="85">
        <f t="shared" si="250"/>
        <v>200</v>
      </c>
      <c r="N1105" s="13"/>
      <c r="O1105" s="85">
        <f t="shared" si="251"/>
        <v>200</v>
      </c>
      <c r="P1105" s="13"/>
      <c r="Q1105" s="85">
        <f t="shared" si="243"/>
        <v>200</v>
      </c>
      <c r="R1105" s="13"/>
      <c r="S1105" s="85">
        <f t="shared" si="241"/>
        <v>200</v>
      </c>
      <c r="T1105" s="13"/>
      <c r="U1105" s="85">
        <f t="shared" si="239"/>
        <v>200</v>
      </c>
    </row>
    <row r="1106" spans="1:21">
      <c r="A1106" s="61" t="str">
        <f ca="1">IF(ISERROR(MATCH(F1106,Код_КВР,0)),"",INDIRECT(ADDRESS(MATCH(F1106,Код_КВР,0)+1,2,,,"КВР")))</f>
        <v>Субсидии автономным учреждениям</v>
      </c>
      <c r="B1106" s="145">
        <v>808</v>
      </c>
      <c r="C1106" s="8" t="s">
        <v>222</v>
      </c>
      <c r="D1106" s="8" t="s">
        <v>216</v>
      </c>
      <c r="E1106" s="145" t="s">
        <v>506</v>
      </c>
      <c r="F1106" s="145">
        <v>620</v>
      </c>
      <c r="G1106" s="69">
        <f>G1107</f>
        <v>1100</v>
      </c>
      <c r="H1106" s="69">
        <f>H1107</f>
        <v>0</v>
      </c>
      <c r="I1106" s="69">
        <f t="shared" si="235"/>
        <v>1100</v>
      </c>
      <c r="J1106" s="69">
        <f>J1107</f>
        <v>0</v>
      </c>
      <c r="K1106" s="85">
        <f t="shared" si="249"/>
        <v>1100</v>
      </c>
      <c r="L1106" s="13">
        <f>L1107</f>
        <v>0</v>
      </c>
      <c r="M1106" s="85">
        <f t="shared" si="250"/>
        <v>1100</v>
      </c>
      <c r="N1106" s="13">
        <f>N1107</f>
        <v>0</v>
      </c>
      <c r="O1106" s="85">
        <f t="shared" si="251"/>
        <v>1100</v>
      </c>
      <c r="P1106" s="13">
        <f>P1107</f>
        <v>0</v>
      </c>
      <c r="Q1106" s="85">
        <f t="shared" si="243"/>
        <v>1100</v>
      </c>
      <c r="R1106" s="13">
        <f>R1107</f>
        <v>0</v>
      </c>
      <c r="S1106" s="85">
        <f t="shared" si="241"/>
        <v>1100</v>
      </c>
      <c r="T1106" s="13">
        <f>T1107</f>
        <v>0</v>
      </c>
      <c r="U1106" s="85">
        <f t="shared" si="239"/>
        <v>1100</v>
      </c>
    </row>
    <row r="1107" spans="1:21">
      <c r="A1107" s="61" t="str">
        <f ca="1">IF(ISERROR(MATCH(F1107,Код_КВР,0)),"",INDIRECT(ADDRESS(MATCH(F1107,Код_КВР,0)+1,2,,,"КВР")))</f>
        <v>Субсидии автономным учреждениям на иные цели</v>
      </c>
      <c r="B1107" s="145">
        <v>808</v>
      </c>
      <c r="C1107" s="8" t="s">
        <v>222</v>
      </c>
      <c r="D1107" s="8" t="s">
        <v>216</v>
      </c>
      <c r="E1107" s="145" t="s">
        <v>506</v>
      </c>
      <c r="F1107" s="145">
        <v>622</v>
      </c>
      <c r="G1107" s="69">
        <v>1100</v>
      </c>
      <c r="H1107" s="69"/>
      <c r="I1107" s="69">
        <f t="shared" si="235"/>
        <v>1100</v>
      </c>
      <c r="J1107" s="69"/>
      <c r="K1107" s="85">
        <f t="shared" si="249"/>
        <v>1100</v>
      </c>
      <c r="L1107" s="13"/>
      <c r="M1107" s="85">
        <f t="shared" si="250"/>
        <v>1100</v>
      </c>
      <c r="N1107" s="13"/>
      <c r="O1107" s="85">
        <f t="shared" si="251"/>
        <v>1100</v>
      </c>
      <c r="P1107" s="13"/>
      <c r="Q1107" s="85">
        <f t="shared" si="243"/>
        <v>1100</v>
      </c>
      <c r="R1107" s="13"/>
      <c r="S1107" s="85">
        <f t="shared" si="241"/>
        <v>1100</v>
      </c>
      <c r="T1107" s="13"/>
      <c r="U1107" s="85">
        <f t="shared" si="239"/>
        <v>1100</v>
      </c>
    </row>
    <row r="1108" spans="1:21">
      <c r="A1108" s="61" t="str">
        <f ca="1">IF(ISERROR(MATCH(E1108,Код_КЦСР,0)),"",INDIRECT(ADDRESS(MATCH(E1108,Код_КЦСР,0)+1,2,,,"КЦСР")))</f>
        <v>Формирование постиндустриального образа города Череповца</v>
      </c>
      <c r="B1108" s="145">
        <v>808</v>
      </c>
      <c r="C1108" s="8" t="s">
        <v>222</v>
      </c>
      <c r="D1108" s="8" t="s">
        <v>216</v>
      </c>
      <c r="E1108" s="145" t="s">
        <v>508</v>
      </c>
      <c r="F1108" s="145"/>
      <c r="G1108" s="69">
        <f>G1109+G1113</f>
        <v>2730</v>
      </c>
      <c r="H1108" s="69">
        <f>H1109+H1113</f>
        <v>0</v>
      </c>
      <c r="I1108" s="69">
        <f t="shared" si="235"/>
        <v>2730</v>
      </c>
      <c r="J1108" s="69">
        <f>J1109+J1113</f>
        <v>0</v>
      </c>
      <c r="K1108" s="85">
        <f t="shared" si="249"/>
        <v>2730</v>
      </c>
      <c r="L1108" s="13">
        <f>L1109+L1113</f>
        <v>0</v>
      </c>
      <c r="M1108" s="85">
        <f t="shared" si="250"/>
        <v>2730</v>
      </c>
      <c r="N1108" s="13">
        <f>N1109+N1113</f>
        <v>0</v>
      </c>
      <c r="O1108" s="85">
        <f t="shared" si="251"/>
        <v>2730</v>
      </c>
      <c r="P1108" s="13">
        <f>P1109+P1113</f>
        <v>0</v>
      </c>
      <c r="Q1108" s="85">
        <f t="shared" si="243"/>
        <v>2730</v>
      </c>
      <c r="R1108" s="13">
        <f>R1109+R1113</f>
        <v>0</v>
      </c>
      <c r="S1108" s="85">
        <f t="shared" si="241"/>
        <v>2730</v>
      </c>
      <c r="T1108" s="13">
        <f>T1109+T1113</f>
        <v>0</v>
      </c>
      <c r="U1108" s="85">
        <f t="shared" si="239"/>
        <v>2730</v>
      </c>
    </row>
    <row r="1109" spans="1:21" ht="66">
      <c r="A1109" s="61" t="str">
        <f ca="1">IF(ISERROR(MATCH(E1109,Код_КЦСР,0)),"",INDIRECT(ADDRESS(MATCH(E1109,Код_КЦСР,0)+1,2,,,"КЦСР")))</f>
        <v>Ведомственная целевая программа «Отрасль «Культура города Череповца» (2012-2014 годы) (Проведение мероприятий, презентаций,  создание выставок, связанных с историческими и памятными датами, событиями  мировой и отечественной культуры)</v>
      </c>
      <c r="B1109" s="145">
        <v>808</v>
      </c>
      <c r="C1109" s="8" t="s">
        <v>222</v>
      </c>
      <c r="D1109" s="8" t="s">
        <v>216</v>
      </c>
      <c r="E1109" s="145" t="s">
        <v>510</v>
      </c>
      <c r="F1109" s="145"/>
      <c r="G1109" s="69">
        <f t="shared" ref="G1109:T1111" si="252">G1110</f>
        <v>2570</v>
      </c>
      <c r="H1109" s="69">
        <f t="shared" si="252"/>
        <v>0</v>
      </c>
      <c r="I1109" s="69">
        <f t="shared" si="235"/>
        <v>2570</v>
      </c>
      <c r="J1109" s="69">
        <f t="shared" si="252"/>
        <v>0</v>
      </c>
      <c r="K1109" s="85">
        <f t="shared" si="249"/>
        <v>2570</v>
      </c>
      <c r="L1109" s="13">
        <f t="shared" si="252"/>
        <v>0</v>
      </c>
      <c r="M1109" s="85">
        <f t="shared" si="250"/>
        <v>2570</v>
      </c>
      <c r="N1109" s="13">
        <f t="shared" si="252"/>
        <v>0</v>
      </c>
      <c r="O1109" s="85">
        <f t="shared" si="251"/>
        <v>2570</v>
      </c>
      <c r="P1109" s="13">
        <f t="shared" si="252"/>
        <v>0</v>
      </c>
      <c r="Q1109" s="85">
        <f t="shared" si="243"/>
        <v>2570</v>
      </c>
      <c r="R1109" s="13">
        <f t="shared" si="252"/>
        <v>0</v>
      </c>
      <c r="S1109" s="85">
        <f t="shared" si="241"/>
        <v>2570</v>
      </c>
      <c r="T1109" s="13">
        <f t="shared" si="252"/>
        <v>0</v>
      </c>
      <c r="U1109" s="85">
        <f t="shared" si="239"/>
        <v>2570</v>
      </c>
    </row>
    <row r="1110" spans="1:21" ht="33">
      <c r="A1110" s="61" t="str">
        <f ca="1">IF(ISERROR(MATCH(F1110,Код_КВР,0)),"",INDIRECT(ADDRESS(MATCH(F1110,Код_КВР,0)+1,2,,,"КВР")))</f>
        <v>Предоставление субсидий бюджетным, автономным учреждениям и иным некоммерческим организациям</v>
      </c>
      <c r="B1110" s="145">
        <v>808</v>
      </c>
      <c r="C1110" s="8" t="s">
        <v>222</v>
      </c>
      <c r="D1110" s="8" t="s">
        <v>216</v>
      </c>
      <c r="E1110" s="145" t="s">
        <v>510</v>
      </c>
      <c r="F1110" s="145">
        <v>600</v>
      </c>
      <c r="G1110" s="69">
        <f t="shared" si="252"/>
        <v>2570</v>
      </c>
      <c r="H1110" s="69">
        <f t="shared" si="252"/>
        <v>0</v>
      </c>
      <c r="I1110" s="69">
        <f t="shared" si="235"/>
        <v>2570</v>
      </c>
      <c r="J1110" s="69">
        <f t="shared" si="252"/>
        <v>0</v>
      </c>
      <c r="K1110" s="85">
        <f t="shared" si="249"/>
        <v>2570</v>
      </c>
      <c r="L1110" s="13">
        <f t="shared" si="252"/>
        <v>0</v>
      </c>
      <c r="M1110" s="85">
        <f t="shared" si="250"/>
        <v>2570</v>
      </c>
      <c r="N1110" s="13">
        <f t="shared" si="252"/>
        <v>0</v>
      </c>
      <c r="O1110" s="85">
        <f t="shared" si="251"/>
        <v>2570</v>
      </c>
      <c r="P1110" s="13">
        <f t="shared" si="252"/>
        <v>0</v>
      </c>
      <c r="Q1110" s="85">
        <f t="shared" si="243"/>
        <v>2570</v>
      </c>
      <c r="R1110" s="13">
        <f t="shared" si="252"/>
        <v>0</v>
      </c>
      <c r="S1110" s="85">
        <f t="shared" si="241"/>
        <v>2570</v>
      </c>
      <c r="T1110" s="13">
        <f t="shared" si="252"/>
        <v>0</v>
      </c>
      <c r="U1110" s="85">
        <f t="shared" si="239"/>
        <v>2570</v>
      </c>
    </row>
    <row r="1111" spans="1:21">
      <c r="A1111" s="61" t="str">
        <f ca="1">IF(ISERROR(MATCH(F1111,Код_КВР,0)),"",INDIRECT(ADDRESS(MATCH(F1111,Код_КВР,0)+1,2,,,"КВР")))</f>
        <v>Субсидии бюджетным учреждениям</v>
      </c>
      <c r="B1111" s="145">
        <v>808</v>
      </c>
      <c r="C1111" s="8" t="s">
        <v>222</v>
      </c>
      <c r="D1111" s="8" t="s">
        <v>216</v>
      </c>
      <c r="E1111" s="145" t="s">
        <v>510</v>
      </c>
      <c r="F1111" s="145">
        <v>610</v>
      </c>
      <c r="G1111" s="69">
        <f t="shared" si="252"/>
        <v>2570</v>
      </c>
      <c r="H1111" s="69">
        <f t="shared" si="252"/>
        <v>0</v>
      </c>
      <c r="I1111" s="69">
        <f t="shared" si="235"/>
        <v>2570</v>
      </c>
      <c r="J1111" s="69">
        <f t="shared" si="252"/>
        <v>0</v>
      </c>
      <c r="K1111" s="85">
        <f t="shared" si="249"/>
        <v>2570</v>
      </c>
      <c r="L1111" s="13">
        <f t="shared" si="252"/>
        <v>0</v>
      </c>
      <c r="M1111" s="85">
        <f t="shared" si="250"/>
        <v>2570</v>
      </c>
      <c r="N1111" s="13">
        <f t="shared" si="252"/>
        <v>0</v>
      </c>
      <c r="O1111" s="85">
        <f t="shared" si="251"/>
        <v>2570</v>
      </c>
      <c r="P1111" s="13">
        <f t="shared" si="252"/>
        <v>0</v>
      </c>
      <c r="Q1111" s="85">
        <f t="shared" si="243"/>
        <v>2570</v>
      </c>
      <c r="R1111" s="13">
        <f t="shared" si="252"/>
        <v>0</v>
      </c>
      <c r="S1111" s="85">
        <f t="shared" si="241"/>
        <v>2570</v>
      </c>
      <c r="T1111" s="13">
        <f t="shared" si="252"/>
        <v>0</v>
      </c>
      <c r="U1111" s="85">
        <f t="shared" si="239"/>
        <v>2570</v>
      </c>
    </row>
    <row r="1112" spans="1:21">
      <c r="A1112" s="61" t="str">
        <f ca="1">IF(ISERROR(MATCH(F1112,Код_КВР,0)),"",INDIRECT(ADDRESS(MATCH(F1112,Код_КВР,0)+1,2,,,"КВР")))</f>
        <v>Субсидии бюджетным учреждениям на иные цели</v>
      </c>
      <c r="B1112" s="145">
        <v>808</v>
      </c>
      <c r="C1112" s="8" t="s">
        <v>222</v>
      </c>
      <c r="D1112" s="8" t="s">
        <v>216</v>
      </c>
      <c r="E1112" s="145" t="s">
        <v>510</v>
      </c>
      <c r="F1112" s="145">
        <v>612</v>
      </c>
      <c r="G1112" s="69">
        <v>2570</v>
      </c>
      <c r="H1112" s="69"/>
      <c r="I1112" s="69">
        <f t="shared" si="235"/>
        <v>2570</v>
      </c>
      <c r="J1112" s="69"/>
      <c r="K1112" s="85">
        <f t="shared" si="249"/>
        <v>2570</v>
      </c>
      <c r="L1112" s="13"/>
      <c r="M1112" s="85">
        <f t="shared" si="250"/>
        <v>2570</v>
      </c>
      <c r="N1112" s="13"/>
      <c r="O1112" s="85">
        <f t="shared" si="251"/>
        <v>2570</v>
      </c>
      <c r="P1112" s="13"/>
      <c r="Q1112" s="85">
        <f t="shared" si="243"/>
        <v>2570</v>
      </c>
      <c r="R1112" s="13"/>
      <c r="S1112" s="85">
        <f t="shared" si="241"/>
        <v>2570</v>
      </c>
      <c r="T1112" s="13"/>
      <c r="U1112" s="85">
        <f t="shared" si="239"/>
        <v>2570</v>
      </c>
    </row>
    <row r="1113" spans="1:21" ht="82.5">
      <c r="A1113" s="61" t="str">
        <f ca="1">IF(ISERROR(MATCH(E1113,Код_КЦСР,0)),"",INDIRECT(ADDRESS(MATCH(E1113,Код_КЦСР,0)+1,2,,,"КЦСР")))</f>
        <v>Ведомственная целевая программа «Отрасль «Культура города Череповца» (2012-2014 годы) (Участие творческих коллективов города в международных, всероссийских, региональных мероприятиях, фестивалях, конкурсах в целях поднятия имиджа города как культурного центра и развитие культурных связей)</v>
      </c>
      <c r="B1113" s="145">
        <v>808</v>
      </c>
      <c r="C1113" s="8" t="s">
        <v>222</v>
      </c>
      <c r="D1113" s="8" t="s">
        <v>216</v>
      </c>
      <c r="E1113" s="145" t="s">
        <v>511</v>
      </c>
      <c r="F1113" s="145"/>
      <c r="G1113" s="69">
        <f t="shared" ref="G1113:T1115" si="253">G1114</f>
        <v>160</v>
      </c>
      <c r="H1113" s="69">
        <f t="shared" si="253"/>
        <v>0</v>
      </c>
      <c r="I1113" s="69">
        <f t="shared" si="235"/>
        <v>160</v>
      </c>
      <c r="J1113" s="69">
        <f t="shared" si="253"/>
        <v>0</v>
      </c>
      <c r="K1113" s="85">
        <f t="shared" si="249"/>
        <v>160</v>
      </c>
      <c r="L1113" s="13">
        <f t="shared" si="253"/>
        <v>0</v>
      </c>
      <c r="M1113" s="85">
        <f t="shared" si="250"/>
        <v>160</v>
      </c>
      <c r="N1113" s="13">
        <f t="shared" si="253"/>
        <v>0</v>
      </c>
      <c r="O1113" s="85">
        <f t="shared" si="251"/>
        <v>160</v>
      </c>
      <c r="P1113" s="13">
        <f t="shared" si="253"/>
        <v>0</v>
      </c>
      <c r="Q1113" s="85">
        <f t="shared" si="243"/>
        <v>160</v>
      </c>
      <c r="R1113" s="13">
        <f t="shared" si="253"/>
        <v>0</v>
      </c>
      <c r="S1113" s="85">
        <f t="shared" si="241"/>
        <v>160</v>
      </c>
      <c r="T1113" s="13">
        <f t="shared" si="253"/>
        <v>0</v>
      </c>
      <c r="U1113" s="85">
        <f t="shared" si="239"/>
        <v>160</v>
      </c>
    </row>
    <row r="1114" spans="1:21" ht="33">
      <c r="A1114" s="61" t="str">
        <f ca="1">IF(ISERROR(MATCH(F1114,Код_КВР,0)),"",INDIRECT(ADDRESS(MATCH(F1114,Код_КВР,0)+1,2,,,"КВР")))</f>
        <v>Предоставление субсидий бюджетным, автономным учреждениям и иным некоммерческим организациям</v>
      </c>
      <c r="B1114" s="145">
        <v>808</v>
      </c>
      <c r="C1114" s="8" t="s">
        <v>222</v>
      </c>
      <c r="D1114" s="8" t="s">
        <v>216</v>
      </c>
      <c r="E1114" s="145" t="s">
        <v>511</v>
      </c>
      <c r="F1114" s="145">
        <v>600</v>
      </c>
      <c r="G1114" s="69">
        <f t="shared" si="253"/>
        <v>160</v>
      </c>
      <c r="H1114" s="69">
        <f t="shared" si="253"/>
        <v>0</v>
      </c>
      <c r="I1114" s="69">
        <f t="shared" ref="I1114:I1198" si="254">G1114+H1114</f>
        <v>160</v>
      </c>
      <c r="J1114" s="69">
        <f t="shared" si="253"/>
        <v>0</v>
      </c>
      <c r="K1114" s="85">
        <f t="shared" si="249"/>
        <v>160</v>
      </c>
      <c r="L1114" s="13">
        <f t="shared" si="253"/>
        <v>0</v>
      </c>
      <c r="M1114" s="85">
        <f t="shared" si="250"/>
        <v>160</v>
      </c>
      <c r="N1114" s="13">
        <f t="shared" si="253"/>
        <v>0</v>
      </c>
      <c r="O1114" s="85">
        <f t="shared" si="251"/>
        <v>160</v>
      </c>
      <c r="P1114" s="13">
        <f t="shared" si="253"/>
        <v>0</v>
      </c>
      <c r="Q1114" s="85">
        <f t="shared" si="243"/>
        <v>160</v>
      </c>
      <c r="R1114" s="13">
        <f t="shared" si="253"/>
        <v>0</v>
      </c>
      <c r="S1114" s="85">
        <f t="shared" si="241"/>
        <v>160</v>
      </c>
      <c r="T1114" s="13">
        <f t="shared" si="253"/>
        <v>0</v>
      </c>
      <c r="U1114" s="85">
        <f t="shared" si="239"/>
        <v>160</v>
      </c>
    </row>
    <row r="1115" spans="1:21">
      <c r="A1115" s="61" t="str">
        <f ca="1">IF(ISERROR(MATCH(F1115,Код_КВР,0)),"",INDIRECT(ADDRESS(MATCH(F1115,Код_КВР,0)+1,2,,,"КВР")))</f>
        <v>Субсидии бюджетным учреждениям</v>
      </c>
      <c r="B1115" s="145">
        <v>808</v>
      </c>
      <c r="C1115" s="8" t="s">
        <v>222</v>
      </c>
      <c r="D1115" s="8" t="s">
        <v>216</v>
      </c>
      <c r="E1115" s="145" t="s">
        <v>511</v>
      </c>
      <c r="F1115" s="145">
        <v>610</v>
      </c>
      <c r="G1115" s="69">
        <f t="shared" si="253"/>
        <v>160</v>
      </c>
      <c r="H1115" s="69">
        <f t="shared" si="253"/>
        <v>0</v>
      </c>
      <c r="I1115" s="69">
        <f t="shared" si="254"/>
        <v>160</v>
      </c>
      <c r="J1115" s="69">
        <f t="shared" si="253"/>
        <v>0</v>
      </c>
      <c r="K1115" s="85">
        <f t="shared" si="249"/>
        <v>160</v>
      </c>
      <c r="L1115" s="13">
        <f t="shared" si="253"/>
        <v>0</v>
      </c>
      <c r="M1115" s="85">
        <f t="shared" si="250"/>
        <v>160</v>
      </c>
      <c r="N1115" s="13">
        <f t="shared" si="253"/>
        <v>0</v>
      </c>
      <c r="O1115" s="85">
        <f t="shared" si="251"/>
        <v>160</v>
      </c>
      <c r="P1115" s="13">
        <f t="shared" si="253"/>
        <v>0</v>
      </c>
      <c r="Q1115" s="85">
        <f t="shared" si="243"/>
        <v>160</v>
      </c>
      <c r="R1115" s="13">
        <f t="shared" si="253"/>
        <v>0</v>
      </c>
      <c r="S1115" s="85">
        <f t="shared" si="241"/>
        <v>160</v>
      </c>
      <c r="T1115" s="13">
        <f t="shared" si="253"/>
        <v>0</v>
      </c>
      <c r="U1115" s="85">
        <f t="shared" si="239"/>
        <v>160</v>
      </c>
    </row>
    <row r="1116" spans="1:21">
      <c r="A1116" s="61" t="str">
        <f ca="1">IF(ISERROR(MATCH(F1116,Код_КВР,0)),"",INDIRECT(ADDRESS(MATCH(F1116,Код_КВР,0)+1,2,,,"КВР")))</f>
        <v>Субсидии бюджетным учреждениям на иные цели</v>
      </c>
      <c r="B1116" s="145">
        <v>808</v>
      </c>
      <c r="C1116" s="8" t="s">
        <v>222</v>
      </c>
      <c r="D1116" s="8" t="s">
        <v>216</v>
      </c>
      <c r="E1116" s="145" t="s">
        <v>511</v>
      </c>
      <c r="F1116" s="145">
        <v>612</v>
      </c>
      <c r="G1116" s="69">
        <v>160</v>
      </c>
      <c r="H1116" s="69"/>
      <c r="I1116" s="69">
        <f t="shared" si="254"/>
        <v>160</v>
      </c>
      <c r="J1116" s="69"/>
      <c r="K1116" s="85">
        <f t="shared" si="249"/>
        <v>160</v>
      </c>
      <c r="L1116" s="13"/>
      <c r="M1116" s="85">
        <f t="shared" si="250"/>
        <v>160</v>
      </c>
      <c r="N1116" s="13"/>
      <c r="O1116" s="85">
        <f t="shared" si="251"/>
        <v>160</v>
      </c>
      <c r="P1116" s="13"/>
      <c r="Q1116" s="85">
        <f t="shared" si="243"/>
        <v>160</v>
      </c>
      <c r="R1116" s="13"/>
      <c r="S1116" s="85">
        <f t="shared" si="241"/>
        <v>160</v>
      </c>
      <c r="T1116" s="13"/>
      <c r="U1116" s="85">
        <f t="shared" si="239"/>
        <v>160</v>
      </c>
    </row>
    <row r="1117" spans="1:21" ht="33">
      <c r="A1117" s="61" t="str">
        <f ca="1">IF(ISERROR(MATCH(E1117,Код_КЦСР,0)),"",INDIRECT(ADDRESS(MATCH(E1117,Код_КЦСР,0)+1,2,,,"КЦСР")))</f>
        <v>Работа по организации и ведению бухгалтерского (бюджетного) учета и отчетности</v>
      </c>
      <c r="B1117" s="145">
        <v>808</v>
      </c>
      <c r="C1117" s="8" t="s">
        <v>222</v>
      </c>
      <c r="D1117" s="8" t="s">
        <v>216</v>
      </c>
      <c r="E1117" s="145" t="s">
        <v>522</v>
      </c>
      <c r="F1117" s="145"/>
      <c r="G1117" s="69">
        <f t="shared" ref="G1117:T1119" si="255">G1118</f>
        <v>7747.3</v>
      </c>
      <c r="H1117" s="69">
        <f t="shared" si="255"/>
        <v>0</v>
      </c>
      <c r="I1117" s="69">
        <f t="shared" si="254"/>
        <v>7747.3</v>
      </c>
      <c r="J1117" s="69">
        <f t="shared" si="255"/>
        <v>0</v>
      </c>
      <c r="K1117" s="85">
        <f t="shared" si="249"/>
        <v>7747.3</v>
      </c>
      <c r="L1117" s="13">
        <f t="shared" si="255"/>
        <v>-1.8</v>
      </c>
      <c r="M1117" s="85">
        <f t="shared" si="250"/>
        <v>7745.5</v>
      </c>
      <c r="N1117" s="13">
        <f t="shared" si="255"/>
        <v>0</v>
      </c>
      <c r="O1117" s="85">
        <f t="shared" si="251"/>
        <v>7745.5</v>
      </c>
      <c r="P1117" s="13">
        <f t="shared" si="255"/>
        <v>0</v>
      </c>
      <c r="Q1117" s="85">
        <f t="shared" si="243"/>
        <v>7745.5</v>
      </c>
      <c r="R1117" s="13">
        <f t="shared" si="255"/>
        <v>0</v>
      </c>
      <c r="S1117" s="85">
        <f t="shared" si="241"/>
        <v>7745.5</v>
      </c>
      <c r="T1117" s="13">
        <f t="shared" si="255"/>
        <v>-141.9</v>
      </c>
      <c r="U1117" s="85">
        <f t="shared" si="239"/>
        <v>7603.6</v>
      </c>
    </row>
    <row r="1118" spans="1:21" ht="33">
      <c r="A1118" s="61" t="str">
        <f ca="1">IF(ISERROR(MATCH(F1118,Код_КВР,0)),"",INDIRECT(ADDRESS(MATCH(F1118,Код_КВР,0)+1,2,,,"КВР")))</f>
        <v>Предоставление субсидий бюджетным, автономным учреждениям и иным некоммерческим организациям</v>
      </c>
      <c r="B1118" s="145">
        <v>808</v>
      </c>
      <c r="C1118" s="8" t="s">
        <v>222</v>
      </c>
      <c r="D1118" s="8" t="s">
        <v>216</v>
      </c>
      <c r="E1118" s="145" t="s">
        <v>522</v>
      </c>
      <c r="F1118" s="145">
        <v>600</v>
      </c>
      <c r="G1118" s="69">
        <f t="shared" si="255"/>
        <v>7747.3</v>
      </c>
      <c r="H1118" s="69">
        <f t="shared" si="255"/>
        <v>0</v>
      </c>
      <c r="I1118" s="69">
        <f t="shared" si="254"/>
        <v>7747.3</v>
      </c>
      <c r="J1118" s="69">
        <f t="shared" si="255"/>
        <v>0</v>
      </c>
      <c r="K1118" s="85">
        <f t="shared" si="249"/>
        <v>7747.3</v>
      </c>
      <c r="L1118" s="13">
        <f t="shared" si="255"/>
        <v>-1.8</v>
      </c>
      <c r="M1118" s="85">
        <f t="shared" si="250"/>
        <v>7745.5</v>
      </c>
      <c r="N1118" s="13">
        <f t="shared" si="255"/>
        <v>0</v>
      </c>
      <c r="O1118" s="85">
        <f t="shared" si="251"/>
        <v>7745.5</v>
      </c>
      <c r="P1118" s="13">
        <f t="shared" si="255"/>
        <v>0</v>
      </c>
      <c r="Q1118" s="85">
        <f t="shared" si="243"/>
        <v>7745.5</v>
      </c>
      <c r="R1118" s="13">
        <f t="shared" si="255"/>
        <v>0</v>
      </c>
      <c r="S1118" s="85">
        <f t="shared" si="241"/>
        <v>7745.5</v>
      </c>
      <c r="T1118" s="13">
        <f t="shared" si="255"/>
        <v>-141.9</v>
      </c>
      <c r="U1118" s="85">
        <f t="shared" si="239"/>
        <v>7603.6</v>
      </c>
    </row>
    <row r="1119" spans="1:21">
      <c r="A1119" s="61" t="str">
        <f ca="1">IF(ISERROR(MATCH(F1119,Код_КВР,0)),"",INDIRECT(ADDRESS(MATCH(F1119,Код_КВР,0)+1,2,,,"КВР")))</f>
        <v>Субсидии бюджетным учреждениям</v>
      </c>
      <c r="B1119" s="145">
        <v>808</v>
      </c>
      <c r="C1119" s="8" t="s">
        <v>222</v>
      </c>
      <c r="D1119" s="8" t="s">
        <v>216</v>
      </c>
      <c r="E1119" s="145" t="s">
        <v>522</v>
      </c>
      <c r="F1119" s="145">
        <v>610</v>
      </c>
      <c r="G1119" s="69">
        <f t="shared" si="255"/>
        <v>7747.3</v>
      </c>
      <c r="H1119" s="69">
        <f t="shared" si="255"/>
        <v>0</v>
      </c>
      <c r="I1119" s="69">
        <f t="shared" si="254"/>
        <v>7747.3</v>
      </c>
      <c r="J1119" s="69">
        <f t="shared" si="255"/>
        <v>0</v>
      </c>
      <c r="K1119" s="85">
        <f t="shared" si="249"/>
        <v>7747.3</v>
      </c>
      <c r="L1119" s="13">
        <f t="shared" si="255"/>
        <v>-1.8</v>
      </c>
      <c r="M1119" s="85">
        <f t="shared" si="250"/>
        <v>7745.5</v>
      </c>
      <c r="N1119" s="13">
        <f t="shared" si="255"/>
        <v>0</v>
      </c>
      <c r="O1119" s="85">
        <f t="shared" si="251"/>
        <v>7745.5</v>
      </c>
      <c r="P1119" s="13">
        <f t="shared" si="255"/>
        <v>0</v>
      </c>
      <c r="Q1119" s="85">
        <f t="shared" si="243"/>
        <v>7745.5</v>
      </c>
      <c r="R1119" s="13">
        <f t="shared" si="255"/>
        <v>0</v>
      </c>
      <c r="S1119" s="85">
        <f t="shared" si="241"/>
        <v>7745.5</v>
      </c>
      <c r="T1119" s="13">
        <f t="shared" si="255"/>
        <v>-141.9</v>
      </c>
      <c r="U1119" s="85">
        <f t="shared" si="239"/>
        <v>7603.6</v>
      </c>
    </row>
    <row r="1120" spans="1:21" ht="49.5">
      <c r="A1120" s="61" t="str">
        <f ca="1">IF(ISERROR(MATCH(F1120,Код_КВР,0)),"",INDIRECT(ADDRESS(MATCH(F1120,Код_КВР,0)+1,2,,,"КВР")))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120" s="145">
        <v>808</v>
      </c>
      <c r="C1120" s="8" t="s">
        <v>222</v>
      </c>
      <c r="D1120" s="8" t="s">
        <v>216</v>
      </c>
      <c r="E1120" s="145" t="s">
        <v>522</v>
      </c>
      <c r="F1120" s="145">
        <v>611</v>
      </c>
      <c r="G1120" s="69">
        <v>7747.3</v>
      </c>
      <c r="H1120" s="69"/>
      <c r="I1120" s="69">
        <f t="shared" si="254"/>
        <v>7747.3</v>
      </c>
      <c r="J1120" s="69"/>
      <c r="K1120" s="85">
        <f t="shared" si="249"/>
        <v>7747.3</v>
      </c>
      <c r="L1120" s="13">
        <v>-1.8</v>
      </c>
      <c r="M1120" s="85">
        <f t="shared" si="250"/>
        <v>7745.5</v>
      </c>
      <c r="N1120" s="13"/>
      <c r="O1120" s="85">
        <f t="shared" si="251"/>
        <v>7745.5</v>
      </c>
      <c r="P1120" s="13"/>
      <c r="Q1120" s="85">
        <f t="shared" si="243"/>
        <v>7745.5</v>
      </c>
      <c r="R1120" s="13"/>
      <c r="S1120" s="85">
        <f t="shared" si="241"/>
        <v>7745.5</v>
      </c>
      <c r="T1120" s="13">
        <v>-141.9</v>
      </c>
      <c r="U1120" s="85">
        <f t="shared" si="239"/>
        <v>7603.6</v>
      </c>
    </row>
    <row r="1121" spans="1:22" ht="33">
      <c r="A1121" s="61" t="str">
        <f ca="1">IF(ISERROR(MATCH(E1121,Код_КЦСР,0)),"",INDIRECT(ADDRESS(MATCH(E1121,Код_КЦСР,0)+1,2,,,"КЦСР")))</f>
        <v>Муниципальная программа «Охрана окружающей среды» на 2013-2022 годы</v>
      </c>
      <c r="B1121" s="145">
        <v>808</v>
      </c>
      <c r="C1121" s="8" t="s">
        <v>222</v>
      </c>
      <c r="D1121" s="8" t="s">
        <v>216</v>
      </c>
      <c r="E1121" s="145" t="s">
        <v>539</v>
      </c>
      <c r="F1121" s="145"/>
      <c r="G1121" s="69">
        <f t="shared" ref="G1121:T1124" si="256">G1122</f>
        <v>10</v>
      </c>
      <c r="H1121" s="69">
        <f t="shared" si="256"/>
        <v>0</v>
      </c>
      <c r="I1121" s="69">
        <f t="shared" si="254"/>
        <v>10</v>
      </c>
      <c r="J1121" s="69">
        <f t="shared" si="256"/>
        <v>0</v>
      </c>
      <c r="K1121" s="85">
        <f t="shared" si="249"/>
        <v>10</v>
      </c>
      <c r="L1121" s="13">
        <f t="shared" si="256"/>
        <v>0</v>
      </c>
      <c r="M1121" s="85">
        <f t="shared" si="250"/>
        <v>10</v>
      </c>
      <c r="N1121" s="13">
        <f t="shared" si="256"/>
        <v>0</v>
      </c>
      <c r="O1121" s="85">
        <f t="shared" si="251"/>
        <v>10</v>
      </c>
      <c r="P1121" s="13">
        <f t="shared" si="256"/>
        <v>0</v>
      </c>
      <c r="Q1121" s="85">
        <f t="shared" si="243"/>
        <v>10</v>
      </c>
      <c r="R1121" s="13">
        <f t="shared" si="256"/>
        <v>0</v>
      </c>
      <c r="S1121" s="85">
        <f t="shared" si="241"/>
        <v>10</v>
      </c>
      <c r="T1121" s="13">
        <f t="shared" si="256"/>
        <v>0</v>
      </c>
      <c r="U1121" s="85">
        <f t="shared" si="239"/>
        <v>10</v>
      </c>
    </row>
    <row r="1122" spans="1:22" ht="33">
      <c r="A1122" s="61" t="str">
        <f ca="1">IF(ISERROR(MATCH(E1122,Код_КЦСР,0)),"",INDIRECT(ADDRESS(MATCH(E1122,Код_КЦСР,0)+1,2,,,"КЦСР")))</f>
        <v>Организация мероприятий по экологическому образованию и воспитанию населения</v>
      </c>
      <c r="B1122" s="145">
        <v>808</v>
      </c>
      <c r="C1122" s="8" t="s">
        <v>222</v>
      </c>
      <c r="D1122" s="8" t="s">
        <v>216</v>
      </c>
      <c r="E1122" s="145" t="s">
        <v>543</v>
      </c>
      <c r="F1122" s="145"/>
      <c r="G1122" s="69">
        <f t="shared" si="256"/>
        <v>10</v>
      </c>
      <c r="H1122" s="69">
        <f t="shared" si="256"/>
        <v>0</v>
      </c>
      <c r="I1122" s="69">
        <f t="shared" si="254"/>
        <v>10</v>
      </c>
      <c r="J1122" s="69">
        <f t="shared" si="256"/>
        <v>0</v>
      </c>
      <c r="K1122" s="85">
        <f t="shared" si="249"/>
        <v>10</v>
      </c>
      <c r="L1122" s="13">
        <f t="shared" si="256"/>
        <v>0</v>
      </c>
      <c r="M1122" s="85">
        <f t="shared" si="250"/>
        <v>10</v>
      </c>
      <c r="N1122" s="13">
        <f t="shared" si="256"/>
        <v>0</v>
      </c>
      <c r="O1122" s="85">
        <f t="shared" si="251"/>
        <v>10</v>
      </c>
      <c r="P1122" s="13">
        <f t="shared" si="256"/>
        <v>0</v>
      </c>
      <c r="Q1122" s="85">
        <f t="shared" si="243"/>
        <v>10</v>
      </c>
      <c r="R1122" s="13">
        <f t="shared" si="256"/>
        <v>0</v>
      </c>
      <c r="S1122" s="85">
        <f t="shared" si="241"/>
        <v>10</v>
      </c>
      <c r="T1122" s="13">
        <f t="shared" si="256"/>
        <v>0</v>
      </c>
      <c r="U1122" s="85">
        <f t="shared" si="239"/>
        <v>10</v>
      </c>
    </row>
    <row r="1123" spans="1:22" ht="33">
      <c r="A1123" s="61" t="str">
        <f ca="1">IF(ISERROR(MATCH(F1123,Код_КВР,0)),"",INDIRECT(ADDRESS(MATCH(F1123,Код_КВР,0)+1,2,,,"КВР")))</f>
        <v>Предоставление субсидий бюджетным, автономным учреждениям и иным некоммерческим организациям</v>
      </c>
      <c r="B1123" s="145">
        <v>808</v>
      </c>
      <c r="C1123" s="8" t="s">
        <v>222</v>
      </c>
      <c r="D1123" s="8" t="s">
        <v>216</v>
      </c>
      <c r="E1123" s="145" t="s">
        <v>543</v>
      </c>
      <c r="F1123" s="145">
        <v>600</v>
      </c>
      <c r="G1123" s="69">
        <f t="shared" si="256"/>
        <v>10</v>
      </c>
      <c r="H1123" s="69">
        <f t="shared" si="256"/>
        <v>0</v>
      </c>
      <c r="I1123" s="69">
        <f t="shared" si="254"/>
        <v>10</v>
      </c>
      <c r="J1123" s="69">
        <f t="shared" si="256"/>
        <v>0</v>
      </c>
      <c r="K1123" s="85">
        <f t="shared" si="249"/>
        <v>10</v>
      </c>
      <c r="L1123" s="13">
        <f t="shared" si="256"/>
        <v>0</v>
      </c>
      <c r="M1123" s="85">
        <f t="shared" si="250"/>
        <v>10</v>
      </c>
      <c r="N1123" s="13">
        <f t="shared" si="256"/>
        <v>0</v>
      </c>
      <c r="O1123" s="85">
        <f t="shared" si="251"/>
        <v>10</v>
      </c>
      <c r="P1123" s="13">
        <f t="shared" si="256"/>
        <v>0</v>
      </c>
      <c r="Q1123" s="85">
        <f t="shared" si="243"/>
        <v>10</v>
      </c>
      <c r="R1123" s="13">
        <f t="shared" si="256"/>
        <v>0</v>
      </c>
      <c r="S1123" s="85">
        <f t="shared" si="241"/>
        <v>10</v>
      </c>
      <c r="T1123" s="13">
        <f t="shared" si="256"/>
        <v>0</v>
      </c>
      <c r="U1123" s="85">
        <f t="shared" si="239"/>
        <v>10</v>
      </c>
    </row>
    <row r="1124" spans="1:22">
      <c r="A1124" s="61" t="str">
        <f ca="1">IF(ISERROR(MATCH(F1124,Код_КВР,0)),"",INDIRECT(ADDRESS(MATCH(F1124,Код_КВР,0)+1,2,,,"КВР")))</f>
        <v>Субсидии бюджетным учреждениям</v>
      </c>
      <c r="B1124" s="145">
        <v>808</v>
      </c>
      <c r="C1124" s="8" t="s">
        <v>222</v>
      </c>
      <c r="D1124" s="8" t="s">
        <v>216</v>
      </c>
      <c r="E1124" s="145" t="s">
        <v>543</v>
      </c>
      <c r="F1124" s="145">
        <v>610</v>
      </c>
      <c r="G1124" s="69">
        <f t="shared" si="256"/>
        <v>10</v>
      </c>
      <c r="H1124" s="69">
        <f t="shared" si="256"/>
        <v>0</v>
      </c>
      <c r="I1124" s="69">
        <f t="shared" si="254"/>
        <v>10</v>
      </c>
      <c r="J1124" s="69">
        <f t="shared" si="256"/>
        <v>0</v>
      </c>
      <c r="K1124" s="85">
        <f t="shared" si="249"/>
        <v>10</v>
      </c>
      <c r="L1124" s="13">
        <f t="shared" si="256"/>
        <v>0</v>
      </c>
      <c r="M1124" s="85">
        <f t="shared" si="250"/>
        <v>10</v>
      </c>
      <c r="N1124" s="13">
        <f t="shared" si="256"/>
        <v>0</v>
      </c>
      <c r="O1124" s="85">
        <f t="shared" si="251"/>
        <v>10</v>
      </c>
      <c r="P1124" s="13">
        <f t="shared" si="256"/>
        <v>0</v>
      </c>
      <c r="Q1124" s="85">
        <f t="shared" si="243"/>
        <v>10</v>
      </c>
      <c r="R1124" s="13">
        <f t="shared" si="256"/>
        <v>0</v>
      </c>
      <c r="S1124" s="85">
        <f t="shared" si="241"/>
        <v>10</v>
      </c>
      <c r="T1124" s="13">
        <f t="shared" si="256"/>
        <v>0</v>
      </c>
      <c r="U1124" s="85">
        <f t="shared" si="239"/>
        <v>10</v>
      </c>
    </row>
    <row r="1125" spans="1:22">
      <c r="A1125" s="61" t="str">
        <f ca="1">IF(ISERROR(MATCH(F1125,Код_КВР,0)),"",INDIRECT(ADDRESS(MATCH(F1125,Код_КВР,0)+1,2,,,"КВР")))</f>
        <v>Субсидии бюджетным учреждениям на иные цели</v>
      </c>
      <c r="B1125" s="145">
        <v>808</v>
      </c>
      <c r="C1125" s="8" t="s">
        <v>222</v>
      </c>
      <c r="D1125" s="8" t="s">
        <v>216</v>
      </c>
      <c r="E1125" s="145" t="s">
        <v>543</v>
      </c>
      <c r="F1125" s="145">
        <v>612</v>
      </c>
      <c r="G1125" s="69">
        <v>10</v>
      </c>
      <c r="H1125" s="69"/>
      <c r="I1125" s="69">
        <f t="shared" si="254"/>
        <v>10</v>
      </c>
      <c r="J1125" s="69"/>
      <c r="K1125" s="85">
        <f t="shared" si="249"/>
        <v>10</v>
      </c>
      <c r="L1125" s="13"/>
      <c r="M1125" s="85">
        <f t="shared" si="250"/>
        <v>10</v>
      </c>
      <c r="N1125" s="13"/>
      <c r="O1125" s="85">
        <f t="shared" si="251"/>
        <v>10</v>
      </c>
      <c r="P1125" s="13"/>
      <c r="Q1125" s="85">
        <f t="shared" si="243"/>
        <v>10</v>
      </c>
      <c r="R1125" s="13"/>
      <c r="S1125" s="85">
        <f t="shared" si="241"/>
        <v>10</v>
      </c>
      <c r="T1125" s="13"/>
      <c r="U1125" s="85">
        <f t="shared" si="239"/>
        <v>10</v>
      </c>
    </row>
    <row r="1126" spans="1:22" hidden="1">
      <c r="A1126" s="61" t="str">
        <f ca="1">IF(ISERROR(MATCH(E1126,Код_КЦСР,0)),"",INDIRECT(ADDRESS(MATCH(E1126,Код_КЦСР,0)+1,2,,,"КЦСР")))</f>
        <v>Муниципальная программа «Здоровый город» на 2014-2022 годы</v>
      </c>
      <c r="B1126" s="145">
        <v>808</v>
      </c>
      <c r="C1126" s="8" t="s">
        <v>222</v>
      </c>
      <c r="D1126" s="8" t="s">
        <v>216</v>
      </c>
      <c r="E1126" s="145" t="s">
        <v>570</v>
      </c>
      <c r="F1126" s="145"/>
      <c r="G1126" s="69">
        <f>G1127+G1131+G1135+G1139</f>
        <v>0</v>
      </c>
      <c r="H1126" s="69">
        <f>H1127+H1131+H1135+H1139</f>
        <v>0</v>
      </c>
      <c r="I1126" s="69">
        <f t="shared" si="254"/>
        <v>0</v>
      </c>
      <c r="J1126" s="69">
        <f>J1127+J1131+J1135+J1139</f>
        <v>0</v>
      </c>
      <c r="K1126" s="85">
        <f t="shared" si="249"/>
        <v>0</v>
      </c>
      <c r="L1126" s="13">
        <f>L1127+L1131+L1135+L1139</f>
        <v>0</v>
      </c>
      <c r="M1126" s="85">
        <f t="shared" si="250"/>
        <v>0</v>
      </c>
      <c r="N1126" s="13">
        <f>N1127+N1131+N1135+N1139</f>
        <v>0</v>
      </c>
      <c r="O1126" s="85">
        <f t="shared" si="251"/>
        <v>0</v>
      </c>
      <c r="P1126" s="13">
        <f>P1127+P1131+P1135+P1139</f>
        <v>0</v>
      </c>
      <c r="Q1126" s="85">
        <f t="shared" si="243"/>
        <v>0</v>
      </c>
      <c r="R1126" s="13">
        <f>R1127+R1131+R1135+R1139</f>
        <v>0</v>
      </c>
      <c r="S1126" s="85">
        <f t="shared" si="241"/>
        <v>0</v>
      </c>
      <c r="T1126" s="13">
        <f>T1127+T1131+T1135+T1139</f>
        <v>0</v>
      </c>
      <c r="U1126" s="85">
        <f t="shared" si="239"/>
        <v>0</v>
      </c>
      <c r="V1126" s="155" t="s">
        <v>715</v>
      </c>
    </row>
    <row r="1127" spans="1:22" hidden="1">
      <c r="A1127" s="61" t="str">
        <f ca="1">IF(ISERROR(MATCH(E1127,Код_КЦСР,0)),"",INDIRECT(ADDRESS(MATCH(E1127,Код_КЦСР,0)+1,2,,,"КЦСР")))</f>
        <v>Сохранение и укрепление здоровья детей и подростков</v>
      </c>
      <c r="B1127" s="145">
        <v>808</v>
      </c>
      <c r="C1127" s="8" t="s">
        <v>222</v>
      </c>
      <c r="D1127" s="8" t="s">
        <v>216</v>
      </c>
      <c r="E1127" s="145" t="s">
        <v>573</v>
      </c>
      <c r="F1127" s="145"/>
      <c r="G1127" s="69">
        <f t="shared" ref="G1127:T1129" si="257">G1128</f>
        <v>0</v>
      </c>
      <c r="H1127" s="69">
        <f t="shared" si="257"/>
        <v>0</v>
      </c>
      <c r="I1127" s="69">
        <f t="shared" si="254"/>
        <v>0</v>
      </c>
      <c r="J1127" s="69">
        <f t="shared" si="257"/>
        <v>0</v>
      </c>
      <c r="K1127" s="85">
        <f t="shared" si="249"/>
        <v>0</v>
      </c>
      <c r="L1127" s="13">
        <f t="shared" si="257"/>
        <v>0</v>
      </c>
      <c r="M1127" s="85">
        <f t="shared" si="250"/>
        <v>0</v>
      </c>
      <c r="N1127" s="13">
        <f t="shared" si="257"/>
        <v>0</v>
      </c>
      <c r="O1127" s="85">
        <f t="shared" si="251"/>
        <v>0</v>
      </c>
      <c r="P1127" s="13">
        <f t="shared" si="257"/>
        <v>0</v>
      </c>
      <c r="Q1127" s="85">
        <f t="shared" si="243"/>
        <v>0</v>
      </c>
      <c r="R1127" s="13">
        <f t="shared" si="257"/>
        <v>0</v>
      </c>
      <c r="S1127" s="85">
        <f t="shared" si="241"/>
        <v>0</v>
      </c>
      <c r="T1127" s="13">
        <f t="shared" si="257"/>
        <v>0</v>
      </c>
      <c r="U1127" s="85">
        <f t="shared" ref="U1127:U1207" si="258">S1127+T1127</f>
        <v>0</v>
      </c>
      <c r="V1127" s="155" t="s">
        <v>715</v>
      </c>
    </row>
    <row r="1128" spans="1:22" ht="33" hidden="1">
      <c r="A1128" s="61" t="str">
        <f ca="1">IF(ISERROR(MATCH(F1128,Код_КВР,0)),"",INDIRECT(ADDRESS(MATCH(F1128,Код_КВР,0)+1,2,,,"КВР")))</f>
        <v>Предоставление субсидий бюджетным, автономным учреждениям и иным некоммерческим организациям</v>
      </c>
      <c r="B1128" s="145">
        <v>808</v>
      </c>
      <c r="C1128" s="8" t="s">
        <v>222</v>
      </c>
      <c r="D1128" s="8" t="s">
        <v>216</v>
      </c>
      <c r="E1128" s="145" t="s">
        <v>573</v>
      </c>
      <c r="F1128" s="145">
        <v>600</v>
      </c>
      <c r="G1128" s="69">
        <f t="shared" si="257"/>
        <v>0</v>
      </c>
      <c r="H1128" s="69">
        <f t="shared" si="257"/>
        <v>0</v>
      </c>
      <c r="I1128" s="69">
        <f t="shared" si="254"/>
        <v>0</v>
      </c>
      <c r="J1128" s="69">
        <f t="shared" si="257"/>
        <v>0</v>
      </c>
      <c r="K1128" s="85">
        <f t="shared" si="249"/>
        <v>0</v>
      </c>
      <c r="L1128" s="13">
        <f t="shared" si="257"/>
        <v>0</v>
      </c>
      <c r="M1128" s="85">
        <f t="shared" si="250"/>
        <v>0</v>
      </c>
      <c r="N1128" s="13">
        <f t="shared" si="257"/>
        <v>0</v>
      </c>
      <c r="O1128" s="85">
        <f t="shared" si="251"/>
        <v>0</v>
      </c>
      <c r="P1128" s="13">
        <f t="shared" si="257"/>
        <v>0</v>
      </c>
      <c r="Q1128" s="85">
        <f t="shared" si="243"/>
        <v>0</v>
      </c>
      <c r="R1128" s="13">
        <f t="shared" si="257"/>
        <v>0</v>
      </c>
      <c r="S1128" s="85">
        <f t="shared" si="241"/>
        <v>0</v>
      </c>
      <c r="T1128" s="13">
        <f t="shared" si="257"/>
        <v>0</v>
      </c>
      <c r="U1128" s="85">
        <f t="shared" si="258"/>
        <v>0</v>
      </c>
      <c r="V1128" s="155" t="s">
        <v>715</v>
      </c>
    </row>
    <row r="1129" spans="1:22" hidden="1">
      <c r="A1129" s="61" t="str">
        <f ca="1">IF(ISERROR(MATCH(F1129,Код_КВР,0)),"",INDIRECT(ADDRESS(MATCH(F1129,Код_КВР,0)+1,2,,,"КВР")))</f>
        <v>Субсидии бюджетным учреждениям</v>
      </c>
      <c r="B1129" s="145">
        <v>808</v>
      </c>
      <c r="C1129" s="8" t="s">
        <v>222</v>
      </c>
      <c r="D1129" s="8" t="s">
        <v>216</v>
      </c>
      <c r="E1129" s="145" t="s">
        <v>573</v>
      </c>
      <c r="F1129" s="145">
        <v>610</v>
      </c>
      <c r="G1129" s="69">
        <f t="shared" si="257"/>
        <v>0</v>
      </c>
      <c r="H1129" s="69">
        <f t="shared" si="257"/>
        <v>0</v>
      </c>
      <c r="I1129" s="69">
        <f t="shared" si="254"/>
        <v>0</v>
      </c>
      <c r="J1129" s="69">
        <f t="shared" si="257"/>
        <v>0</v>
      </c>
      <c r="K1129" s="85">
        <f t="shared" si="249"/>
        <v>0</v>
      </c>
      <c r="L1129" s="13">
        <f t="shared" si="257"/>
        <v>0</v>
      </c>
      <c r="M1129" s="85">
        <f t="shared" si="250"/>
        <v>0</v>
      </c>
      <c r="N1129" s="13">
        <f t="shared" si="257"/>
        <v>0</v>
      </c>
      <c r="O1129" s="85">
        <f t="shared" si="251"/>
        <v>0</v>
      </c>
      <c r="P1129" s="13">
        <f t="shared" si="257"/>
        <v>0</v>
      </c>
      <c r="Q1129" s="85">
        <f t="shared" si="243"/>
        <v>0</v>
      </c>
      <c r="R1129" s="13">
        <f t="shared" si="257"/>
        <v>0</v>
      </c>
      <c r="S1129" s="85">
        <f t="shared" si="241"/>
        <v>0</v>
      </c>
      <c r="T1129" s="13">
        <f t="shared" si="257"/>
        <v>0</v>
      </c>
      <c r="U1129" s="85">
        <f t="shared" si="258"/>
        <v>0</v>
      </c>
      <c r="V1129" s="155" t="s">
        <v>715</v>
      </c>
    </row>
    <row r="1130" spans="1:22" hidden="1">
      <c r="A1130" s="61" t="str">
        <f ca="1">IF(ISERROR(MATCH(F1130,Код_КВР,0)),"",INDIRECT(ADDRESS(MATCH(F1130,Код_КВР,0)+1,2,,,"КВР")))</f>
        <v>Субсидии бюджетным учреждениям на иные цели</v>
      </c>
      <c r="B1130" s="145">
        <v>808</v>
      </c>
      <c r="C1130" s="8" t="s">
        <v>222</v>
      </c>
      <c r="D1130" s="8" t="s">
        <v>216</v>
      </c>
      <c r="E1130" s="145" t="s">
        <v>573</v>
      </c>
      <c r="F1130" s="145">
        <v>612</v>
      </c>
      <c r="G1130" s="69"/>
      <c r="H1130" s="69"/>
      <c r="I1130" s="69">
        <f t="shared" si="254"/>
        <v>0</v>
      </c>
      <c r="J1130" s="69"/>
      <c r="K1130" s="85">
        <f t="shared" si="249"/>
        <v>0</v>
      </c>
      <c r="L1130" s="13"/>
      <c r="M1130" s="85">
        <f t="shared" si="250"/>
        <v>0</v>
      </c>
      <c r="N1130" s="13"/>
      <c r="O1130" s="85">
        <f t="shared" si="251"/>
        <v>0</v>
      </c>
      <c r="P1130" s="13"/>
      <c r="Q1130" s="85">
        <f t="shared" si="243"/>
        <v>0</v>
      </c>
      <c r="R1130" s="13"/>
      <c r="S1130" s="85">
        <f t="shared" si="241"/>
        <v>0</v>
      </c>
      <c r="T1130" s="13"/>
      <c r="U1130" s="85">
        <f t="shared" si="258"/>
        <v>0</v>
      </c>
      <c r="V1130" s="155" t="s">
        <v>715</v>
      </c>
    </row>
    <row r="1131" spans="1:22" hidden="1">
      <c r="A1131" s="61" t="str">
        <f ca="1">IF(ISERROR(MATCH(E1131,Код_КЦСР,0)),"",INDIRECT(ADDRESS(MATCH(E1131,Код_КЦСР,0)+1,2,,,"КЦСР")))</f>
        <v>Пропаганда здорового образа жизни</v>
      </c>
      <c r="B1131" s="145">
        <v>808</v>
      </c>
      <c r="C1131" s="8" t="s">
        <v>222</v>
      </c>
      <c r="D1131" s="8" t="s">
        <v>216</v>
      </c>
      <c r="E1131" s="145" t="s">
        <v>575</v>
      </c>
      <c r="F1131" s="145"/>
      <c r="G1131" s="69">
        <f>G1132+G1141</f>
        <v>0</v>
      </c>
      <c r="H1131" s="69">
        <f>H1132+H1141</f>
        <v>0</v>
      </c>
      <c r="I1131" s="69">
        <f t="shared" si="254"/>
        <v>0</v>
      </c>
      <c r="J1131" s="69">
        <f>J1132+J1141</f>
        <v>0</v>
      </c>
      <c r="K1131" s="85">
        <f t="shared" si="249"/>
        <v>0</v>
      </c>
      <c r="L1131" s="13">
        <f>L1132+L1141</f>
        <v>0</v>
      </c>
      <c r="M1131" s="85">
        <f t="shared" si="250"/>
        <v>0</v>
      </c>
      <c r="N1131" s="13">
        <f>N1132+N1141</f>
        <v>0</v>
      </c>
      <c r="O1131" s="85">
        <f t="shared" si="251"/>
        <v>0</v>
      </c>
      <c r="P1131" s="13">
        <f>P1132+P1141</f>
        <v>0</v>
      </c>
      <c r="Q1131" s="85">
        <f t="shared" si="243"/>
        <v>0</v>
      </c>
      <c r="R1131" s="13">
        <f>R1132+R1141</f>
        <v>0</v>
      </c>
      <c r="S1131" s="85">
        <f t="shared" si="241"/>
        <v>0</v>
      </c>
      <c r="T1131" s="13">
        <f>T1132+T1141</f>
        <v>0</v>
      </c>
      <c r="U1131" s="85">
        <f t="shared" si="258"/>
        <v>0</v>
      </c>
      <c r="V1131" s="155" t="s">
        <v>715</v>
      </c>
    </row>
    <row r="1132" spans="1:22" hidden="1">
      <c r="A1132" s="61" t="str">
        <f ca="1">IF(ISERROR(MATCH(F1132,Код_КВР,0)),"",INDIRECT(ADDRESS(MATCH(F1132,Код_КВР,0)+1,2,,,"КВР")))</f>
        <v>Закупка товаров, работ и услуг для муниципальных нужд</v>
      </c>
      <c r="B1132" s="145">
        <v>808</v>
      </c>
      <c r="C1132" s="8" t="s">
        <v>222</v>
      </c>
      <c r="D1132" s="8" t="s">
        <v>216</v>
      </c>
      <c r="E1132" s="145" t="s">
        <v>575</v>
      </c>
      <c r="F1132" s="145">
        <v>200</v>
      </c>
      <c r="G1132" s="69">
        <f>G1133</f>
        <v>0</v>
      </c>
      <c r="H1132" s="69">
        <f>H1133</f>
        <v>0</v>
      </c>
      <c r="I1132" s="69">
        <f t="shared" si="254"/>
        <v>0</v>
      </c>
      <c r="J1132" s="69">
        <f>J1133</f>
        <v>0</v>
      </c>
      <c r="K1132" s="85">
        <f t="shared" si="249"/>
        <v>0</v>
      </c>
      <c r="L1132" s="13">
        <f>L1133</f>
        <v>0</v>
      </c>
      <c r="M1132" s="85">
        <f t="shared" si="250"/>
        <v>0</v>
      </c>
      <c r="N1132" s="13">
        <f>N1133</f>
        <v>0</v>
      </c>
      <c r="O1132" s="85">
        <f t="shared" si="251"/>
        <v>0</v>
      </c>
      <c r="P1132" s="13">
        <f>P1133</f>
        <v>0</v>
      </c>
      <c r="Q1132" s="85">
        <f t="shared" si="243"/>
        <v>0</v>
      </c>
      <c r="R1132" s="13">
        <f>R1133</f>
        <v>0</v>
      </c>
      <c r="S1132" s="85">
        <f t="shared" si="241"/>
        <v>0</v>
      </c>
      <c r="T1132" s="13">
        <f>T1133</f>
        <v>0</v>
      </c>
      <c r="U1132" s="85">
        <f t="shared" si="258"/>
        <v>0</v>
      </c>
      <c r="V1132" s="155" t="s">
        <v>715</v>
      </c>
    </row>
    <row r="1133" spans="1:22" ht="33" hidden="1">
      <c r="A1133" s="61" t="str">
        <f ca="1">IF(ISERROR(MATCH(F1133,Код_КВР,0)),"",INDIRECT(ADDRESS(MATCH(F1133,Код_КВР,0)+1,2,,,"КВР")))</f>
        <v>Иные закупки товаров, работ и услуг для обеспечения муниципальных нужд</v>
      </c>
      <c r="B1133" s="145">
        <v>808</v>
      </c>
      <c r="C1133" s="8" t="s">
        <v>222</v>
      </c>
      <c r="D1133" s="8" t="s">
        <v>216</v>
      </c>
      <c r="E1133" s="145" t="s">
        <v>575</v>
      </c>
      <c r="F1133" s="145">
        <v>240</v>
      </c>
      <c r="G1133" s="69">
        <f>G1134</f>
        <v>0</v>
      </c>
      <c r="H1133" s="69">
        <f>H1134</f>
        <v>0</v>
      </c>
      <c r="I1133" s="69">
        <f t="shared" si="254"/>
        <v>0</v>
      </c>
      <c r="J1133" s="69">
        <f>J1134</f>
        <v>0</v>
      </c>
      <c r="K1133" s="85">
        <f t="shared" si="249"/>
        <v>0</v>
      </c>
      <c r="L1133" s="13">
        <f>L1134</f>
        <v>0</v>
      </c>
      <c r="M1133" s="85">
        <f t="shared" si="250"/>
        <v>0</v>
      </c>
      <c r="N1133" s="13">
        <f>N1134</f>
        <v>0</v>
      </c>
      <c r="O1133" s="85">
        <f t="shared" si="251"/>
        <v>0</v>
      </c>
      <c r="P1133" s="13">
        <f>P1134</f>
        <v>0</v>
      </c>
      <c r="Q1133" s="85">
        <f t="shared" si="243"/>
        <v>0</v>
      </c>
      <c r="R1133" s="13">
        <f>R1134</f>
        <v>0</v>
      </c>
      <c r="S1133" s="85">
        <f t="shared" si="241"/>
        <v>0</v>
      </c>
      <c r="T1133" s="13">
        <f>T1134</f>
        <v>0</v>
      </c>
      <c r="U1133" s="85">
        <f t="shared" si="258"/>
        <v>0</v>
      </c>
      <c r="V1133" s="155" t="s">
        <v>715</v>
      </c>
    </row>
    <row r="1134" spans="1:22" ht="33" hidden="1">
      <c r="A1134" s="61" t="str">
        <f ca="1">IF(ISERROR(MATCH(F1134,Код_КВР,0)),"",INDIRECT(ADDRESS(MATCH(F1134,Код_КВР,0)+1,2,,,"КВР")))</f>
        <v xml:space="preserve">Прочая закупка товаров, работ и услуг для обеспечения муниципальных нужд         </v>
      </c>
      <c r="B1134" s="145">
        <v>808</v>
      </c>
      <c r="C1134" s="8" t="s">
        <v>222</v>
      </c>
      <c r="D1134" s="8" t="s">
        <v>216</v>
      </c>
      <c r="E1134" s="145" t="s">
        <v>575</v>
      </c>
      <c r="F1134" s="145">
        <v>244</v>
      </c>
      <c r="G1134" s="69"/>
      <c r="H1134" s="69"/>
      <c r="I1134" s="69">
        <f t="shared" si="254"/>
        <v>0</v>
      </c>
      <c r="J1134" s="69"/>
      <c r="K1134" s="85">
        <f t="shared" si="249"/>
        <v>0</v>
      </c>
      <c r="L1134" s="13"/>
      <c r="M1134" s="85">
        <f t="shared" si="250"/>
        <v>0</v>
      </c>
      <c r="N1134" s="13"/>
      <c r="O1134" s="85">
        <f t="shared" si="251"/>
        <v>0</v>
      </c>
      <c r="P1134" s="13"/>
      <c r="Q1134" s="85">
        <f t="shared" si="243"/>
        <v>0</v>
      </c>
      <c r="R1134" s="13"/>
      <c r="S1134" s="85">
        <f t="shared" si="241"/>
        <v>0</v>
      </c>
      <c r="T1134" s="13"/>
      <c r="U1134" s="85">
        <f t="shared" si="258"/>
        <v>0</v>
      </c>
      <c r="V1134" s="155" t="s">
        <v>715</v>
      </c>
    </row>
    <row r="1135" spans="1:22" hidden="1">
      <c r="A1135" s="61" t="str">
        <f ca="1">IF(ISERROR(MATCH(E1135,Код_КЦСР,0)),"",INDIRECT(ADDRESS(MATCH(E1135,Код_КЦСР,0)+1,2,,,"КЦСР")))</f>
        <v>Здоровье на рабочем месте</v>
      </c>
      <c r="B1135" s="145">
        <v>808</v>
      </c>
      <c r="C1135" s="8" t="s">
        <v>222</v>
      </c>
      <c r="D1135" s="8" t="s">
        <v>216</v>
      </c>
      <c r="E1135" s="145" t="s">
        <v>577</v>
      </c>
      <c r="F1135" s="145"/>
      <c r="G1135" s="69">
        <f t="shared" ref="G1135:T1137" si="259">G1136</f>
        <v>0</v>
      </c>
      <c r="H1135" s="69">
        <f t="shared" si="259"/>
        <v>0</v>
      </c>
      <c r="I1135" s="69">
        <f t="shared" si="254"/>
        <v>0</v>
      </c>
      <c r="J1135" s="69">
        <f t="shared" si="259"/>
        <v>0</v>
      </c>
      <c r="K1135" s="85">
        <f t="shared" si="249"/>
        <v>0</v>
      </c>
      <c r="L1135" s="13">
        <f t="shared" si="259"/>
        <v>0</v>
      </c>
      <c r="M1135" s="85">
        <f t="shared" si="250"/>
        <v>0</v>
      </c>
      <c r="N1135" s="13">
        <f t="shared" si="259"/>
        <v>0</v>
      </c>
      <c r="O1135" s="85">
        <f t="shared" si="251"/>
        <v>0</v>
      </c>
      <c r="P1135" s="13">
        <f t="shared" si="259"/>
        <v>0</v>
      </c>
      <c r="Q1135" s="85">
        <f t="shared" si="243"/>
        <v>0</v>
      </c>
      <c r="R1135" s="13">
        <f t="shared" si="259"/>
        <v>0</v>
      </c>
      <c r="S1135" s="85">
        <f t="shared" si="241"/>
        <v>0</v>
      </c>
      <c r="T1135" s="13">
        <f t="shared" si="259"/>
        <v>0</v>
      </c>
      <c r="U1135" s="85">
        <f t="shared" si="258"/>
        <v>0</v>
      </c>
      <c r="V1135" s="155" t="s">
        <v>715</v>
      </c>
    </row>
    <row r="1136" spans="1:22" hidden="1">
      <c r="A1136" s="61" t="str">
        <f ca="1">IF(ISERROR(MATCH(F1136,Код_КВР,0)),"",INDIRECT(ADDRESS(MATCH(F1136,Код_КВР,0)+1,2,,,"КВР")))</f>
        <v>Закупка товаров, работ и услуг для муниципальных нужд</v>
      </c>
      <c r="B1136" s="145">
        <v>808</v>
      </c>
      <c r="C1136" s="8" t="s">
        <v>222</v>
      </c>
      <c r="D1136" s="8" t="s">
        <v>216</v>
      </c>
      <c r="E1136" s="145" t="s">
        <v>577</v>
      </c>
      <c r="F1136" s="145">
        <v>200</v>
      </c>
      <c r="G1136" s="69">
        <f t="shared" si="259"/>
        <v>0</v>
      </c>
      <c r="H1136" s="69">
        <f t="shared" si="259"/>
        <v>0</v>
      </c>
      <c r="I1136" s="69">
        <f t="shared" si="254"/>
        <v>0</v>
      </c>
      <c r="J1136" s="69">
        <f t="shared" si="259"/>
        <v>0</v>
      </c>
      <c r="K1136" s="85">
        <f t="shared" si="249"/>
        <v>0</v>
      </c>
      <c r="L1136" s="13">
        <f t="shared" si="259"/>
        <v>0</v>
      </c>
      <c r="M1136" s="85">
        <f t="shared" si="250"/>
        <v>0</v>
      </c>
      <c r="N1136" s="13">
        <f t="shared" si="259"/>
        <v>0</v>
      </c>
      <c r="O1136" s="85">
        <f t="shared" si="251"/>
        <v>0</v>
      </c>
      <c r="P1136" s="13">
        <f t="shared" si="259"/>
        <v>0</v>
      </c>
      <c r="Q1136" s="85">
        <f t="shared" si="243"/>
        <v>0</v>
      </c>
      <c r="R1136" s="13">
        <f t="shared" si="259"/>
        <v>0</v>
      </c>
      <c r="S1136" s="85">
        <f t="shared" ref="S1136:S1216" si="260">Q1136+R1136</f>
        <v>0</v>
      </c>
      <c r="T1136" s="13">
        <f t="shared" si="259"/>
        <v>0</v>
      </c>
      <c r="U1136" s="85">
        <f t="shared" si="258"/>
        <v>0</v>
      </c>
      <c r="V1136" s="155" t="s">
        <v>715</v>
      </c>
    </row>
    <row r="1137" spans="1:22" ht="33" hidden="1">
      <c r="A1137" s="61" t="str">
        <f ca="1">IF(ISERROR(MATCH(F1137,Код_КВР,0)),"",INDIRECT(ADDRESS(MATCH(F1137,Код_КВР,0)+1,2,,,"КВР")))</f>
        <v>Иные закупки товаров, работ и услуг для обеспечения муниципальных нужд</v>
      </c>
      <c r="B1137" s="145">
        <v>808</v>
      </c>
      <c r="C1137" s="8" t="s">
        <v>222</v>
      </c>
      <c r="D1137" s="8" t="s">
        <v>216</v>
      </c>
      <c r="E1137" s="145" t="s">
        <v>577</v>
      </c>
      <c r="F1137" s="145">
        <v>240</v>
      </c>
      <c r="G1137" s="69">
        <f t="shared" si="259"/>
        <v>0</v>
      </c>
      <c r="H1137" s="69">
        <f t="shared" si="259"/>
        <v>0</v>
      </c>
      <c r="I1137" s="69">
        <f t="shared" si="254"/>
        <v>0</v>
      </c>
      <c r="J1137" s="69">
        <f t="shared" si="259"/>
        <v>0</v>
      </c>
      <c r="K1137" s="85">
        <f t="shared" si="249"/>
        <v>0</v>
      </c>
      <c r="L1137" s="13">
        <f t="shared" si="259"/>
        <v>0</v>
      </c>
      <c r="M1137" s="85">
        <f t="shared" si="250"/>
        <v>0</v>
      </c>
      <c r="N1137" s="13">
        <f t="shared" si="259"/>
        <v>0</v>
      </c>
      <c r="O1137" s="85">
        <f t="shared" si="251"/>
        <v>0</v>
      </c>
      <c r="P1137" s="13">
        <f t="shared" si="259"/>
        <v>0</v>
      </c>
      <c r="Q1137" s="85">
        <f t="shared" si="243"/>
        <v>0</v>
      </c>
      <c r="R1137" s="13">
        <f t="shared" si="259"/>
        <v>0</v>
      </c>
      <c r="S1137" s="85">
        <f t="shared" si="260"/>
        <v>0</v>
      </c>
      <c r="T1137" s="13">
        <f t="shared" si="259"/>
        <v>0</v>
      </c>
      <c r="U1137" s="85">
        <f t="shared" si="258"/>
        <v>0</v>
      </c>
      <c r="V1137" s="155" t="s">
        <v>715</v>
      </c>
    </row>
    <row r="1138" spans="1:22" ht="33" hidden="1">
      <c r="A1138" s="61" t="str">
        <f ca="1">IF(ISERROR(MATCH(F1138,Код_КВР,0)),"",INDIRECT(ADDRESS(MATCH(F1138,Код_КВР,0)+1,2,,,"КВР")))</f>
        <v xml:space="preserve">Прочая закупка товаров, работ и услуг для обеспечения муниципальных нужд         </v>
      </c>
      <c r="B1138" s="145">
        <v>808</v>
      </c>
      <c r="C1138" s="8" t="s">
        <v>222</v>
      </c>
      <c r="D1138" s="8" t="s">
        <v>216</v>
      </c>
      <c r="E1138" s="145" t="s">
        <v>577</v>
      </c>
      <c r="F1138" s="145">
        <v>244</v>
      </c>
      <c r="G1138" s="69"/>
      <c r="H1138" s="69"/>
      <c r="I1138" s="69">
        <f t="shared" si="254"/>
        <v>0</v>
      </c>
      <c r="J1138" s="69"/>
      <c r="K1138" s="85">
        <f t="shared" si="249"/>
        <v>0</v>
      </c>
      <c r="L1138" s="13"/>
      <c r="M1138" s="85">
        <f t="shared" si="250"/>
        <v>0</v>
      </c>
      <c r="N1138" s="13"/>
      <c r="O1138" s="85">
        <f t="shared" si="251"/>
        <v>0</v>
      </c>
      <c r="P1138" s="13"/>
      <c r="Q1138" s="85">
        <f t="shared" si="243"/>
        <v>0</v>
      </c>
      <c r="R1138" s="13"/>
      <c r="S1138" s="85">
        <f t="shared" si="260"/>
        <v>0</v>
      </c>
      <c r="T1138" s="13"/>
      <c r="U1138" s="85">
        <f t="shared" si="258"/>
        <v>0</v>
      </c>
      <c r="V1138" s="155" t="s">
        <v>715</v>
      </c>
    </row>
    <row r="1139" spans="1:22" hidden="1">
      <c r="A1139" s="61" t="str">
        <f ca="1">IF(ISERROR(MATCH(E1139,Код_КЦСР,0)),"",INDIRECT(ADDRESS(MATCH(E1139,Код_КЦСР,0)+1,2,,,"КЦСР")))</f>
        <v>Активное долголетие</v>
      </c>
      <c r="B1139" s="145">
        <v>808</v>
      </c>
      <c r="C1139" s="8" t="s">
        <v>222</v>
      </c>
      <c r="D1139" s="8" t="s">
        <v>216</v>
      </c>
      <c r="E1139" s="145" t="s">
        <v>580</v>
      </c>
      <c r="F1139" s="145"/>
      <c r="G1139" s="69">
        <f t="shared" ref="G1139:T1141" si="261">G1140</f>
        <v>0</v>
      </c>
      <c r="H1139" s="69">
        <f t="shared" si="261"/>
        <v>0</v>
      </c>
      <c r="I1139" s="69">
        <f t="shared" si="254"/>
        <v>0</v>
      </c>
      <c r="J1139" s="69">
        <f t="shared" si="261"/>
        <v>0</v>
      </c>
      <c r="K1139" s="85">
        <f t="shared" si="249"/>
        <v>0</v>
      </c>
      <c r="L1139" s="13">
        <f t="shared" si="261"/>
        <v>0</v>
      </c>
      <c r="M1139" s="85">
        <f t="shared" si="250"/>
        <v>0</v>
      </c>
      <c r="N1139" s="13">
        <f t="shared" si="261"/>
        <v>0</v>
      </c>
      <c r="O1139" s="85">
        <f t="shared" si="251"/>
        <v>0</v>
      </c>
      <c r="P1139" s="13">
        <f t="shared" si="261"/>
        <v>0</v>
      </c>
      <c r="Q1139" s="85">
        <f t="shared" si="243"/>
        <v>0</v>
      </c>
      <c r="R1139" s="13">
        <f t="shared" si="261"/>
        <v>0</v>
      </c>
      <c r="S1139" s="85">
        <f t="shared" si="260"/>
        <v>0</v>
      </c>
      <c r="T1139" s="13">
        <f t="shared" si="261"/>
        <v>0</v>
      </c>
      <c r="U1139" s="85">
        <f t="shared" si="258"/>
        <v>0</v>
      </c>
      <c r="V1139" s="155" t="s">
        <v>715</v>
      </c>
    </row>
    <row r="1140" spans="1:22" hidden="1">
      <c r="A1140" s="61" t="str">
        <f ca="1">IF(ISERROR(MATCH(F1140,Код_КВР,0)),"",INDIRECT(ADDRESS(MATCH(F1140,Код_КВР,0)+1,2,,,"КВР")))</f>
        <v>Закупка товаров, работ и услуг для муниципальных нужд</v>
      </c>
      <c r="B1140" s="145">
        <v>808</v>
      </c>
      <c r="C1140" s="8" t="s">
        <v>222</v>
      </c>
      <c r="D1140" s="8" t="s">
        <v>216</v>
      </c>
      <c r="E1140" s="145" t="s">
        <v>580</v>
      </c>
      <c r="F1140" s="145">
        <v>200</v>
      </c>
      <c r="G1140" s="69">
        <f t="shared" si="261"/>
        <v>0</v>
      </c>
      <c r="H1140" s="69">
        <f t="shared" si="261"/>
        <v>0</v>
      </c>
      <c r="I1140" s="69">
        <f t="shared" si="254"/>
        <v>0</v>
      </c>
      <c r="J1140" s="69">
        <f t="shared" si="261"/>
        <v>0</v>
      </c>
      <c r="K1140" s="85">
        <f t="shared" si="249"/>
        <v>0</v>
      </c>
      <c r="L1140" s="13">
        <f t="shared" si="261"/>
        <v>0</v>
      </c>
      <c r="M1140" s="85">
        <f t="shared" si="250"/>
        <v>0</v>
      </c>
      <c r="N1140" s="13">
        <f t="shared" si="261"/>
        <v>0</v>
      </c>
      <c r="O1140" s="85">
        <f t="shared" si="251"/>
        <v>0</v>
      </c>
      <c r="P1140" s="13">
        <f t="shared" si="261"/>
        <v>0</v>
      </c>
      <c r="Q1140" s="85">
        <f t="shared" si="243"/>
        <v>0</v>
      </c>
      <c r="R1140" s="13">
        <f t="shared" si="261"/>
        <v>0</v>
      </c>
      <c r="S1140" s="85">
        <f t="shared" si="260"/>
        <v>0</v>
      </c>
      <c r="T1140" s="13">
        <f t="shared" si="261"/>
        <v>0</v>
      </c>
      <c r="U1140" s="85">
        <f t="shared" si="258"/>
        <v>0</v>
      </c>
      <c r="V1140" s="155" t="s">
        <v>715</v>
      </c>
    </row>
    <row r="1141" spans="1:22" ht="33" hidden="1">
      <c r="A1141" s="61" t="str">
        <f ca="1">IF(ISERROR(MATCH(F1141,Код_КВР,0)),"",INDIRECT(ADDRESS(MATCH(F1141,Код_КВР,0)+1,2,,,"КВР")))</f>
        <v>Иные закупки товаров, работ и услуг для обеспечения муниципальных нужд</v>
      </c>
      <c r="B1141" s="145">
        <v>808</v>
      </c>
      <c r="C1141" s="8" t="s">
        <v>222</v>
      </c>
      <c r="D1141" s="8" t="s">
        <v>216</v>
      </c>
      <c r="E1141" s="145" t="s">
        <v>580</v>
      </c>
      <c r="F1141" s="145">
        <v>240</v>
      </c>
      <c r="G1141" s="69">
        <f t="shared" si="261"/>
        <v>0</v>
      </c>
      <c r="H1141" s="69">
        <f t="shared" si="261"/>
        <v>0</v>
      </c>
      <c r="I1141" s="69">
        <f t="shared" si="254"/>
        <v>0</v>
      </c>
      <c r="J1141" s="69">
        <f t="shared" si="261"/>
        <v>0</v>
      </c>
      <c r="K1141" s="85">
        <f t="shared" si="249"/>
        <v>0</v>
      </c>
      <c r="L1141" s="13">
        <f t="shared" si="261"/>
        <v>0</v>
      </c>
      <c r="M1141" s="85">
        <f t="shared" si="250"/>
        <v>0</v>
      </c>
      <c r="N1141" s="13">
        <f t="shared" si="261"/>
        <v>0</v>
      </c>
      <c r="O1141" s="85">
        <f t="shared" si="251"/>
        <v>0</v>
      </c>
      <c r="P1141" s="13">
        <f t="shared" si="261"/>
        <v>0</v>
      </c>
      <c r="Q1141" s="85">
        <f t="shared" si="243"/>
        <v>0</v>
      </c>
      <c r="R1141" s="13">
        <f t="shared" si="261"/>
        <v>0</v>
      </c>
      <c r="S1141" s="85">
        <f t="shared" si="260"/>
        <v>0</v>
      </c>
      <c r="T1141" s="13">
        <f t="shared" si="261"/>
        <v>0</v>
      </c>
      <c r="U1141" s="85">
        <f t="shared" si="258"/>
        <v>0</v>
      </c>
      <c r="V1141" s="155" t="s">
        <v>715</v>
      </c>
    </row>
    <row r="1142" spans="1:22" ht="33" hidden="1">
      <c r="A1142" s="61" t="str">
        <f ca="1">IF(ISERROR(MATCH(F1142,Код_КВР,0)),"",INDIRECT(ADDRESS(MATCH(F1142,Код_КВР,0)+1,2,,,"КВР")))</f>
        <v xml:space="preserve">Прочая закупка товаров, работ и услуг для обеспечения муниципальных нужд         </v>
      </c>
      <c r="B1142" s="145">
        <v>808</v>
      </c>
      <c r="C1142" s="8" t="s">
        <v>222</v>
      </c>
      <c r="D1142" s="8" t="s">
        <v>216</v>
      </c>
      <c r="E1142" s="145" t="s">
        <v>580</v>
      </c>
      <c r="F1142" s="145">
        <v>244</v>
      </c>
      <c r="G1142" s="69"/>
      <c r="H1142" s="69"/>
      <c r="I1142" s="69">
        <f t="shared" si="254"/>
        <v>0</v>
      </c>
      <c r="J1142" s="69"/>
      <c r="K1142" s="85">
        <f t="shared" si="249"/>
        <v>0</v>
      </c>
      <c r="L1142" s="13"/>
      <c r="M1142" s="85">
        <f t="shared" si="250"/>
        <v>0</v>
      </c>
      <c r="N1142" s="13"/>
      <c r="O1142" s="85">
        <f t="shared" si="251"/>
        <v>0</v>
      </c>
      <c r="P1142" s="13"/>
      <c r="Q1142" s="85">
        <f t="shared" ref="Q1142:Q1222" si="262">O1142+P1142</f>
        <v>0</v>
      </c>
      <c r="R1142" s="13"/>
      <c r="S1142" s="85">
        <f t="shared" si="260"/>
        <v>0</v>
      </c>
      <c r="T1142" s="13"/>
      <c r="U1142" s="85">
        <f t="shared" si="258"/>
        <v>0</v>
      </c>
      <c r="V1142" s="155" t="s">
        <v>715</v>
      </c>
    </row>
    <row r="1143" spans="1:22" ht="33">
      <c r="A1143" s="61" t="str">
        <f ca="1">IF(ISERROR(MATCH(E1143,Код_КЦСР,0)),"",INDIRECT(ADDRESS(MATCH(E1143,Код_КЦСР,0)+1,2,,,"КЦСР")))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1143" s="145">
        <v>808</v>
      </c>
      <c r="C1143" s="8" t="s">
        <v>222</v>
      </c>
      <c r="D1143" s="8" t="s">
        <v>216</v>
      </c>
      <c r="E1143" s="145" t="s">
        <v>79</v>
      </c>
      <c r="F1143" s="145"/>
      <c r="G1143" s="69">
        <f>G1144</f>
        <v>696.4</v>
      </c>
      <c r="H1143" s="69">
        <f>H1144</f>
        <v>0</v>
      </c>
      <c r="I1143" s="69">
        <f t="shared" si="254"/>
        <v>696.4</v>
      </c>
      <c r="J1143" s="69">
        <f>J1144</f>
        <v>0</v>
      </c>
      <c r="K1143" s="85">
        <f t="shared" si="249"/>
        <v>696.4</v>
      </c>
      <c r="L1143" s="13">
        <f>L1144</f>
        <v>0</v>
      </c>
      <c r="M1143" s="85">
        <f t="shared" si="250"/>
        <v>696.4</v>
      </c>
      <c r="N1143" s="13">
        <f>N1144</f>
        <v>0</v>
      </c>
      <c r="O1143" s="85">
        <f t="shared" si="251"/>
        <v>696.4</v>
      </c>
      <c r="P1143" s="13">
        <f>P1144</f>
        <v>0</v>
      </c>
      <c r="Q1143" s="85">
        <f t="shared" si="262"/>
        <v>696.4</v>
      </c>
      <c r="R1143" s="13">
        <f>R1144</f>
        <v>0</v>
      </c>
      <c r="S1143" s="85">
        <f t="shared" si="260"/>
        <v>696.4</v>
      </c>
      <c r="T1143" s="13">
        <f>T1144</f>
        <v>-50.000000000000014</v>
      </c>
      <c r="U1143" s="85">
        <f t="shared" si="258"/>
        <v>646.4</v>
      </c>
    </row>
    <row r="1144" spans="1:22">
      <c r="A1144" s="61" t="str">
        <f ca="1">IF(ISERROR(MATCH(E1144,Код_КЦСР,0)),"",INDIRECT(ADDRESS(MATCH(E1144,Код_КЦСР,0)+1,2,,,"КЦСР")))</f>
        <v>Обеспечение пожарной безопасности муниципальных учреждений города</v>
      </c>
      <c r="B1144" s="145">
        <v>808</v>
      </c>
      <c r="C1144" s="8" t="s">
        <v>222</v>
      </c>
      <c r="D1144" s="8" t="s">
        <v>216</v>
      </c>
      <c r="E1144" s="145" t="s">
        <v>81</v>
      </c>
      <c r="F1144" s="145"/>
      <c r="G1144" s="69">
        <f>G1145+G1149+G1167</f>
        <v>696.4</v>
      </c>
      <c r="H1144" s="69">
        <f>H1145+H1149+H1167</f>
        <v>0</v>
      </c>
      <c r="I1144" s="69">
        <f t="shared" si="254"/>
        <v>696.4</v>
      </c>
      <c r="J1144" s="69">
        <f>J1145+J1149+J1167</f>
        <v>0</v>
      </c>
      <c r="K1144" s="85">
        <f t="shared" si="249"/>
        <v>696.4</v>
      </c>
      <c r="L1144" s="13">
        <f>L1145+L1149+L1167</f>
        <v>0</v>
      </c>
      <c r="M1144" s="85">
        <f t="shared" si="250"/>
        <v>696.4</v>
      </c>
      <c r="N1144" s="13">
        <f>N1145+N1149+N1167</f>
        <v>0</v>
      </c>
      <c r="O1144" s="85">
        <f t="shared" si="251"/>
        <v>696.4</v>
      </c>
      <c r="P1144" s="13">
        <f>P1145+P1149+P1167</f>
        <v>0</v>
      </c>
      <c r="Q1144" s="85">
        <f t="shared" si="262"/>
        <v>696.4</v>
      </c>
      <c r="R1144" s="13">
        <f>R1145+R1149+R1167</f>
        <v>0</v>
      </c>
      <c r="S1144" s="85">
        <f t="shared" si="260"/>
        <v>696.4</v>
      </c>
      <c r="T1144" s="13">
        <f>T1145+T1155+T1159+T1163+T1149+T1167</f>
        <v>-50.000000000000014</v>
      </c>
      <c r="U1144" s="85">
        <f t="shared" si="258"/>
        <v>646.4</v>
      </c>
    </row>
    <row r="1145" spans="1:22" ht="49.5">
      <c r="A1145" s="61" t="str">
        <f ca="1">IF(ISERROR(MATCH(E1145,Код_КЦСР,0)),"",INDIRECT(ADDRESS(MATCH(E1145,Код_КЦСР,0)+1,2,,,"КЦСР")))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1145" s="145">
        <v>808</v>
      </c>
      <c r="C1145" s="8" t="s">
        <v>222</v>
      </c>
      <c r="D1145" s="8" t="s">
        <v>216</v>
      </c>
      <c r="E1145" s="145" t="s">
        <v>83</v>
      </c>
      <c r="F1145" s="145"/>
      <c r="G1145" s="69">
        <f t="shared" ref="G1145:T1147" si="263">G1146</f>
        <v>591</v>
      </c>
      <c r="H1145" s="69">
        <f t="shared" si="263"/>
        <v>0</v>
      </c>
      <c r="I1145" s="69">
        <f t="shared" si="254"/>
        <v>591</v>
      </c>
      <c r="J1145" s="69">
        <f t="shared" si="263"/>
        <v>0</v>
      </c>
      <c r="K1145" s="85">
        <f t="shared" si="249"/>
        <v>591</v>
      </c>
      <c r="L1145" s="13">
        <f t="shared" si="263"/>
        <v>0</v>
      </c>
      <c r="M1145" s="85">
        <f t="shared" si="250"/>
        <v>591</v>
      </c>
      <c r="N1145" s="13">
        <f t="shared" si="263"/>
        <v>0</v>
      </c>
      <c r="O1145" s="85">
        <f t="shared" si="251"/>
        <v>591</v>
      </c>
      <c r="P1145" s="13">
        <f t="shared" si="263"/>
        <v>0</v>
      </c>
      <c r="Q1145" s="85">
        <f t="shared" si="262"/>
        <v>591</v>
      </c>
      <c r="R1145" s="13">
        <f t="shared" si="263"/>
        <v>0</v>
      </c>
      <c r="S1145" s="85">
        <f t="shared" si="260"/>
        <v>591</v>
      </c>
      <c r="T1145" s="13">
        <f>T1146</f>
        <v>-145.80000000000001</v>
      </c>
      <c r="U1145" s="85">
        <f t="shared" si="258"/>
        <v>445.2</v>
      </c>
    </row>
    <row r="1146" spans="1:22" ht="33">
      <c r="A1146" s="61" t="str">
        <f ca="1">IF(ISERROR(MATCH(F1146,Код_КВР,0)),"",INDIRECT(ADDRESS(MATCH(F1146,Код_КВР,0)+1,2,,,"КВР")))</f>
        <v>Предоставление субсидий бюджетным, автономным учреждениям и иным некоммерческим организациям</v>
      </c>
      <c r="B1146" s="145">
        <v>808</v>
      </c>
      <c r="C1146" s="8" t="s">
        <v>222</v>
      </c>
      <c r="D1146" s="8" t="s">
        <v>216</v>
      </c>
      <c r="E1146" s="145" t="s">
        <v>83</v>
      </c>
      <c r="F1146" s="145">
        <v>600</v>
      </c>
      <c r="G1146" s="69">
        <f t="shared" si="263"/>
        <v>591</v>
      </c>
      <c r="H1146" s="69">
        <f t="shared" si="263"/>
        <v>0</v>
      </c>
      <c r="I1146" s="69">
        <f t="shared" si="254"/>
        <v>591</v>
      </c>
      <c r="J1146" s="69">
        <f t="shared" si="263"/>
        <v>0</v>
      </c>
      <c r="K1146" s="85">
        <f t="shared" si="249"/>
        <v>591</v>
      </c>
      <c r="L1146" s="13">
        <f t="shared" si="263"/>
        <v>0</v>
      </c>
      <c r="M1146" s="85">
        <f t="shared" si="250"/>
        <v>591</v>
      </c>
      <c r="N1146" s="13">
        <f t="shared" si="263"/>
        <v>0</v>
      </c>
      <c r="O1146" s="85">
        <f t="shared" si="251"/>
        <v>591</v>
      </c>
      <c r="P1146" s="13">
        <f t="shared" si="263"/>
        <v>0</v>
      </c>
      <c r="Q1146" s="85">
        <f t="shared" si="262"/>
        <v>591</v>
      </c>
      <c r="R1146" s="13">
        <f t="shared" si="263"/>
        <v>0</v>
      </c>
      <c r="S1146" s="85">
        <f t="shared" si="260"/>
        <v>591</v>
      </c>
      <c r="T1146" s="13">
        <f t="shared" si="263"/>
        <v>-145.80000000000001</v>
      </c>
      <c r="U1146" s="85">
        <f t="shared" si="258"/>
        <v>445.2</v>
      </c>
    </row>
    <row r="1147" spans="1:22">
      <c r="A1147" s="61" t="str">
        <f ca="1">IF(ISERROR(MATCH(F1147,Код_КВР,0)),"",INDIRECT(ADDRESS(MATCH(F1147,Код_КВР,0)+1,2,,,"КВР")))</f>
        <v>Субсидии бюджетным учреждениям</v>
      </c>
      <c r="B1147" s="145">
        <v>808</v>
      </c>
      <c r="C1147" s="8" t="s">
        <v>222</v>
      </c>
      <c r="D1147" s="8" t="s">
        <v>216</v>
      </c>
      <c r="E1147" s="145" t="s">
        <v>83</v>
      </c>
      <c r="F1147" s="145">
        <v>610</v>
      </c>
      <c r="G1147" s="69">
        <f t="shared" si="263"/>
        <v>591</v>
      </c>
      <c r="H1147" s="69">
        <f t="shared" si="263"/>
        <v>0</v>
      </c>
      <c r="I1147" s="69">
        <f t="shared" si="254"/>
        <v>591</v>
      </c>
      <c r="J1147" s="69">
        <f t="shared" si="263"/>
        <v>0</v>
      </c>
      <c r="K1147" s="85">
        <f t="shared" si="249"/>
        <v>591</v>
      </c>
      <c r="L1147" s="13">
        <f t="shared" si="263"/>
        <v>0</v>
      </c>
      <c r="M1147" s="85">
        <f t="shared" si="250"/>
        <v>591</v>
      </c>
      <c r="N1147" s="13">
        <f t="shared" si="263"/>
        <v>0</v>
      </c>
      <c r="O1147" s="85">
        <f t="shared" si="251"/>
        <v>591</v>
      </c>
      <c r="P1147" s="13">
        <f t="shared" si="263"/>
        <v>0</v>
      </c>
      <c r="Q1147" s="85">
        <f t="shared" si="262"/>
        <v>591</v>
      </c>
      <c r="R1147" s="13">
        <f t="shared" si="263"/>
        <v>0</v>
      </c>
      <c r="S1147" s="85">
        <f t="shared" si="260"/>
        <v>591</v>
      </c>
      <c r="T1147" s="13">
        <f t="shared" si="263"/>
        <v>-145.80000000000001</v>
      </c>
      <c r="U1147" s="85">
        <f t="shared" si="258"/>
        <v>445.2</v>
      </c>
    </row>
    <row r="1148" spans="1:22">
      <c r="A1148" s="61" t="str">
        <f ca="1">IF(ISERROR(MATCH(F1148,Код_КВР,0)),"",INDIRECT(ADDRESS(MATCH(F1148,Код_КВР,0)+1,2,,,"КВР")))</f>
        <v>Субсидии бюджетным учреждениям на иные цели</v>
      </c>
      <c r="B1148" s="145">
        <v>808</v>
      </c>
      <c r="C1148" s="8" t="s">
        <v>222</v>
      </c>
      <c r="D1148" s="8" t="s">
        <v>216</v>
      </c>
      <c r="E1148" s="145" t="s">
        <v>83</v>
      </c>
      <c r="F1148" s="145">
        <v>612</v>
      </c>
      <c r="G1148" s="69">
        <v>591</v>
      </c>
      <c r="H1148" s="69"/>
      <c r="I1148" s="69">
        <f t="shared" si="254"/>
        <v>591</v>
      </c>
      <c r="J1148" s="69"/>
      <c r="K1148" s="85">
        <f t="shared" si="249"/>
        <v>591</v>
      </c>
      <c r="L1148" s="13"/>
      <c r="M1148" s="85">
        <f t="shared" si="250"/>
        <v>591</v>
      </c>
      <c r="N1148" s="13"/>
      <c r="O1148" s="85">
        <f t="shared" si="251"/>
        <v>591</v>
      </c>
      <c r="P1148" s="13"/>
      <c r="Q1148" s="85">
        <f t="shared" si="262"/>
        <v>591</v>
      </c>
      <c r="R1148" s="13"/>
      <c r="S1148" s="85">
        <f t="shared" si="260"/>
        <v>591</v>
      </c>
      <c r="T1148" s="13">
        <v>-145.80000000000001</v>
      </c>
      <c r="U1148" s="85">
        <f t="shared" si="258"/>
        <v>445.2</v>
      </c>
    </row>
    <row r="1149" spans="1:22" hidden="1">
      <c r="A1149" s="61" t="str">
        <f ca="1">IF(ISERROR(MATCH(E1149,Код_КЦСР,0)),"",INDIRECT(ADDRESS(MATCH(E1149,Код_КЦСР,0)+1,2,,,"КЦСР")))</f>
        <v>Ремонт и оборудование эвакуационных путей  зданий</v>
      </c>
      <c r="B1149" s="145">
        <v>808</v>
      </c>
      <c r="C1149" s="8" t="s">
        <v>222</v>
      </c>
      <c r="D1149" s="8" t="s">
        <v>216</v>
      </c>
      <c r="E1149" s="145" t="s">
        <v>87</v>
      </c>
      <c r="F1149" s="145"/>
      <c r="G1149" s="69">
        <f>G1150</f>
        <v>0</v>
      </c>
      <c r="H1149" s="69">
        <f>H1150</f>
        <v>0</v>
      </c>
      <c r="I1149" s="69">
        <f t="shared" si="254"/>
        <v>0</v>
      </c>
      <c r="J1149" s="69">
        <f>J1150</f>
        <v>0</v>
      </c>
      <c r="K1149" s="85">
        <f t="shared" si="249"/>
        <v>0</v>
      </c>
      <c r="L1149" s="13">
        <f>L1150</f>
        <v>0</v>
      </c>
      <c r="M1149" s="85">
        <f t="shared" si="250"/>
        <v>0</v>
      </c>
      <c r="N1149" s="13">
        <f>N1150</f>
        <v>0</v>
      </c>
      <c r="O1149" s="85">
        <f t="shared" si="251"/>
        <v>0</v>
      </c>
      <c r="P1149" s="13">
        <f>P1150</f>
        <v>0</v>
      </c>
      <c r="Q1149" s="85">
        <f t="shared" si="262"/>
        <v>0</v>
      </c>
      <c r="R1149" s="13">
        <f>R1150</f>
        <v>0</v>
      </c>
      <c r="S1149" s="85">
        <f t="shared" si="260"/>
        <v>0</v>
      </c>
      <c r="T1149" s="13">
        <f>T1150</f>
        <v>0</v>
      </c>
      <c r="U1149" s="85">
        <f t="shared" si="258"/>
        <v>0</v>
      </c>
      <c r="V1149" s="155" t="s">
        <v>715</v>
      </c>
    </row>
    <row r="1150" spans="1:22" ht="33" hidden="1">
      <c r="A1150" s="61" t="str">
        <f ca="1">IF(ISERROR(MATCH(F1150,Код_КВР,0)),"",INDIRECT(ADDRESS(MATCH(F1150,Код_КВР,0)+1,2,,,"КВР")))</f>
        <v>Предоставление субсидий бюджетным, автономным учреждениям и иным некоммерческим организациям</v>
      </c>
      <c r="B1150" s="145">
        <v>808</v>
      </c>
      <c r="C1150" s="8" t="s">
        <v>222</v>
      </c>
      <c r="D1150" s="8" t="s">
        <v>216</v>
      </c>
      <c r="E1150" s="145" t="s">
        <v>87</v>
      </c>
      <c r="F1150" s="145">
        <v>600</v>
      </c>
      <c r="G1150" s="69">
        <f>G1151+G1153</f>
        <v>0</v>
      </c>
      <c r="H1150" s="69">
        <f>H1151+H1153</f>
        <v>0</v>
      </c>
      <c r="I1150" s="69">
        <f t="shared" si="254"/>
        <v>0</v>
      </c>
      <c r="J1150" s="69">
        <f>J1151+J1153</f>
        <v>0</v>
      </c>
      <c r="K1150" s="85">
        <f t="shared" si="249"/>
        <v>0</v>
      </c>
      <c r="L1150" s="13">
        <f>L1151+L1153</f>
        <v>0</v>
      </c>
      <c r="M1150" s="85">
        <f t="shared" si="250"/>
        <v>0</v>
      </c>
      <c r="N1150" s="13">
        <f>N1151+N1153</f>
        <v>0</v>
      </c>
      <c r="O1150" s="85">
        <f t="shared" si="251"/>
        <v>0</v>
      </c>
      <c r="P1150" s="13">
        <f>P1151+P1153</f>
        <v>0</v>
      </c>
      <c r="Q1150" s="85">
        <f t="shared" si="262"/>
        <v>0</v>
      </c>
      <c r="R1150" s="13">
        <f>R1151+R1153</f>
        <v>0</v>
      </c>
      <c r="S1150" s="85">
        <f t="shared" si="260"/>
        <v>0</v>
      </c>
      <c r="T1150" s="13">
        <f>T1151+T1153</f>
        <v>0</v>
      </c>
      <c r="U1150" s="85">
        <f t="shared" si="258"/>
        <v>0</v>
      </c>
      <c r="V1150" s="155" t="s">
        <v>715</v>
      </c>
    </row>
    <row r="1151" spans="1:22" hidden="1">
      <c r="A1151" s="61" t="str">
        <f ca="1">IF(ISERROR(MATCH(F1151,Код_КВР,0)),"",INDIRECT(ADDRESS(MATCH(F1151,Код_КВР,0)+1,2,,,"КВР")))</f>
        <v>Субсидии бюджетным учреждениям</v>
      </c>
      <c r="B1151" s="145">
        <v>808</v>
      </c>
      <c r="C1151" s="8" t="s">
        <v>222</v>
      </c>
      <c r="D1151" s="8" t="s">
        <v>216</v>
      </c>
      <c r="E1151" s="145" t="s">
        <v>87</v>
      </c>
      <c r="F1151" s="145">
        <v>610</v>
      </c>
      <c r="G1151" s="69">
        <f>G1152</f>
        <v>0</v>
      </c>
      <c r="H1151" s="69">
        <f>H1152</f>
        <v>0</v>
      </c>
      <c r="I1151" s="69">
        <f t="shared" si="254"/>
        <v>0</v>
      </c>
      <c r="J1151" s="69">
        <f>J1152</f>
        <v>0</v>
      </c>
      <c r="K1151" s="85">
        <f t="shared" si="249"/>
        <v>0</v>
      </c>
      <c r="L1151" s="13">
        <f>L1152</f>
        <v>0</v>
      </c>
      <c r="M1151" s="85">
        <f t="shared" si="250"/>
        <v>0</v>
      </c>
      <c r="N1151" s="13">
        <f>N1152</f>
        <v>0</v>
      </c>
      <c r="O1151" s="85">
        <f t="shared" si="251"/>
        <v>0</v>
      </c>
      <c r="P1151" s="13">
        <f>P1152</f>
        <v>0</v>
      </c>
      <c r="Q1151" s="85">
        <f t="shared" si="262"/>
        <v>0</v>
      </c>
      <c r="R1151" s="13">
        <f>R1152</f>
        <v>0</v>
      </c>
      <c r="S1151" s="85">
        <f t="shared" si="260"/>
        <v>0</v>
      </c>
      <c r="T1151" s="13">
        <f>T1152</f>
        <v>0</v>
      </c>
      <c r="U1151" s="85">
        <f t="shared" si="258"/>
        <v>0</v>
      </c>
      <c r="V1151" s="155" t="s">
        <v>715</v>
      </c>
    </row>
    <row r="1152" spans="1:22" hidden="1">
      <c r="A1152" s="61" t="str">
        <f ca="1">IF(ISERROR(MATCH(F1152,Код_КВР,0)),"",INDIRECT(ADDRESS(MATCH(F1152,Код_КВР,0)+1,2,,,"КВР")))</f>
        <v>Субсидии бюджетным учреждениям на иные цели</v>
      </c>
      <c r="B1152" s="145">
        <v>808</v>
      </c>
      <c r="C1152" s="8" t="s">
        <v>222</v>
      </c>
      <c r="D1152" s="8" t="s">
        <v>216</v>
      </c>
      <c r="E1152" s="145" t="s">
        <v>87</v>
      </c>
      <c r="F1152" s="145">
        <v>612</v>
      </c>
      <c r="G1152" s="69"/>
      <c r="H1152" s="69"/>
      <c r="I1152" s="69">
        <f t="shared" si="254"/>
        <v>0</v>
      </c>
      <c r="J1152" s="69"/>
      <c r="K1152" s="85">
        <f t="shared" si="249"/>
        <v>0</v>
      </c>
      <c r="L1152" s="13"/>
      <c r="M1152" s="85">
        <f t="shared" si="250"/>
        <v>0</v>
      </c>
      <c r="N1152" s="13"/>
      <c r="O1152" s="85">
        <f t="shared" si="251"/>
        <v>0</v>
      </c>
      <c r="P1152" s="13"/>
      <c r="Q1152" s="85">
        <f t="shared" si="262"/>
        <v>0</v>
      </c>
      <c r="R1152" s="13"/>
      <c r="S1152" s="85">
        <f t="shared" si="260"/>
        <v>0</v>
      </c>
      <c r="T1152" s="13"/>
      <c r="U1152" s="85">
        <f t="shared" si="258"/>
        <v>0</v>
      </c>
      <c r="V1152" s="155" t="s">
        <v>715</v>
      </c>
    </row>
    <row r="1153" spans="1:22" hidden="1">
      <c r="A1153" s="61" t="str">
        <f ca="1">IF(ISERROR(MATCH(F1153,Код_КВР,0)),"",INDIRECT(ADDRESS(MATCH(F1153,Код_КВР,0)+1,2,,,"КВР")))</f>
        <v>Субсидии автономным учреждениям</v>
      </c>
      <c r="B1153" s="145">
        <v>808</v>
      </c>
      <c r="C1153" s="8" t="s">
        <v>222</v>
      </c>
      <c r="D1153" s="8" t="s">
        <v>216</v>
      </c>
      <c r="E1153" s="145" t="s">
        <v>87</v>
      </c>
      <c r="F1153" s="145">
        <v>620</v>
      </c>
      <c r="G1153" s="69">
        <f>G1154</f>
        <v>0</v>
      </c>
      <c r="H1153" s="69">
        <f>H1154</f>
        <v>0</v>
      </c>
      <c r="I1153" s="69">
        <f t="shared" si="254"/>
        <v>0</v>
      </c>
      <c r="J1153" s="69">
        <f>J1154</f>
        <v>0</v>
      </c>
      <c r="K1153" s="85">
        <f t="shared" si="249"/>
        <v>0</v>
      </c>
      <c r="L1153" s="13">
        <f>L1154</f>
        <v>0</v>
      </c>
      <c r="M1153" s="85">
        <f t="shared" si="250"/>
        <v>0</v>
      </c>
      <c r="N1153" s="13">
        <f>N1154</f>
        <v>0</v>
      </c>
      <c r="O1153" s="85">
        <f t="shared" si="251"/>
        <v>0</v>
      </c>
      <c r="P1153" s="13">
        <f>P1154</f>
        <v>0</v>
      </c>
      <c r="Q1153" s="85">
        <f t="shared" si="262"/>
        <v>0</v>
      </c>
      <c r="R1153" s="13">
        <f>R1154</f>
        <v>0</v>
      </c>
      <c r="S1153" s="85">
        <f t="shared" si="260"/>
        <v>0</v>
      </c>
      <c r="T1153" s="13">
        <f>T1154</f>
        <v>0</v>
      </c>
      <c r="U1153" s="85">
        <f t="shared" si="258"/>
        <v>0</v>
      </c>
      <c r="V1153" s="155" t="s">
        <v>715</v>
      </c>
    </row>
    <row r="1154" spans="1:22" hidden="1">
      <c r="A1154" s="61" t="str">
        <f ca="1">IF(ISERROR(MATCH(F1154,Код_КВР,0)),"",INDIRECT(ADDRESS(MATCH(F1154,Код_КВР,0)+1,2,,,"КВР")))</f>
        <v>Субсидии автономным учреждениям на иные цели</v>
      </c>
      <c r="B1154" s="145">
        <v>808</v>
      </c>
      <c r="C1154" s="8" t="s">
        <v>222</v>
      </c>
      <c r="D1154" s="8" t="s">
        <v>216</v>
      </c>
      <c r="E1154" s="145" t="s">
        <v>87</v>
      </c>
      <c r="F1154" s="145">
        <v>622</v>
      </c>
      <c r="G1154" s="69"/>
      <c r="H1154" s="69"/>
      <c r="I1154" s="69">
        <f t="shared" si="254"/>
        <v>0</v>
      </c>
      <c r="J1154" s="69"/>
      <c r="K1154" s="85">
        <f t="shared" si="249"/>
        <v>0</v>
      </c>
      <c r="L1154" s="13"/>
      <c r="M1154" s="85">
        <f t="shared" si="250"/>
        <v>0</v>
      </c>
      <c r="N1154" s="13"/>
      <c r="O1154" s="85">
        <f t="shared" si="251"/>
        <v>0</v>
      </c>
      <c r="P1154" s="13"/>
      <c r="Q1154" s="85">
        <f t="shared" si="262"/>
        <v>0</v>
      </c>
      <c r="R1154" s="13"/>
      <c r="S1154" s="85">
        <f t="shared" si="260"/>
        <v>0</v>
      </c>
      <c r="T1154" s="13"/>
      <c r="U1154" s="85">
        <f t="shared" si="258"/>
        <v>0</v>
      </c>
      <c r="V1154" s="155" t="s">
        <v>715</v>
      </c>
    </row>
    <row r="1155" spans="1:22" ht="20.25" customHeight="1">
      <c r="A1155" s="61" t="str">
        <f ca="1">IF(ISERROR(MATCH(E1155,Код_КЦСР,0)),"",INDIRECT(ADDRESS(MATCH(E1155,Код_КЦСР,0)+1,2,,,"КЦСР")))</f>
        <v>Ремонт и обслуживание электрооборудования зданий</v>
      </c>
      <c r="B1155" s="145">
        <v>808</v>
      </c>
      <c r="C1155" s="8" t="s">
        <v>222</v>
      </c>
      <c r="D1155" s="8" t="s">
        <v>216</v>
      </c>
      <c r="E1155" s="145" t="s">
        <v>89</v>
      </c>
      <c r="F1155" s="145"/>
      <c r="G1155" s="69"/>
      <c r="H1155" s="69"/>
      <c r="I1155" s="69"/>
      <c r="J1155" s="69"/>
      <c r="K1155" s="85"/>
      <c r="L1155" s="13"/>
      <c r="M1155" s="85"/>
      <c r="N1155" s="13"/>
      <c r="O1155" s="85"/>
      <c r="P1155" s="13"/>
      <c r="Q1155" s="85"/>
      <c r="R1155" s="13"/>
      <c r="S1155" s="85"/>
      <c r="T1155" s="13">
        <f t="shared" ref="T1155:T1165" si="264">T1156</f>
        <v>14.9</v>
      </c>
      <c r="U1155" s="85">
        <f t="shared" si="258"/>
        <v>14.9</v>
      </c>
    </row>
    <row r="1156" spans="1:22" ht="33">
      <c r="A1156" s="61" t="str">
        <f ca="1">IF(ISERROR(MATCH(F1156,Код_КВР,0)),"",INDIRECT(ADDRESS(MATCH(F1156,Код_КВР,0)+1,2,,,"КВР")))</f>
        <v>Предоставление субсидий бюджетным, автономным учреждениям и иным некоммерческим организациям</v>
      </c>
      <c r="B1156" s="145">
        <v>808</v>
      </c>
      <c r="C1156" s="8" t="s">
        <v>222</v>
      </c>
      <c r="D1156" s="8" t="s">
        <v>216</v>
      </c>
      <c r="E1156" s="145" t="s">
        <v>89</v>
      </c>
      <c r="F1156" s="145">
        <v>600</v>
      </c>
      <c r="G1156" s="69"/>
      <c r="H1156" s="69"/>
      <c r="I1156" s="69"/>
      <c r="J1156" s="69"/>
      <c r="K1156" s="85"/>
      <c r="L1156" s="13"/>
      <c r="M1156" s="85"/>
      <c r="N1156" s="13"/>
      <c r="O1156" s="85"/>
      <c r="P1156" s="13"/>
      <c r="Q1156" s="85"/>
      <c r="R1156" s="13"/>
      <c r="S1156" s="85"/>
      <c r="T1156" s="13">
        <f t="shared" si="264"/>
        <v>14.9</v>
      </c>
      <c r="U1156" s="85">
        <f t="shared" si="258"/>
        <v>14.9</v>
      </c>
    </row>
    <row r="1157" spans="1:22">
      <c r="A1157" s="61" t="str">
        <f ca="1">IF(ISERROR(MATCH(F1157,Код_КВР,0)),"",INDIRECT(ADDRESS(MATCH(F1157,Код_КВР,0)+1,2,,,"КВР")))</f>
        <v>Субсидии бюджетным учреждениям</v>
      </c>
      <c r="B1157" s="145">
        <v>808</v>
      </c>
      <c r="C1157" s="8" t="s">
        <v>222</v>
      </c>
      <c r="D1157" s="8" t="s">
        <v>216</v>
      </c>
      <c r="E1157" s="145" t="s">
        <v>89</v>
      </c>
      <c r="F1157" s="145">
        <v>610</v>
      </c>
      <c r="G1157" s="69"/>
      <c r="H1157" s="69"/>
      <c r="I1157" s="69"/>
      <c r="J1157" s="69"/>
      <c r="K1157" s="85"/>
      <c r="L1157" s="13"/>
      <c r="M1157" s="85"/>
      <c r="N1157" s="13"/>
      <c r="O1157" s="85"/>
      <c r="P1157" s="13"/>
      <c r="Q1157" s="85"/>
      <c r="R1157" s="13"/>
      <c r="S1157" s="85"/>
      <c r="T1157" s="13">
        <f t="shared" si="264"/>
        <v>14.9</v>
      </c>
      <c r="U1157" s="85">
        <f t="shared" si="258"/>
        <v>14.9</v>
      </c>
    </row>
    <row r="1158" spans="1:22">
      <c r="A1158" s="61" t="str">
        <f ca="1">IF(ISERROR(MATCH(F1158,Код_КВР,0)),"",INDIRECT(ADDRESS(MATCH(F1158,Код_КВР,0)+1,2,,,"КВР")))</f>
        <v>Субсидии бюджетным учреждениям на иные цели</v>
      </c>
      <c r="B1158" s="145">
        <v>808</v>
      </c>
      <c r="C1158" s="8" t="s">
        <v>222</v>
      </c>
      <c r="D1158" s="8" t="s">
        <v>216</v>
      </c>
      <c r="E1158" s="145" t="s">
        <v>89</v>
      </c>
      <c r="F1158" s="145">
        <v>612</v>
      </c>
      <c r="G1158" s="69"/>
      <c r="H1158" s="69"/>
      <c r="I1158" s="69"/>
      <c r="J1158" s="69"/>
      <c r="K1158" s="85"/>
      <c r="L1158" s="13"/>
      <c r="M1158" s="85"/>
      <c r="N1158" s="13"/>
      <c r="O1158" s="85"/>
      <c r="P1158" s="13"/>
      <c r="Q1158" s="85"/>
      <c r="R1158" s="13"/>
      <c r="S1158" s="85"/>
      <c r="T1158" s="13">
        <v>14.9</v>
      </c>
      <c r="U1158" s="85">
        <f t="shared" si="258"/>
        <v>14.9</v>
      </c>
    </row>
    <row r="1159" spans="1:22" ht="38.25" customHeight="1">
      <c r="A1159" s="61" t="str">
        <f ca="1">IF(ISERROR(MATCH(E1159,Код_КЦСР,0)),"",INDIRECT(ADDRESS(MATCH(E1159,Код_КЦСР,0)+1,2,,,"КЦСР")))</f>
        <v>Комплектование, ремонт и испытание внутреннего противопожарного водоснабжения зданий (ПК)</v>
      </c>
      <c r="B1159" s="145">
        <v>808</v>
      </c>
      <c r="C1159" s="8" t="s">
        <v>222</v>
      </c>
      <c r="D1159" s="8" t="s">
        <v>216</v>
      </c>
      <c r="E1159" s="145" t="s">
        <v>93</v>
      </c>
      <c r="F1159" s="145"/>
      <c r="G1159" s="69"/>
      <c r="H1159" s="69"/>
      <c r="I1159" s="69"/>
      <c r="J1159" s="69"/>
      <c r="K1159" s="85"/>
      <c r="L1159" s="13"/>
      <c r="M1159" s="85"/>
      <c r="N1159" s="13"/>
      <c r="O1159" s="85"/>
      <c r="P1159" s="13"/>
      <c r="Q1159" s="85"/>
      <c r="R1159" s="13"/>
      <c r="S1159" s="85"/>
      <c r="T1159" s="13">
        <f t="shared" si="264"/>
        <v>37.799999999999997</v>
      </c>
      <c r="U1159" s="85">
        <f t="shared" si="258"/>
        <v>37.799999999999997</v>
      </c>
    </row>
    <row r="1160" spans="1:22" ht="33">
      <c r="A1160" s="61" t="str">
        <f ca="1">IF(ISERROR(MATCH(F1160,Код_КВР,0)),"",INDIRECT(ADDRESS(MATCH(F1160,Код_КВР,0)+1,2,,,"КВР")))</f>
        <v>Предоставление субсидий бюджетным, автономным учреждениям и иным некоммерческим организациям</v>
      </c>
      <c r="B1160" s="145">
        <v>808</v>
      </c>
      <c r="C1160" s="8" t="s">
        <v>222</v>
      </c>
      <c r="D1160" s="8" t="s">
        <v>216</v>
      </c>
      <c r="E1160" s="145" t="s">
        <v>93</v>
      </c>
      <c r="F1160" s="145">
        <v>600</v>
      </c>
      <c r="G1160" s="69"/>
      <c r="H1160" s="69"/>
      <c r="I1160" s="69"/>
      <c r="J1160" s="69"/>
      <c r="K1160" s="85"/>
      <c r="L1160" s="13"/>
      <c r="M1160" s="85"/>
      <c r="N1160" s="13"/>
      <c r="O1160" s="85"/>
      <c r="P1160" s="13"/>
      <c r="Q1160" s="85"/>
      <c r="R1160" s="13"/>
      <c r="S1160" s="85"/>
      <c r="T1160" s="13">
        <f t="shared" si="264"/>
        <v>37.799999999999997</v>
      </c>
      <c r="U1160" s="85">
        <f t="shared" si="258"/>
        <v>37.799999999999997</v>
      </c>
    </row>
    <row r="1161" spans="1:22">
      <c r="A1161" s="61" t="str">
        <f ca="1">IF(ISERROR(MATCH(F1161,Код_КВР,0)),"",INDIRECT(ADDRESS(MATCH(F1161,Код_КВР,0)+1,2,,,"КВР")))</f>
        <v>Субсидии бюджетным учреждениям</v>
      </c>
      <c r="B1161" s="145">
        <v>808</v>
      </c>
      <c r="C1161" s="8" t="s">
        <v>222</v>
      </c>
      <c r="D1161" s="8" t="s">
        <v>216</v>
      </c>
      <c r="E1161" s="145" t="s">
        <v>93</v>
      </c>
      <c r="F1161" s="145">
        <v>610</v>
      </c>
      <c r="G1161" s="69"/>
      <c r="H1161" s="69"/>
      <c r="I1161" s="69"/>
      <c r="J1161" s="69"/>
      <c r="K1161" s="85"/>
      <c r="L1161" s="13"/>
      <c r="M1161" s="85"/>
      <c r="N1161" s="13"/>
      <c r="O1161" s="85"/>
      <c r="P1161" s="13"/>
      <c r="Q1161" s="85"/>
      <c r="R1161" s="13"/>
      <c r="S1161" s="85"/>
      <c r="T1161" s="13">
        <f t="shared" si="264"/>
        <v>37.799999999999997</v>
      </c>
      <c r="U1161" s="85">
        <f t="shared" si="258"/>
        <v>37.799999999999997</v>
      </c>
    </row>
    <row r="1162" spans="1:22">
      <c r="A1162" s="61" t="str">
        <f ca="1">IF(ISERROR(MATCH(F1162,Код_КВР,0)),"",INDIRECT(ADDRESS(MATCH(F1162,Код_КВР,0)+1,2,,,"КВР")))</f>
        <v>Субсидии бюджетным учреждениям на иные цели</v>
      </c>
      <c r="B1162" s="145">
        <v>808</v>
      </c>
      <c r="C1162" s="8" t="s">
        <v>222</v>
      </c>
      <c r="D1162" s="8" t="s">
        <v>216</v>
      </c>
      <c r="E1162" s="145" t="s">
        <v>93</v>
      </c>
      <c r="F1162" s="145">
        <v>612</v>
      </c>
      <c r="G1162" s="69"/>
      <c r="H1162" s="69"/>
      <c r="I1162" s="69"/>
      <c r="J1162" s="69"/>
      <c r="K1162" s="85"/>
      <c r="L1162" s="13"/>
      <c r="M1162" s="85"/>
      <c r="N1162" s="13"/>
      <c r="O1162" s="85"/>
      <c r="P1162" s="13"/>
      <c r="Q1162" s="85"/>
      <c r="R1162" s="13"/>
      <c r="S1162" s="85"/>
      <c r="T1162" s="13">
        <v>37.799999999999997</v>
      </c>
      <c r="U1162" s="85">
        <f t="shared" si="258"/>
        <v>37.799999999999997</v>
      </c>
    </row>
    <row r="1163" spans="1:22" ht="33">
      <c r="A1163" s="61" t="str">
        <f ca="1">IF(ISERROR(MATCH(E1163,Код_КЦСР,0)),"",INDIRECT(ADDRESS(MATCH(E1163,Код_КЦСР,0)+1,2,,,"КЦСР")))</f>
        <v>Огнезащитная обработка деревянных и металлических конструкций зданий, декорации и одежды сцены. Проведение экспертизы.</v>
      </c>
      <c r="B1163" s="145">
        <v>808</v>
      </c>
      <c r="C1163" s="8" t="s">
        <v>222</v>
      </c>
      <c r="D1163" s="8" t="s">
        <v>216</v>
      </c>
      <c r="E1163" s="145" t="s">
        <v>95</v>
      </c>
      <c r="F1163" s="145"/>
      <c r="G1163" s="69"/>
      <c r="H1163" s="69"/>
      <c r="I1163" s="69"/>
      <c r="J1163" s="69"/>
      <c r="K1163" s="85"/>
      <c r="L1163" s="13"/>
      <c r="M1163" s="85"/>
      <c r="N1163" s="13"/>
      <c r="O1163" s="85"/>
      <c r="P1163" s="13"/>
      <c r="Q1163" s="85"/>
      <c r="R1163" s="13"/>
      <c r="S1163" s="85"/>
      <c r="T1163" s="13">
        <f t="shared" si="264"/>
        <v>148.5</v>
      </c>
      <c r="U1163" s="85">
        <f t="shared" si="258"/>
        <v>148.5</v>
      </c>
    </row>
    <row r="1164" spans="1:22" ht="33">
      <c r="A1164" s="61" t="str">
        <f ca="1">IF(ISERROR(MATCH(F1164,Код_КВР,0)),"",INDIRECT(ADDRESS(MATCH(F1164,Код_КВР,0)+1,2,,,"КВР")))</f>
        <v>Предоставление субсидий бюджетным, автономным учреждениям и иным некоммерческим организациям</v>
      </c>
      <c r="B1164" s="145">
        <v>808</v>
      </c>
      <c r="C1164" s="8" t="s">
        <v>222</v>
      </c>
      <c r="D1164" s="8" t="s">
        <v>216</v>
      </c>
      <c r="E1164" s="145" t="s">
        <v>95</v>
      </c>
      <c r="F1164" s="145">
        <v>600</v>
      </c>
      <c r="G1164" s="69"/>
      <c r="H1164" s="69"/>
      <c r="I1164" s="69"/>
      <c r="J1164" s="69"/>
      <c r="K1164" s="85"/>
      <c r="L1164" s="13"/>
      <c r="M1164" s="85"/>
      <c r="N1164" s="13"/>
      <c r="O1164" s="85"/>
      <c r="P1164" s="13"/>
      <c r="Q1164" s="85"/>
      <c r="R1164" s="13"/>
      <c r="S1164" s="85"/>
      <c r="T1164" s="13">
        <f t="shared" si="264"/>
        <v>148.5</v>
      </c>
      <c r="U1164" s="85">
        <f t="shared" si="258"/>
        <v>148.5</v>
      </c>
    </row>
    <row r="1165" spans="1:22">
      <c r="A1165" s="61" t="str">
        <f ca="1">IF(ISERROR(MATCH(F1165,Код_КВР,0)),"",INDIRECT(ADDRESS(MATCH(F1165,Код_КВР,0)+1,2,,,"КВР")))</f>
        <v>Субсидии бюджетным учреждениям</v>
      </c>
      <c r="B1165" s="145">
        <v>808</v>
      </c>
      <c r="C1165" s="8" t="s">
        <v>222</v>
      </c>
      <c r="D1165" s="8" t="s">
        <v>216</v>
      </c>
      <c r="E1165" s="145" t="s">
        <v>95</v>
      </c>
      <c r="F1165" s="145">
        <v>610</v>
      </c>
      <c r="G1165" s="69"/>
      <c r="H1165" s="69"/>
      <c r="I1165" s="69"/>
      <c r="J1165" s="69"/>
      <c r="K1165" s="85"/>
      <c r="L1165" s="13"/>
      <c r="M1165" s="85"/>
      <c r="N1165" s="13"/>
      <c r="O1165" s="85"/>
      <c r="P1165" s="13"/>
      <c r="Q1165" s="85"/>
      <c r="R1165" s="13"/>
      <c r="S1165" s="85"/>
      <c r="T1165" s="13">
        <f t="shared" si="264"/>
        <v>148.5</v>
      </c>
      <c r="U1165" s="85">
        <f t="shared" si="258"/>
        <v>148.5</v>
      </c>
    </row>
    <row r="1166" spans="1:22">
      <c r="A1166" s="61" t="str">
        <f ca="1">IF(ISERROR(MATCH(F1166,Код_КВР,0)),"",INDIRECT(ADDRESS(MATCH(F1166,Код_КВР,0)+1,2,,,"КВР")))</f>
        <v>Субсидии бюджетным учреждениям на иные цели</v>
      </c>
      <c r="B1166" s="145">
        <v>808</v>
      </c>
      <c r="C1166" s="8" t="s">
        <v>222</v>
      </c>
      <c r="D1166" s="8" t="s">
        <v>216</v>
      </c>
      <c r="E1166" s="145" t="s">
        <v>95</v>
      </c>
      <c r="F1166" s="145">
        <v>612</v>
      </c>
      <c r="G1166" s="69"/>
      <c r="H1166" s="69"/>
      <c r="I1166" s="69"/>
      <c r="J1166" s="69"/>
      <c r="K1166" s="85"/>
      <c r="L1166" s="13"/>
      <c r="M1166" s="85"/>
      <c r="N1166" s="13"/>
      <c r="O1166" s="85"/>
      <c r="P1166" s="13"/>
      <c r="Q1166" s="85"/>
      <c r="R1166" s="13"/>
      <c r="S1166" s="85"/>
      <c r="T1166" s="13">
        <v>148.5</v>
      </c>
      <c r="U1166" s="85">
        <f t="shared" si="258"/>
        <v>148.5</v>
      </c>
    </row>
    <row r="1167" spans="1:22">
      <c r="A1167" s="61" t="str">
        <f ca="1">IF(ISERROR(MATCH(E1167,Код_КЦСР,0)),"",INDIRECT(ADDRESS(MATCH(E1167,Код_КЦСР,0)+1,2,,,"КЦСР")))</f>
        <v>Установка распашных решеток на окнах зданий</v>
      </c>
      <c r="B1167" s="145">
        <v>808</v>
      </c>
      <c r="C1167" s="8" t="s">
        <v>222</v>
      </c>
      <c r="D1167" s="8" t="s">
        <v>216</v>
      </c>
      <c r="E1167" s="145" t="s">
        <v>103</v>
      </c>
      <c r="F1167" s="145"/>
      <c r="G1167" s="69">
        <f>G1168</f>
        <v>105.4</v>
      </c>
      <c r="H1167" s="69">
        <f>H1168</f>
        <v>0</v>
      </c>
      <c r="I1167" s="69">
        <f t="shared" si="254"/>
        <v>105.4</v>
      </c>
      <c r="J1167" s="69">
        <f>J1168</f>
        <v>0</v>
      </c>
      <c r="K1167" s="85">
        <f t="shared" si="249"/>
        <v>105.4</v>
      </c>
      <c r="L1167" s="13">
        <f>L1168</f>
        <v>0</v>
      </c>
      <c r="M1167" s="85">
        <f t="shared" si="250"/>
        <v>105.4</v>
      </c>
      <c r="N1167" s="13">
        <f>N1168</f>
        <v>0</v>
      </c>
      <c r="O1167" s="85">
        <f t="shared" si="251"/>
        <v>105.4</v>
      </c>
      <c r="P1167" s="13">
        <f>P1168</f>
        <v>0</v>
      </c>
      <c r="Q1167" s="85">
        <f t="shared" si="262"/>
        <v>105.4</v>
      </c>
      <c r="R1167" s="13">
        <f>R1168</f>
        <v>0</v>
      </c>
      <c r="S1167" s="85">
        <f t="shared" si="260"/>
        <v>105.4</v>
      </c>
      <c r="T1167" s="13">
        <f>T1168</f>
        <v>-105.4</v>
      </c>
      <c r="U1167" s="85">
        <f t="shared" si="258"/>
        <v>0</v>
      </c>
    </row>
    <row r="1168" spans="1:22" ht="33">
      <c r="A1168" s="61" t="str">
        <f ca="1">IF(ISERROR(MATCH(F1168,Код_КВР,0)),"",INDIRECT(ADDRESS(MATCH(F1168,Код_КВР,0)+1,2,,,"КВР")))</f>
        <v>Предоставление субсидий бюджетным, автономным учреждениям и иным некоммерческим организациям</v>
      </c>
      <c r="B1168" s="145">
        <v>808</v>
      </c>
      <c r="C1168" s="8" t="s">
        <v>222</v>
      </c>
      <c r="D1168" s="8" t="s">
        <v>216</v>
      </c>
      <c r="E1168" s="145" t="s">
        <v>103</v>
      </c>
      <c r="F1168" s="145">
        <v>600</v>
      </c>
      <c r="G1168" s="69">
        <f>G1169+G1171</f>
        <v>105.4</v>
      </c>
      <c r="H1168" s="69">
        <f>H1169+H1171</f>
        <v>0</v>
      </c>
      <c r="I1168" s="69">
        <f t="shared" si="254"/>
        <v>105.4</v>
      </c>
      <c r="J1168" s="69">
        <f>J1169+J1171</f>
        <v>0</v>
      </c>
      <c r="K1168" s="85">
        <f t="shared" si="249"/>
        <v>105.4</v>
      </c>
      <c r="L1168" s="13">
        <f>L1169+L1171</f>
        <v>0</v>
      </c>
      <c r="M1168" s="85">
        <f t="shared" si="250"/>
        <v>105.4</v>
      </c>
      <c r="N1168" s="13">
        <f>N1169+N1171</f>
        <v>0</v>
      </c>
      <c r="O1168" s="85">
        <f t="shared" si="251"/>
        <v>105.4</v>
      </c>
      <c r="P1168" s="13">
        <f>P1169+P1171</f>
        <v>0</v>
      </c>
      <c r="Q1168" s="85">
        <f t="shared" si="262"/>
        <v>105.4</v>
      </c>
      <c r="R1168" s="13">
        <f>R1169+R1171</f>
        <v>0</v>
      </c>
      <c r="S1168" s="85">
        <f t="shared" si="260"/>
        <v>105.4</v>
      </c>
      <c r="T1168" s="13">
        <f>T1169+T1171</f>
        <v>-105.4</v>
      </c>
      <c r="U1168" s="85">
        <f t="shared" si="258"/>
        <v>0</v>
      </c>
    </row>
    <row r="1169" spans="1:21">
      <c r="A1169" s="61" t="str">
        <f ca="1">IF(ISERROR(MATCH(F1169,Код_КВР,0)),"",INDIRECT(ADDRESS(MATCH(F1169,Код_КВР,0)+1,2,,,"КВР")))</f>
        <v>Субсидии бюджетным учреждениям</v>
      </c>
      <c r="B1169" s="145">
        <v>808</v>
      </c>
      <c r="C1169" s="8" t="s">
        <v>222</v>
      </c>
      <c r="D1169" s="8" t="s">
        <v>216</v>
      </c>
      <c r="E1169" s="145" t="s">
        <v>103</v>
      </c>
      <c r="F1169" s="145">
        <v>610</v>
      </c>
      <c r="G1169" s="69">
        <f>G1170</f>
        <v>55.4</v>
      </c>
      <c r="H1169" s="69">
        <f>H1170</f>
        <v>0</v>
      </c>
      <c r="I1169" s="69">
        <f t="shared" si="254"/>
        <v>55.4</v>
      </c>
      <c r="J1169" s="69">
        <f>J1170</f>
        <v>0</v>
      </c>
      <c r="K1169" s="85">
        <f t="shared" si="249"/>
        <v>55.4</v>
      </c>
      <c r="L1169" s="13">
        <f>L1170</f>
        <v>0</v>
      </c>
      <c r="M1169" s="85">
        <f t="shared" si="250"/>
        <v>55.4</v>
      </c>
      <c r="N1169" s="13">
        <f>N1170</f>
        <v>0</v>
      </c>
      <c r="O1169" s="85">
        <f t="shared" si="251"/>
        <v>55.4</v>
      </c>
      <c r="P1169" s="13">
        <f>P1170</f>
        <v>0</v>
      </c>
      <c r="Q1169" s="85">
        <f t="shared" si="262"/>
        <v>55.4</v>
      </c>
      <c r="R1169" s="13">
        <f>R1170</f>
        <v>0</v>
      </c>
      <c r="S1169" s="85">
        <f t="shared" si="260"/>
        <v>55.4</v>
      </c>
      <c r="T1169" s="13">
        <f>T1170</f>
        <v>-55.4</v>
      </c>
      <c r="U1169" s="85">
        <f t="shared" si="258"/>
        <v>0</v>
      </c>
    </row>
    <row r="1170" spans="1:21">
      <c r="A1170" s="61" t="str">
        <f ca="1">IF(ISERROR(MATCH(F1170,Код_КВР,0)),"",INDIRECT(ADDRESS(MATCH(F1170,Код_КВР,0)+1,2,,,"КВР")))</f>
        <v>Субсидии бюджетным учреждениям на иные цели</v>
      </c>
      <c r="B1170" s="145">
        <v>808</v>
      </c>
      <c r="C1170" s="8" t="s">
        <v>222</v>
      </c>
      <c r="D1170" s="8" t="s">
        <v>216</v>
      </c>
      <c r="E1170" s="145" t="s">
        <v>103</v>
      </c>
      <c r="F1170" s="145">
        <v>612</v>
      </c>
      <c r="G1170" s="69">
        <v>55.4</v>
      </c>
      <c r="H1170" s="69"/>
      <c r="I1170" s="69">
        <f t="shared" si="254"/>
        <v>55.4</v>
      </c>
      <c r="J1170" s="69"/>
      <c r="K1170" s="85">
        <f t="shared" si="249"/>
        <v>55.4</v>
      </c>
      <c r="L1170" s="13"/>
      <c r="M1170" s="85">
        <f t="shared" si="250"/>
        <v>55.4</v>
      </c>
      <c r="N1170" s="13"/>
      <c r="O1170" s="85">
        <f t="shared" si="251"/>
        <v>55.4</v>
      </c>
      <c r="P1170" s="13"/>
      <c r="Q1170" s="85">
        <f t="shared" si="262"/>
        <v>55.4</v>
      </c>
      <c r="R1170" s="13"/>
      <c r="S1170" s="85">
        <f t="shared" si="260"/>
        <v>55.4</v>
      </c>
      <c r="T1170" s="13">
        <v>-55.4</v>
      </c>
      <c r="U1170" s="85">
        <f t="shared" si="258"/>
        <v>0</v>
      </c>
    </row>
    <row r="1171" spans="1:21">
      <c r="A1171" s="61" t="str">
        <f ca="1">IF(ISERROR(MATCH(F1171,Код_КВР,0)),"",INDIRECT(ADDRESS(MATCH(F1171,Код_КВР,0)+1,2,,,"КВР")))</f>
        <v>Субсидии автономным учреждениям</v>
      </c>
      <c r="B1171" s="145">
        <v>808</v>
      </c>
      <c r="C1171" s="8" t="s">
        <v>222</v>
      </c>
      <c r="D1171" s="8" t="s">
        <v>216</v>
      </c>
      <c r="E1171" s="145" t="s">
        <v>103</v>
      </c>
      <c r="F1171" s="145">
        <v>620</v>
      </c>
      <c r="G1171" s="69">
        <f>G1172</f>
        <v>50</v>
      </c>
      <c r="H1171" s="69">
        <f>H1172</f>
        <v>0</v>
      </c>
      <c r="I1171" s="69">
        <f t="shared" si="254"/>
        <v>50</v>
      </c>
      <c r="J1171" s="69">
        <f>J1172</f>
        <v>0</v>
      </c>
      <c r="K1171" s="85">
        <f t="shared" si="249"/>
        <v>50</v>
      </c>
      <c r="L1171" s="13">
        <f>L1172</f>
        <v>0</v>
      </c>
      <c r="M1171" s="85">
        <f t="shared" si="250"/>
        <v>50</v>
      </c>
      <c r="N1171" s="13">
        <f>N1172</f>
        <v>0</v>
      </c>
      <c r="O1171" s="85">
        <f t="shared" si="251"/>
        <v>50</v>
      </c>
      <c r="P1171" s="13">
        <f>P1172</f>
        <v>0</v>
      </c>
      <c r="Q1171" s="85">
        <f t="shared" si="262"/>
        <v>50</v>
      </c>
      <c r="R1171" s="13">
        <f>R1172</f>
        <v>0</v>
      </c>
      <c r="S1171" s="85">
        <f t="shared" si="260"/>
        <v>50</v>
      </c>
      <c r="T1171" s="13">
        <f>T1172</f>
        <v>-50</v>
      </c>
      <c r="U1171" s="85">
        <f>S1171+T1171</f>
        <v>0</v>
      </c>
    </row>
    <row r="1172" spans="1:21">
      <c r="A1172" s="61" t="str">
        <f ca="1">IF(ISERROR(MATCH(F1172,Код_КВР,0)),"",INDIRECT(ADDRESS(MATCH(F1172,Код_КВР,0)+1,2,,,"КВР")))</f>
        <v>Субсидии автономным учреждениям на иные цели</v>
      </c>
      <c r="B1172" s="145">
        <v>808</v>
      </c>
      <c r="C1172" s="8" t="s">
        <v>222</v>
      </c>
      <c r="D1172" s="8" t="s">
        <v>216</v>
      </c>
      <c r="E1172" s="145" t="s">
        <v>103</v>
      </c>
      <c r="F1172" s="145">
        <v>622</v>
      </c>
      <c r="G1172" s="69">
        <v>50</v>
      </c>
      <c r="H1172" s="69"/>
      <c r="I1172" s="69">
        <f t="shared" si="254"/>
        <v>50</v>
      </c>
      <c r="J1172" s="69"/>
      <c r="K1172" s="85">
        <f t="shared" si="249"/>
        <v>50</v>
      </c>
      <c r="L1172" s="13"/>
      <c r="M1172" s="85">
        <f t="shared" si="250"/>
        <v>50</v>
      </c>
      <c r="N1172" s="13"/>
      <c r="O1172" s="85">
        <f t="shared" si="251"/>
        <v>50</v>
      </c>
      <c r="P1172" s="13"/>
      <c r="Q1172" s="85">
        <f t="shared" si="262"/>
        <v>50</v>
      </c>
      <c r="R1172" s="13"/>
      <c r="S1172" s="85">
        <f t="shared" si="260"/>
        <v>50</v>
      </c>
      <c r="T1172" s="13">
        <v>-50</v>
      </c>
      <c r="U1172" s="85">
        <f>S1172+T1172</f>
        <v>0</v>
      </c>
    </row>
    <row r="1173" spans="1:21">
      <c r="A1173" s="61" t="str">
        <f ca="1">IF(ISERROR(MATCH(E1173,Код_КЦСР,0)),"",INDIRECT(ADDRESS(MATCH(E1173,Код_КЦСР,0)+1,2,,,"КЦСР")))</f>
        <v>Резервные фонды Правительства области</v>
      </c>
      <c r="B1173" s="145">
        <v>808</v>
      </c>
      <c r="C1173" s="8" t="s">
        <v>222</v>
      </c>
      <c r="D1173" s="8" t="s">
        <v>216</v>
      </c>
      <c r="E1173" s="145" t="s">
        <v>695</v>
      </c>
      <c r="F1173" s="145"/>
      <c r="G1173" s="69"/>
      <c r="H1173" s="69"/>
      <c r="I1173" s="69"/>
      <c r="J1173" s="69"/>
      <c r="K1173" s="85"/>
      <c r="L1173" s="13"/>
      <c r="M1173" s="85"/>
      <c r="N1173" s="13"/>
      <c r="O1173" s="85"/>
      <c r="P1173" s="13"/>
      <c r="Q1173" s="85"/>
      <c r="R1173" s="13"/>
      <c r="S1173" s="85"/>
      <c r="T1173" s="13">
        <f>T1174</f>
        <v>200</v>
      </c>
      <c r="U1173" s="85">
        <f t="shared" si="258"/>
        <v>200</v>
      </c>
    </row>
    <row r="1174" spans="1:21" ht="49.5">
      <c r="A1174" s="61" t="str">
        <f ca="1">IF(ISERROR(MATCH(E1174,Код_КЦСР,0)),"",INDIRECT(ADDRESS(MATCH(E1174,Код_КЦСР,0)+1,2,,,"КЦСР")))</f>
        <v>Резервные фонды исполнительных органов государственной власти субъектов Российской Федерации (на частичное финансирование непредвиденных расходов по созданию детских музейных центров)</v>
      </c>
      <c r="B1174" s="145">
        <v>808</v>
      </c>
      <c r="C1174" s="8" t="s">
        <v>222</v>
      </c>
      <c r="D1174" s="8" t="s">
        <v>216</v>
      </c>
      <c r="E1174" s="145" t="s">
        <v>697</v>
      </c>
      <c r="F1174" s="145"/>
      <c r="G1174" s="69"/>
      <c r="H1174" s="69"/>
      <c r="I1174" s="69"/>
      <c r="J1174" s="69"/>
      <c r="K1174" s="85"/>
      <c r="L1174" s="13"/>
      <c r="M1174" s="85"/>
      <c r="N1174" s="13"/>
      <c r="O1174" s="85"/>
      <c r="P1174" s="13"/>
      <c r="Q1174" s="85"/>
      <c r="R1174" s="13"/>
      <c r="S1174" s="85"/>
      <c r="T1174" s="13">
        <f>T1175</f>
        <v>200</v>
      </c>
      <c r="U1174" s="85">
        <f t="shared" si="258"/>
        <v>200</v>
      </c>
    </row>
    <row r="1175" spans="1:21" ht="33">
      <c r="A1175" s="61" t="str">
        <f ca="1">IF(ISERROR(MATCH(F1175,Код_КВР,0)),"",INDIRECT(ADDRESS(MATCH(F1175,Код_КВР,0)+1,2,,,"КВР")))</f>
        <v>Предоставление субсидий бюджетным, автономным учреждениям и иным некоммерческим организациям</v>
      </c>
      <c r="B1175" s="145">
        <v>808</v>
      </c>
      <c r="C1175" s="8" t="s">
        <v>222</v>
      </c>
      <c r="D1175" s="8" t="s">
        <v>216</v>
      </c>
      <c r="E1175" s="145" t="s">
        <v>697</v>
      </c>
      <c r="F1175" s="145">
        <v>600</v>
      </c>
      <c r="G1175" s="69"/>
      <c r="H1175" s="69"/>
      <c r="I1175" s="69"/>
      <c r="J1175" s="69"/>
      <c r="K1175" s="85"/>
      <c r="L1175" s="13"/>
      <c r="M1175" s="85"/>
      <c r="N1175" s="13"/>
      <c r="O1175" s="85"/>
      <c r="P1175" s="13"/>
      <c r="Q1175" s="85"/>
      <c r="R1175" s="13"/>
      <c r="S1175" s="85"/>
      <c r="T1175" s="13">
        <f>T1176</f>
        <v>200</v>
      </c>
      <c r="U1175" s="85">
        <f t="shared" si="258"/>
        <v>200</v>
      </c>
    </row>
    <row r="1176" spans="1:21">
      <c r="A1176" s="61" t="str">
        <f ca="1">IF(ISERROR(MATCH(F1176,Код_КВР,0)),"",INDIRECT(ADDRESS(MATCH(F1176,Код_КВР,0)+1,2,,,"КВР")))</f>
        <v>Субсидии бюджетным учреждениям</v>
      </c>
      <c r="B1176" s="145">
        <v>808</v>
      </c>
      <c r="C1176" s="8" t="s">
        <v>222</v>
      </c>
      <c r="D1176" s="8" t="s">
        <v>216</v>
      </c>
      <c r="E1176" s="145" t="s">
        <v>697</v>
      </c>
      <c r="F1176" s="145">
        <v>610</v>
      </c>
      <c r="G1176" s="69"/>
      <c r="H1176" s="69"/>
      <c r="I1176" s="69"/>
      <c r="J1176" s="69"/>
      <c r="K1176" s="85"/>
      <c r="L1176" s="13"/>
      <c r="M1176" s="85"/>
      <c r="N1176" s="13"/>
      <c r="O1176" s="85"/>
      <c r="P1176" s="13"/>
      <c r="Q1176" s="85"/>
      <c r="R1176" s="13"/>
      <c r="S1176" s="85"/>
      <c r="T1176" s="13">
        <f>T1177</f>
        <v>200</v>
      </c>
      <c r="U1176" s="85">
        <f>S1176+T1176</f>
        <v>200</v>
      </c>
    </row>
    <row r="1177" spans="1:21">
      <c r="A1177" s="61" t="str">
        <f ca="1">IF(ISERROR(MATCH(F1177,Код_КВР,0)),"",INDIRECT(ADDRESS(MATCH(F1177,Код_КВР,0)+1,2,,,"КВР")))</f>
        <v>Субсидии бюджетным учреждениям на иные цели</v>
      </c>
      <c r="B1177" s="145">
        <v>808</v>
      </c>
      <c r="C1177" s="8" t="s">
        <v>222</v>
      </c>
      <c r="D1177" s="8" t="s">
        <v>216</v>
      </c>
      <c r="E1177" s="145" t="s">
        <v>697</v>
      </c>
      <c r="F1177" s="145">
        <v>612</v>
      </c>
      <c r="G1177" s="69"/>
      <c r="H1177" s="69"/>
      <c r="I1177" s="69"/>
      <c r="J1177" s="69"/>
      <c r="K1177" s="85"/>
      <c r="L1177" s="13"/>
      <c r="M1177" s="85"/>
      <c r="N1177" s="13"/>
      <c r="O1177" s="85"/>
      <c r="P1177" s="13"/>
      <c r="Q1177" s="85"/>
      <c r="R1177" s="13"/>
      <c r="S1177" s="85"/>
      <c r="T1177" s="13">
        <v>200</v>
      </c>
      <c r="U1177" s="85">
        <f t="shared" si="258"/>
        <v>200</v>
      </c>
    </row>
    <row r="1178" spans="1:21" ht="33">
      <c r="A1178" s="61" t="str">
        <f ca="1">IF(ISERROR(MATCH(E1178,Код_КЦСР,0)),"",INDIRECT(ADDRESS(MATCH(E1178,Код_КЦСР,0)+1,2,,,"КЦСР")))</f>
        <v>Непрограммные направления деятельности органов местного самоуправления</v>
      </c>
      <c r="B1178" s="145">
        <v>808</v>
      </c>
      <c r="C1178" s="8" t="s">
        <v>222</v>
      </c>
      <c r="D1178" s="8" t="s">
        <v>216</v>
      </c>
      <c r="E1178" s="145" t="s">
        <v>299</v>
      </c>
      <c r="F1178" s="145"/>
      <c r="G1178" s="69">
        <f t="shared" ref="G1178:T1180" si="265">G1179</f>
        <v>8849.2999999999993</v>
      </c>
      <c r="H1178" s="69">
        <f t="shared" si="265"/>
        <v>0</v>
      </c>
      <c r="I1178" s="69">
        <f t="shared" si="254"/>
        <v>8849.2999999999993</v>
      </c>
      <c r="J1178" s="69">
        <f t="shared" si="265"/>
        <v>36</v>
      </c>
      <c r="K1178" s="85">
        <f t="shared" si="249"/>
        <v>8885.2999999999993</v>
      </c>
      <c r="L1178" s="13">
        <f t="shared" si="265"/>
        <v>0</v>
      </c>
      <c r="M1178" s="85">
        <f t="shared" si="250"/>
        <v>8885.2999999999993</v>
      </c>
      <c r="N1178" s="13">
        <f t="shared" si="265"/>
        <v>0</v>
      </c>
      <c r="O1178" s="85">
        <f t="shared" si="251"/>
        <v>8885.2999999999993</v>
      </c>
      <c r="P1178" s="13">
        <f t="shared" si="265"/>
        <v>0</v>
      </c>
      <c r="Q1178" s="85">
        <f t="shared" si="262"/>
        <v>8885.2999999999993</v>
      </c>
      <c r="R1178" s="13">
        <f t="shared" si="265"/>
        <v>0</v>
      </c>
      <c r="S1178" s="85">
        <f t="shared" si="260"/>
        <v>8885.2999999999993</v>
      </c>
      <c r="T1178" s="13">
        <f t="shared" si="265"/>
        <v>-75</v>
      </c>
      <c r="U1178" s="85">
        <f t="shared" si="258"/>
        <v>8810.2999999999993</v>
      </c>
    </row>
    <row r="1179" spans="1:21">
      <c r="A1179" s="61" t="str">
        <f ca="1">IF(ISERROR(MATCH(E1179,Код_КЦСР,0)),"",INDIRECT(ADDRESS(MATCH(E1179,Код_КЦСР,0)+1,2,,,"КЦСР")))</f>
        <v>Расходы, не включенные в муниципальные программы города Череповца</v>
      </c>
      <c r="B1179" s="145">
        <v>808</v>
      </c>
      <c r="C1179" s="8" t="s">
        <v>222</v>
      </c>
      <c r="D1179" s="8" t="s">
        <v>216</v>
      </c>
      <c r="E1179" s="145" t="s">
        <v>301</v>
      </c>
      <c r="F1179" s="145"/>
      <c r="G1179" s="69">
        <f t="shared" si="265"/>
        <v>8849.2999999999993</v>
      </c>
      <c r="H1179" s="69">
        <f t="shared" si="265"/>
        <v>0</v>
      </c>
      <c r="I1179" s="69">
        <f t="shared" si="254"/>
        <v>8849.2999999999993</v>
      </c>
      <c r="J1179" s="69">
        <f>J1180+J1190</f>
        <v>36</v>
      </c>
      <c r="K1179" s="85">
        <f t="shared" si="249"/>
        <v>8885.2999999999993</v>
      </c>
      <c r="L1179" s="13">
        <f>L1180+L1190</f>
        <v>0</v>
      </c>
      <c r="M1179" s="85">
        <f t="shared" si="250"/>
        <v>8885.2999999999993</v>
      </c>
      <c r="N1179" s="13">
        <f>N1180+N1190</f>
        <v>0</v>
      </c>
      <c r="O1179" s="85">
        <f t="shared" si="251"/>
        <v>8885.2999999999993</v>
      </c>
      <c r="P1179" s="13">
        <f>P1180+P1190</f>
        <v>0</v>
      </c>
      <c r="Q1179" s="85">
        <f t="shared" si="262"/>
        <v>8885.2999999999993</v>
      </c>
      <c r="R1179" s="13">
        <f>R1180+R1190</f>
        <v>0</v>
      </c>
      <c r="S1179" s="85">
        <f t="shared" si="260"/>
        <v>8885.2999999999993</v>
      </c>
      <c r="T1179" s="13">
        <f>T1180+T1190</f>
        <v>-75</v>
      </c>
      <c r="U1179" s="85">
        <f t="shared" si="258"/>
        <v>8810.2999999999993</v>
      </c>
    </row>
    <row r="1180" spans="1:21" ht="33">
      <c r="A1180" s="61" t="str">
        <f ca="1">IF(ISERROR(MATCH(E1180,Код_КЦСР,0)),"",INDIRECT(ADDRESS(MATCH(E1180,Код_КЦСР,0)+1,2,,,"КЦСР")))</f>
        <v>Руководство и управление в сфере установленных функций органов местного самоуправления</v>
      </c>
      <c r="B1180" s="145">
        <v>808</v>
      </c>
      <c r="C1180" s="8" t="s">
        <v>222</v>
      </c>
      <c r="D1180" s="8" t="s">
        <v>216</v>
      </c>
      <c r="E1180" s="145" t="s">
        <v>303</v>
      </c>
      <c r="F1180" s="145"/>
      <c r="G1180" s="69">
        <f t="shared" si="265"/>
        <v>8849.2999999999993</v>
      </c>
      <c r="H1180" s="69">
        <f t="shared" si="265"/>
        <v>0</v>
      </c>
      <c r="I1180" s="69">
        <f t="shared" si="254"/>
        <v>8849.2999999999993</v>
      </c>
      <c r="J1180" s="69">
        <f t="shared" si="265"/>
        <v>0</v>
      </c>
      <c r="K1180" s="85">
        <f t="shared" ref="K1180:K1252" si="266">I1180+J1180</f>
        <v>8849.2999999999993</v>
      </c>
      <c r="L1180" s="13">
        <f t="shared" si="265"/>
        <v>0</v>
      </c>
      <c r="M1180" s="85">
        <f t="shared" si="250"/>
        <v>8849.2999999999993</v>
      </c>
      <c r="N1180" s="13">
        <f t="shared" si="265"/>
        <v>0</v>
      </c>
      <c r="O1180" s="85">
        <f t="shared" si="251"/>
        <v>8849.2999999999993</v>
      </c>
      <c r="P1180" s="13">
        <f t="shared" si="265"/>
        <v>0</v>
      </c>
      <c r="Q1180" s="85">
        <f t="shared" si="262"/>
        <v>8849.2999999999993</v>
      </c>
      <c r="R1180" s="13">
        <f t="shared" si="265"/>
        <v>0</v>
      </c>
      <c r="S1180" s="85">
        <f t="shared" si="260"/>
        <v>8849.2999999999993</v>
      </c>
      <c r="T1180" s="13">
        <f t="shared" si="265"/>
        <v>-75</v>
      </c>
      <c r="U1180" s="85">
        <f t="shared" si="258"/>
        <v>8774.2999999999993</v>
      </c>
    </row>
    <row r="1181" spans="1:21">
      <c r="A1181" s="61" t="str">
        <f ca="1">IF(ISERROR(MATCH(E1181,Код_КЦСР,0)),"",INDIRECT(ADDRESS(MATCH(E1181,Код_КЦСР,0)+1,2,,,"КЦСР")))</f>
        <v>Центральный аппарат</v>
      </c>
      <c r="B1181" s="145">
        <v>808</v>
      </c>
      <c r="C1181" s="8" t="s">
        <v>222</v>
      </c>
      <c r="D1181" s="8" t="s">
        <v>216</v>
      </c>
      <c r="E1181" s="145" t="s">
        <v>306</v>
      </c>
      <c r="F1181" s="145"/>
      <c r="G1181" s="69">
        <f>G1182+G1184+G1187</f>
        <v>8849.2999999999993</v>
      </c>
      <c r="H1181" s="69">
        <f>H1182+H1184+H1187</f>
        <v>0</v>
      </c>
      <c r="I1181" s="69">
        <f t="shared" si="254"/>
        <v>8849.2999999999993</v>
      </c>
      <c r="J1181" s="69">
        <f>J1182+J1184+J1187</f>
        <v>0</v>
      </c>
      <c r="K1181" s="85">
        <f t="shared" si="266"/>
        <v>8849.2999999999993</v>
      </c>
      <c r="L1181" s="13">
        <f>L1182+L1184+L1187</f>
        <v>0</v>
      </c>
      <c r="M1181" s="85">
        <f t="shared" si="250"/>
        <v>8849.2999999999993</v>
      </c>
      <c r="N1181" s="13">
        <f>N1182+N1184+N1187</f>
        <v>0</v>
      </c>
      <c r="O1181" s="85">
        <f t="shared" si="251"/>
        <v>8849.2999999999993</v>
      </c>
      <c r="P1181" s="13">
        <f>P1182+P1184+P1187</f>
        <v>0</v>
      </c>
      <c r="Q1181" s="85">
        <f t="shared" si="262"/>
        <v>8849.2999999999993</v>
      </c>
      <c r="R1181" s="13">
        <f>R1182+R1184+R1187</f>
        <v>0</v>
      </c>
      <c r="S1181" s="85">
        <f t="shared" si="260"/>
        <v>8849.2999999999993</v>
      </c>
      <c r="T1181" s="13">
        <f>T1182+T1184+T1187</f>
        <v>-75</v>
      </c>
      <c r="U1181" s="85">
        <f t="shared" si="258"/>
        <v>8774.2999999999993</v>
      </c>
    </row>
    <row r="1182" spans="1:21" ht="33">
      <c r="A1182" s="61" t="str">
        <f t="shared" ref="A1182:A1188" ca="1" si="267">IF(ISERROR(MATCH(F1182,Код_КВР,0)),"",INDIRECT(ADDRESS(MATCH(F1182,Код_КВР,0)+1,2,,,"КВР")))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182" s="145">
        <v>808</v>
      </c>
      <c r="C1182" s="8" t="s">
        <v>222</v>
      </c>
      <c r="D1182" s="8" t="s">
        <v>216</v>
      </c>
      <c r="E1182" s="145" t="s">
        <v>306</v>
      </c>
      <c r="F1182" s="145">
        <v>100</v>
      </c>
      <c r="G1182" s="69">
        <f>G1183</f>
        <v>8833.5</v>
      </c>
      <c r="H1182" s="69">
        <f>H1183</f>
        <v>0</v>
      </c>
      <c r="I1182" s="69">
        <f t="shared" si="254"/>
        <v>8833.5</v>
      </c>
      <c r="J1182" s="69">
        <f>J1183</f>
        <v>0</v>
      </c>
      <c r="K1182" s="85">
        <f t="shared" si="266"/>
        <v>8833.5</v>
      </c>
      <c r="L1182" s="13">
        <f>L1183</f>
        <v>0</v>
      </c>
      <c r="M1182" s="85">
        <f t="shared" si="250"/>
        <v>8833.5</v>
      </c>
      <c r="N1182" s="13">
        <f>N1183</f>
        <v>0</v>
      </c>
      <c r="O1182" s="85">
        <f t="shared" si="251"/>
        <v>8833.5</v>
      </c>
      <c r="P1182" s="13">
        <f>P1183</f>
        <v>0</v>
      </c>
      <c r="Q1182" s="85">
        <f t="shared" si="262"/>
        <v>8833.5</v>
      </c>
      <c r="R1182" s="13">
        <f>R1183</f>
        <v>0</v>
      </c>
      <c r="S1182" s="85">
        <f t="shared" si="260"/>
        <v>8833.5</v>
      </c>
      <c r="T1182" s="13">
        <f>T1183</f>
        <v>-73.5</v>
      </c>
      <c r="U1182" s="85">
        <f t="shared" si="258"/>
        <v>8760</v>
      </c>
    </row>
    <row r="1183" spans="1:21">
      <c r="A1183" s="61" t="str">
        <f t="shared" ca="1" si="267"/>
        <v>Расходы на выплаты персоналу муниципальных органов</v>
      </c>
      <c r="B1183" s="145">
        <v>808</v>
      </c>
      <c r="C1183" s="8" t="s">
        <v>222</v>
      </c>
      <c r="D1183" s="8" t="s">
        <v>216</v>
      </c>
      <c r="E1183" s="145" t="s">
        <v>306</v>
      </c>
      <c r="F1183" s="145">
        <v>120</v>
      </c>
      <c r="G1183" s="69">
        <v>8833.5</v>
      </c>
      <c r="H1183" s="69"/>
      <c r="I1183" s="69">
        <f t="shared" si="254"/>
        <v>8833.5</v>
      </c>
      <c r="J1183" s="69"/>
      <c r="K1183" s="85">
        <f t="shared" si="266"/>
        <v>8833.5</v>
      </c>
      <c r="L1183" s="13"/>
      <c r="M1183" s="85">
        <f t="shared" si="250"/>
        <v>8833.5</v>
      </c>
      <c r="N1183" s="13"/>
      <c r="O1183" s="85">
        <f t="shared" si="251"/>
        <v>8833.5</v>
      </c>
      <c r="P1183" s="13"/>
      <c r="Q1183" s="85">
        <f t="shared" si="262"/>
        <v>8833.5</v>
      </c>
      <c r="R1183" s="13"/>
      <c r="S1183" s="85">
        <f t="shared" si="260"/>
        <v>8833.5</v>
      </c>
      <c r="T1183" s="13">
        <f>-49.8-2.1-10.9-10.7</f>
        <v>-73.5</v>
      </c>
      <c r="U1183" s="85">
        <f t="shared" si="258"/>
        <v>8760</v>
      </c>
    </row>
    <row r="1184" spans="1:21">
      <c r="A1184" s="61" t="str">
        <f t="shared" ca="1" si="267"/>
        <v>Закупка товаров, работ и услуг для муниципальных нужд</v>
      </c>
      <c r="B1184" s="145">
        <v>808</v>
      </c>
      <c r="C1184" s="8" t="s">
        <v>222</v>
      </c>
      <c r="D1184" s="8" t="s">
        <v>216</v>
      </c>
      <c r="E1184" s="145" t="s">
        <v>306</v>
      </c>
      <c r="F1184" s="145">
        <v>200</v>
      </c>
      <c r="G1184" s="69">
        <f>G1185</f>
        <v>14.3</v>
      </c>
      <c r="H1184" s="69">
        <f>H1185</f>
        <v>0</v>
      </c>
      <c r="I1184" s="69">
        <f t="shared" si="254"/>
        <v>14.3</v>
      </c>
      <c r="J1184" s="69">
        <f>J1185</f>
        <v>0</v>
      </c>
      <c r="K1184" s="85">
        <f t="shared" si="266"/>
        <v>14.3</v>
      </c>
      <c r="L1184" s="13">
        <f>L1185</f>
        <v>0</v>
      </c>
      <c r="M1184" s="85">
        <f t="shared" si="250"/>
        <v>14.3</v>
      </c>
      <c r="N1184" s="13">
        <f>N1185</f>
        <v>0</v>
      </c>
      <c r="O1184" s="85">
        <f t="shared" si="251"/>
        <v>14.3</v>
      </c>
      <c r="P1184" s="13">
        <f>P1185</f>
        <v>0</v>
      </c>
      <c r="Q1184" s="85">
        <f t="shared" si="262"/>
        <v>14.3</v>
      </c>
      <c r="R1184" s="13">
        <f>R1185</f>
        <v>0</v>
      </c>
      <c r="S1184" s="85">
        <f t="shared" si="260"/>
        <v>14.3</v>
      </c>
      <c r="T1184" s="13">
        <f>T1185</f>
        <v>-1.5</v>
      </c>
      <c r="U1184" s="85">
        <f t="shared" si="258"/>
        <v>12.8</v>
      </c>
    </row>
    <row r="1185" spans="1:21" ht="33">
      <c r="A1185" s="61" t="str">
        <f t="shared" ca="1" si="267"/>
        <v>Иные закупки товаров, работ и услуг для обеспечения муниципальных нужд</v>
      </c>
      <c r="B1185" s="145">
        <v>808</v>
      </c>
      <c r="C1185" s="8" t="s">
        <v>222</v>
      </c>
      <c r="D1185" s="8" t="s">
        <v>216</v>
      </c>
      <c r="E1185" s="145" t="s">
        <v>306</v>
      </c>
      <c r="F1185" s="145">
        <v>240</v>
      </c>
      <c r="G1185" s="69">
        <f>G1186</f>
        <v>14.3</v>
      </c>
      <c r="H1185" s="69">
        <f>H1186</f>
        <v>0</v>
      </c>
      <c r="I1185" s="69">
        <f t="shared" si="254"/>
        <v>14.3</v>
      </c>
      <c r="J1185" s="69">
        <f>J1186</f>
        <v>0</v>
      </c>
      <c r="K1185" s="85">
        <f t="shared" si="266"/>
        <v>14.3</v>
      </c>
      <c r="L1185" s="13">
        <f>L1186</f>
        <v>0</v>
      </c>
      <c r="M1185" s="85">
        <f t="shared" ref="M1185:M1248" si="268">K1185+L1185</f>
        <v>14.3</v>
      </c>
      <c r="N1185" s="13">
        <f>N1186</f>
        <v>0</v>
      </c>
      <c r="O1185" s="85">
        <f t="shared" ref="O1185:O1248" si="269">M1185+N1185</f>
        <v>14.3</v>
      </c>
      <c r="P1185" s="13">
        <f>P1186</f>
        <v>0</v>
      </c>
      <c r="Q1185" s="85">
        <f t="shared" si="262"/>
        <v>14.3</v>
      </c>
      <c r="R1185" s="13">
        <f>R1186</f>
        <v>0</v>
      </c>
      <c r="S1185" s="85">
        <f t="shared" si="260"/>
        <v>14.3</v>
      </c>
      <c r="T1185" s="13">
        <f>T1186</f>
        <v>-1.5</v>
      </c>
      <c r="U1185" s="85">
        <f t="shared" si="258"/>
        <v>12.8</v>
      </c>
    </row>
    <row r="1186" spans="1:21" ht="33">
      <c r="A1186" s="61" t="str">
        <f t="shared" ca="1" si="267"/>
        <v xml:space="preserve">Прочая закупка товаров, работ и услуг для обеспечения муниципальных нужд         </v>
      </c>
      <c r="B1186" s="145">
        <v>808</v>
      </c>
      <c r="C1186" s="8" t="s">
        <v>222</v>
      </c>
      <c r="D1186" s="8" t="s">
        <v>216</v>
      </c>
      <c r="E1186" s="145" t="s">
        <v>306</v>
      </c>
      <c r="F1186" s="145">
        <v>244</v>
      </c>
      <c r="G1186" s="69">
        <v>14.3</v>
      </c>
      <c r="H1186" s="69"/>
      <c r="I1186" s="69">
        <f t="shared" si="254"/>
        <v>14.3</v>
      </c>
      <c r="J1186" s="69"/>
      <c r="K1186" s="85">
        <f t="shared" si="266"/>
        <v>14.3</v>
      </c>
      <c r="L1186" s="13"/>
      <c r="M1186" s="85">
        <f t="shared" si="268"/>
        <v>14.3</v>
      </c>
      <c r="N1186" s="13"/>
      <c r="O1186" s="85">
        <f t="shared" si="269"/>
        <v>14.3</v>
      </c>
      <c r="P1186" s="13"/>
      <c r="Q1186" s="85">
        <f t="shared" si="262"/>
        <v>14.3</v>
      </c>
      <c r="R1186" s="13"/>
      <c r="S1186" s="85">
        <f t="shared" si="260"/>
        <v>14.3</v>
      </c>
      <c r="T1186" s="13">
        <v>-1.5</v>
      </c>
      <c r="U1186" s="85">
        <f t="shared" si="258"/>
        <v>12.8</v>
      </c>
    </row>
    <row r="1187" spans="1:21">
      <c r="A1187" s="61" t="str">
        <f t="shared" ca="1" si="267"/>
        <v>Иные бюджетные ассигнования</v>
      </c>
      <c r="B1187" s="145">
        <v>808</v>
      </c>
      <c r="C1187" s="8" t="s">
        <v>222</v>
      </c>
      <c r="D1187" s="8" t="s">
        <v>216</v>
      </c>
      <c r="E1187" s="145" t="s">
        <v>306</v>
      </c>
      <c r="F1187" s="145">
        <v>800</v>
      </c>
      <c r="G1187" s="69">
        <f>G1188</f>
        <v>1.5</v>
      </c>
      <c r="H1187" s="69">
        <f>H1188</f>
        <v>0</v>
      </c>
      <c r="I1187" s="69">
        <f t="shared" si="254"/>
        <v>1.5</v>
      </c>
      <c r="J1187" s="69">
        <f>J1188</f>
        <v>0</v>
      </c>
      <c r="K1187" s="85">
        <f t="shared" si="266"/>
        <v>1.5</v>
      </c>
      <c r="L1187" s="13">
        <f>L1188</f>
        <v>0</v>
      </c>
      <c r="M1187" s="85">
        <f t="shared" si="268"/>
        <v>1.5</v>
      </c>
      <c r="N1187" s="13">
        <f>N1188</f>
        <v>0</v>
      </c>
      <c r="O1187" s="85">
        <f t="shared" si="269"/>
        <v>1.5</v>
      </c>
      <c r="P1187" s="13">
        <f>P1188</f>
        <v>0</v>
      </c>
      <c r="Q1187" s="85">
        <f t="shared" si="262"/>
        <v>1.5</v>
      </c>
      <c r="R1187" s="13">
        <f>R1188</f>
        <v>0</v>
      </c>
      <c r="S1187" s="85">
        <f t="shared" si="260"/>
        <v>1.5</v>
      </c>
      <c r="T1187" s="13">
        <f>T1188</f>
        <v>0</v>
      </c>
      <c r="U1187" s="85">
        <f t="shared" si="258"/>
        <v>1.5</v>
      </c>
    </row>
    <row r="1188" spans="1:21">
      <c r="A1188" s="61" t="str">
        <f t="shared" ca="1" si="267"/>
        <v>Уплата налогов, сборов и иных платежей</v>
      </c>
      <c r="B1188" s="145">
        <v>808</v>
      </c>
      <c r="C1188" s="8" t="s">
        <v>222</v>
      </c>
      <c r="D1188" s="8" t="s">
        <v>216</v>
      </c>
      <c r="E1188" s="145" t="s">
        <v>306</v>
      </c>
      <c r="F1188" s="145">
        <v>850</v>
      </c>
      <c r="G1188" s="69">
        <f>G1189</f>
        <v>1.5</v>
      </c>
      <c r="H1188" s="69">
        <f>H1189</f>
        <v>0</v>
      </c>
      <c r="I1188" s="69">
        <f t="shared" si="254"/>
        <v>1.5</v>
      </c>
      <c r="J1188" s="69">
        <f>J1189</f>
        <v>0</v>
      </c>
      <c r="K1188" s="85">
        <f t="shared" si="266"/>
        <v>1.5</v>
      </c>
      <c r="L1188" s="13">
        <f>L1189</f>
        <v>0</v>
      </c>
      <c r="M1188" s="85">
        <f t="shared" si="268"/>
        <v>1.5</v>
      </c>
      <c r="N1188" s="13">
        <f>N1189</f>
        <v>0</v>
      </c>
      <c r="O1188" s="85">
        <f t="shared" si="269"/>
        <v>1.5</v>
      </c>
      <c r="P1188" s="13">
        <f>P1189</f>
        <v>0</v>
      </c>
      <c r="Q1188" s="85">
        <f t="shared" si="262"/>
        <v>1.5</v>
      </c>
      <c r="R1188" s="13">
        <f>R1189</f>
        <v>0</v>
      </c>
      <c r="S1188" s="85">
        <f t="shared" si="260"/>
        <v>1.5</v>
      </c>
      <c r="T1188" s="13">
        <f>T1189</f>
        <v>0</v>
      </c>
      <c r="U1188" s="85">
        <f t="shared" si="258"/>
        <v>1.5</v>
      </c>
    </row>
    <row r="1189" spans="1:21">
      <c r="A1189" s="61" t="str">
        <f ca="1">IF(ISERROR(MATCH(F1189,Код_КВР,0)),"",INDIRECT(ADDRESS(MATCH(F1189,Код_КВР,0)+1,2,,,"КВР")))</f>
        <v>Уплата прочих налогов, сборов и иных платежей</v>
      </c>
      <c r="B1189" s="145">
        <v>808</v>
      </c>
      <c r="C1189" s="8" t="s">
        <v>222</v>
      </c>
      <c r="D1189" s="8" t="s">
        <v>216</v>
      </c>
      <c r="E1189" s="145" t="s">
        <v>306</v>
      </c>
      <c r="F1189" s="145">
        <v>852</v>
      </c>
      <c r="G1189" s="69">
        <v>1.5</v>
      </c>
      <c r="H1189" s="69"/>
      <c r="I1189" s="69">
        <f t="shared" si="254"/>
        <v>1.5</v>
      </c>
      <c r="J1189" s="69"/>
      <c r="K1189" s="85">
        <f t="shared" si="266"/>
        <v>1.5</v>
      </c>
      <c r="L1189" s="13"/>
      <c r="M1189" s="85">
        <f t="shared" si="268"/>
        <v>1.5</v>
      </c>
      <c r="N1189" s="13"/>
      <c r="O1189" s="85">
        <f t="shared" si="269"/>
        <v>1.5</v>
      </c>
      <c r="P1189" s="13"/>
      <c r="Q1189" s="85">
        <f t="shared" si="262"/>
        <v>1.5</v>
      </c>
      <c r="R1189" s="13"/>
      <c r="S1189" s="85">
        <f t="shared" si="260"/>
        <v>1.5</v>
      </c>
      <c r="T1189" s="13"/>
      <c r="U1189" s="85">
        <f t="shared" si="258"/>
        <v>1.5</v>
      </c>
    </row>
    <row r="1190" spans="1:21">
      <c r="A1190" s="61" t="str">
        <f ca="1">IF(ISERROR(MATCH(E1190,Код_КЦСР,0)),"",INDIRECT(ADDRESS(MATCH(E1190,Код_КЦСР,0)+1,2,,,"КЦСР")))</f>
        <v>Кредиторская задолженность, сложившаяся по итогам 2013 года</v>
      </c>
      <c r="B1190" s="145">
        <v>808</v>
      </c>
      <c r="C1190" s="8" t="s">
        <v>222</v>
      </c>
      <c r="D1190" s="8" t="s">
        <v>216</v>
      </c>
      <c r="E1190" s="145" t="s">
        <v>371</v>
      </c>
      <c r="F1190" s="145"/>
      <c r="G1190" s="69"/>
      <c r="H1190" s="69"/>
      <c r="I1190" s="69"/>
      <c r="J1190" s="69">
        <f>J1191</f>
        <v>36</v>
      </c>
      <c r="K1190" s="85">
        <f t="shared" si="266"/>
        <v>36</v>
      </c>
      <c r="L1190" s="13">
        <f>L1191</f>
        <v>0</v>
      </c>
      <c r="M1190" s="85">
        <f t="shared" si="268"/>
        <v>36</v>
      </c>
      <c r="N1190" s="13">
        <f>N1191</f>
        <v>0</v>
      </c>
      <c r="O1190" s="85">
        <f t="shared" si="269"/>
        <v>36</v>
      </c>
      <c r="P1190" s="13">
        <f>P1191</f>
        <v>0</v>
      </c>
      <c r="Q1190" s="85">
        <f t="shared" si="262"/>
        <v>36</v>
      </c>
      <c r="R1190" s="13">
        <f>R1191</f>
        <v>0</v>
      </c>
      <c r="S1190" s="85">
        <f t="shared" si="260"/>
        <v>36</v>
      </c>
      <c r="T1190" s="13">
        <f>T1191</f>
        <v>0</v>
      </c>
      <c r="U1190" s="85">
        <f t="shared" si="258"/>
        <v>36</v>
      </c>
    </row>
    <row r="1191" spans="1:21" ht="33">
      <c r="A1191" s="61" t="str">
        <f ca="1">IF(ISERROR(MATCH(F1191,Код_КВР,0)),"",INDIRECT(ADDRESS(MATCH(F1191,Код_КВР,0)+1,2,,,"КВР")))</f>
        <v>Предоставление субсидий бюджетным, автономным учреждениям и иным некоммерческим организациям</v>
      </c>
      <c r="B1191" s="145">
        <v>808</v>
      </c>
      <c r="C1191" s="8" t="s">
        <v>222</v>
      </c>
      <c r="D1191" s="8" t="s">
        <v>216</v>
      </c>
      <c r="E1191" s="145" t="s">
        <v>371</v>
      </c>
      <c r="F1191" s="145">
        <v>600</v>
      </c>
      <c r="G1191" s="69"/>
      <c r="H1191" s="69"/>
      <c r="I1191" s="69"/>
      <c r="J1191" s="69">
        <f>J1192</f>
        <v>36</v>
      </c>
      <c r="K1191" s="85">
        <f t="shared" si="266"/>
        <v>36</v>
      </c>
      <c r="L1191" s="13">
        <f>L1192</f>
        <v>0</v>
      </c>
      <c r="M1191" s="85">
        <f t="shared" si="268"/>
        <v>36</v>
      </c>
      <c r="N1191" s="13">
        <f>N1192</f>
        <v>0</v>
      </c>
      <c r="O1191" s="85">
        <f t="shared" si="269"/>
        <v>36</v>
      </c>
      <c r="P1191" s="13">
        <f>P1192</f>
        <v>0</v>
      </c>
      <c r="Q1191" s="85">
        <f t="shared" si="262"/>
        <v>36</v>
      </c>
      <c r="R1191" s="13">
        <f>R1192</f>
        <v>0</v>
      </c>
      <c r="S1191" s="85">
        <f t="shared" si="260"/>
        <v>36</v>
      </c>
      <c r="T1191" s="13">
        <f>T1192</f>
        <v>0</v>
      </c>
      <c r="U1191" s="85">
        <f t="shared" si="258"/>
        <v>36</v>
      </c>
    </row>
    <row r="1192" spans="1:21">
      <c r="A1192" s="61" t="str">
        <f ca="1">IF(ISERROR(MATCH(F1192,Код_КВР,0)),"",INDIRECT(ADDRESS(MATCH(F1192,Код_КВР,0)+1,2,,,"КВР")))</f>
        <v>Субсидии бюджетным учреждениям</v>
      </c>
      <c r="B1192" s="145">
        <v>808</v>
      </c>
      <c r="C1192" s="8" t="s">
        <v>222</v>
      </c>
      <c r="D1192" s="8" t="s">
        <v>216</v>
      </c>
      <c r="E1192" s="145" t="s">
        <v>371</v>
      </c>
      <c r="F1192" s="145">
        <v>610</v>
      </c>
      <c r="G1192" s="69"/>
      <c r="H1192" s="69"/>
      <c r="I1192" s="69"/>
      <c r="J1192" s="69">
        <f>J1193</f>
        <v>36</v>
      </c>
      <c r="K1192" s="85">
        <f t="shared" si="266"/>
        <v>36</v>
      </c>
      <c r="L1192" s="13">
        <f>L1193</f>
        <v>0</v>
      </c>
      <c r="M1192" s="85">
        <f t="shared" si="268"/>
        <v>36</v>
      </c>
      <c r="N1192" s="13">
        <f>N1193</f>
        <v>0</v>
      </c>
      <c r="O1192" s="85">
        <f t="shared" si="269"/>
        <v>36</v>
      </c>
      <c r="P1192" s="13">
        <f>P1193</f>
        <v>0</v>
      </c>
      <c r="Q1192" s="85">
        <f t="shared" si="262"/>
        <v>36</v>
      </c>
      <c r="R1192" s="13">
        <f>R1193</f>
        <v>0</v>
      </c>
      <c r="S1192" s="85">
        <f t="shared" si="260"/>
        <v>36</v>
      </c>
      <c r="T1192" s="13">
        <f>T1193</f>
        <v>0</v>
      </c>
      <c r="U1192" s="85">
        <f t="shared" si="258"/>
        <v>36</v>
      </c>
    </row>
    <row r="1193" spans="1:21">
      <c r="A1193" s="61" t="str">
        <f ca="1">IF(ISERROR(MATCH(F1193,Код_КВР,0)),"",INDIRECT(ADDRESS(MATCH(F1193,Код_КВР,0)+1,2,,,"КВР")))</f>
        <v>Субсидии бюджетным учреждениям на иные цели</v>
      </c>
      <c r="B1193" s="145">
        <v>808</v>
      </c>
      <c r="C1193" s="8" t="s">
        <v>222</v>
      </c>
      <c r="D1193" s="8" t="s">
        <v>216</v>
      </c>
      <c r="E1193" s="145" t="s">
        <v>371</v>
      </c>
      <c r="F1193" s="145">
        <v>612</v>
      </c>
      <c r="G1193" s="69"/>
      <c r="H1193" s="69"/>
      <c r="I1193" s="69"/>
      <c r="J1193" s="69">
        <v>36</v>
      </c>
      <c r="K1193" s="85">
        <f t="shared" si="266"/>
        <v>36</v>
      </c>
      <c r="L1193" s="13"/>
      <c r="M1193" s="85">
        <f t="shared" si="268"/>
        <v>36</v>
      </c>
      <c r="N1193" s="13"/>
      <c r="O1193" s="85">
        <f t="shared" si="269"/>
        <v>36</v>
      </c>
      <c r="P1193" s="13"/>
      <c r="Q1193" s="85">
        <f t="shared" si="262"/>
        <v>36</v>
      </c>
      <c r="R1193" s="13"/>
      <c r="S1193" s="85">
        <f t="shared" si="260"/>
        <v>36</v>
      </c>
      <c r="T1193" s="13"/>
      <c r="U1193" s="85">
        <f t="shared" si="258"/>
        <v>36</v>
      </c>
    </row>
    <row r="1194" spans="1:21" ht="33">
      <c r="A1194" s="61" t="str">
        <f ca="1">IF(ISERROR(MATCH(B1194,Код_ППП,0)),"",INDIRECT(ADDRESS(MATCH(B1194,Код_ППП,0)+1,2,,,"ППП")))</f>
        <v>КОМИТЕТ ПО ФИЗИЧЕСКОЙ КУЛЬТУРЕ И СПОРТУ МЭРИИ ГОРОДА</v>
      </c>
      <c r="B1194" s="145">
        <v>809</v>
      </c>
      <c r="C1194" s="8"/>
      <c r="D1194" s="8"/>
      <c r="E1194" s="145"/>
      <c r="F1194" s="145"/>
      <c r="G1194" s="69">
        <f>G1195+G1230</f>
        <v>338730.7</v>
      </c>
      <c r="H1194" s="69">
        <f>H1195+H1230</f>
        <v>0</v>
      </c>
      <c r="I1194" s="69">
        <f t="shared" si="254"/>
        <v>338730.7</v>
      </c>
      <c r="J1194" s="69">
        <f>J1195+J1230</f>
        <v>1981.2</v>
      </c>
      <c r="K1194" s="85">
        <f t="shared" si="266"/>
        <v>340711.9</v>
      </c>
      <c r="L1194" s="13">
        <f>L1195+L1230</f>
        <v>-80.7</v>
      </c>
      <c r="M1194" s="85">
        <f t="shared" si="268"/>
        <v>340631.2</v>
      </c>
      <c r="N1194" s="13">
        <f>N1195+N1230</f>
        <v>0</v>
      </c>
      <c r="O1194" s="85">
        <f t="shared" si="269"/>
        <v>340631.2</v>
      </c>
      <c r="P1194" s="13">
        <f>P1195+P1230</f>
        <v>-3959.5</v>
      </c>
      <c r="Q1194" s="85">
        <f t="shared" si="262"/>
        <v>336671.7</v>
      </c>
      <c r="R1194" s="13">
        <f>R1195+R1230</f>
        <v>-9775</v>
      </c>
      <c r="S1194" s="85">
        <f t="shared" si="260"/>
        <v>326896.7</v>
      </c>
      <c r="T1194" s="13">
        <f>T1195+T1230</f>
        <v>0</v>
      </c>
      <c r="U1194" s="85">
        <f t="shared" si="258"/>
        <v>326896.7</v>
      </c>
    </row>
    <row r="1195" spans="1:21">
      <c r="A1195" s="61" t="str">
        <f ca="1">IF(ISERROR(MATCH(C1195,Код_Раздел,0)),"",INDIRECT(ADDRESS(MATCH(C1195,Код_Раздел,0)+1,2,,,"Раздел")))</f>
        <v>Образование</v>
      </c>
      <c r="B1195" s="145">
        <v>809</v>
      </c>
      <c r="C1195" s="8" t="s">
        <v>195</v>
      </c>
      <c r="D1195" s="8"/>
      <c r="E1195" s="145"/>
      <c r="F1195" s="145"/>
      <c r="G1195" s="69">
        <f>G1196+G1209</f>
        <v>123263.6</v>
      </c>
      <c r="H1195" s="69">
        <f>H1196+H1209</f>
        <v>908.8</v>
      </c>
      <c r="I1195" s="69">
        <f t="shared" si="254"/>
        <v>124172.40000000001</v>
      </c>
      <c r="J1195" s="69">
        <f>J1196+J1204+J1209</f>
        <v>471.29999999999995</v>
      </c>
      <c r="K1195" s="85">
        <f t="shared" si="266"/>
        <v>124643.70000000001</v>
      </c>
      <c r="L1195" s="13">
        <f>L1196+L1204+L1209</f>
        <v>-80.7</v>
      </c>
      <c r="M1195" s="85">
        <f t="shared" si="268"/>
        <v>124563.00000000001</v>
      </c>
      <c r="N1195" s="13">
        <f>N1196+N1204+N1209</f>
        <v>0</v>
      </c>
      <c r="O1195" s="85">
        <f t="shared" si="269"/>
        <v>124563.00000000001</v>
      </c>
      <c r="P1195" s="13">
        <f>P1196+P1204+P1209</f>
        <v>0</v>
      </c>
      <c r="Q1195" s="85">
        <f t="shared" si="262"/>
        <v>124563.00000000001</v>
      </c>
      <c r="R1195" s="13">
        <f>R1196+R1204+R1209</f>
        <v>0</v>
      </c>
      <c r="S1195" s="85">
        <f t="shared" si="260"/>
        <v>124563.00000000001</v>
      </c>
      <c r="T1195" s="13">
        <f>T1196+T1204+T1209</f>
        <v>0</v>
      </c>
      <c r="U1195" s="85">
        <f t="shared" si="258"/>
        <v>124563.00000000001</v>
      </c>
    </row>
    <row r="1196" spans="1:21">
      <c r="A1196" s="12" t="s">
        <v>250</v>
      </c>
      <c r="B1196" s="145">
        <v>809</v>
      </c>
      <c r="C1196" s="8" t="s">
        <v>195</v>
      </c>
      <c r="D1196" s="8" t="s">
        <v>214</v>
      </c>
      <c r="E1196" s="145"/>
      <c r="F1196" s="145"/>
      <c r="G1196" s="69">
        <f t="shared" ref="G1196:T1198" si="270">G1197</f>
        <v>115476.5</v>
      </c>
      <c r="H1196" s="69">
        <f t="shared" si="270"/>
        <v>908.8</v>
      </c>
      <c r="I1196" s="69">
        <f t="shared" si="254"/>
        <v>116385.3</v>
      </c>
      <c r="J1196" s="69">
        <f t="shared" si="270"/>
        <v>0</v>
      </c>
      <c r="K1196" s="85">
        <f t="shared" si="266"/>
        <v>116385.3</v>
      </c>
      <c r="L1196" s="13">
        <f t="shared" si="270"/>
        <v>-80.7</v>
      </c>
      <c r="M1196" s="85">
        <f t="shared" si="268"/>
        <v>116304.6</v>
      </c>
      <c r="N1196" s="13">
        <f t="shared" si="270"/>
        <v>0</v>
      </c>
      <c r="O1196" s="85">
        <f t="shared" si="269"/>
        <v>116304.6</v>
      </c>
      <c r="P1196" s="13">
        <f t="shared" si="270"/>
        <v>0</v>
      </c>
      <c r="Q1196" s="85">
        <f t="shared" si="262"/>
        <v>116304.6</v>
      </c>
      <c r="R1196" s="13">
        <f t="shared" si="270"/>
        <v>0</v>
      </c>
      <c r="S1196" s="85">
        <f t="shared" si="260"/>
        <v>116304.6</v>
      </c>
      <c r="T1196" s="13">
        <f t="shared" si="270"/>
        <v>0</v>
      </c>
      <c r="U1196" s="85">
        <f t="shared" si="258"/>
        <v>116304.6</v>
      </c>
    </row>
    <row r="1197" spans="1:21" ht="33">
      <c r="A1197" s="61" t="str">
        <f ca="1">IF(ISERROR(MATCH(E1197,Код_КЦСР,0)),"",INDIRECT(ADDRESS(MATCH(E1197,Код_КЦСР,0)+1,2,,,"КЦСР")))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1197" s="145">
        <v>809</v>
      </c>
      <c r="C1197" s="8" t="s">
        <v>195</v>
      </c>
      <c r="D1197" s="8" t="s">
        <v>214</v>
      </c>
      <c r="E1197" s="145" t="s">
        <v>524</v>
      </c>
      <c r="F1197" s="145"/>
      <c r="G1197" s="69">
        <f t="shared" si="270"/>
        <v>115476.5</v>
      </c>
      <c r="H1197" s="69">
        <f t="shared" si="270"/>
        <v>908.8</v>
      </c>
      <c r="I1197" s="69">
        <f t="shared" si="254"/>
        <v>116385.3</v>
      </c>
      <c r="J1197" s="69">
        <f t="shared" si="270"/>
        <v>0</v>
      </c>
      <c r="K1197" s="85">
        <f t="shared" si="266"/>
        <v>116385.3</v>
      </c>
      <c r="L1197" s="13">
        <f t="shared" si="270"/>
        <v>-80.7</v>
      </c>
      <c r="M1197" s="85">
        <f t="shared" si="268"/>
        <v>116304.6</v>
      </c>
      <c r="N1197" s="13">
        <f t="shared" si="270"/>
        <v>0</v>
      </c>
      <c r="O1197" s="85">
        <f t="shared" si="269"/>
        <v>116304.6</v>
      </c>
      <c r="P1197" s="13">
        <f t="shared" si="270"/>
        <v>0</v>
      </c>
      <c r="Q1197" s="85">
        <f t="shared" si="262"/>
        <v>116304.6</v>
      </c>
      <c r="R1197" s="13">
        <f t="shared" si="270"/>
        <v>0</v>
      </c>
      <c r="S1197" s="85">
        <f t="shared" si="260"/>
        <v>116304.6</v>
      </c>
      <c r="T1197" s="13">
        <f t="shared" si="270"/>
        <v>0</v>
      </c>
      <c r="U1197" s="85">
        <f t="shared" si="258"/>
        <v>116304.6</v>
      </c>
    </row>
    <row r="1198" spans="1:21">
      <c r="A1198" s="61" t="str">
        <f ca="1">IF(ISERROR(MATCH(E1198,Код_КЦСР,0)),"",INDIRECT(ADDRESS(MATCH(E1198,Код_КЦСР,0)+1,2,,,"КЦСР")))</f>
        <v>Реализация  дополнительных общеобразовательных программ</v>
      </c>
      <c r="B1198" s="145">
        <v>809</v>
      </c>
      <c r="C1198" s="8" t="s">
        <v>195</v>
      </c>
      <c r="D1198" s="8" t="s">
        <v>214</v>
      </c>
      <c r="E1198" s="145" t="s">
        <v>529</v>
      </c>
      <c r="F1198" s="145"/>
      <c r="G1198" s="69">
        <f t="shared" si="270"/>
        <v>115476.5</v>
      </c>
      <c r="H1198" s="69">
        <f t="shared" si="270"/>
        <v>908.8</v>
      </c>
      <c r="I1198" s="69">
        <f t="shared" si="254"/>
        <v>116385.3</v>
      </c>
      <c r="J1198" s="69">
        <f t="shared" si="270"/>
        <v>0</v>
      </c>
      <c r="K1198" s="85">
        <f t="shared" si="266"/>
        <v>116385.3</v>
      </c>
      <c r="L1198" s="13">
        <f t="shared" si="270"/>
        <v>-80.7</v>
      </c>
      <c r="M1198" s="85">
        <f t="shared" si="268"/>
        <v>116304.6</v>
      </c>
      <c r="N1198" s="13">
        <f t="shared" si="270"/>
        <v>0</v>
      </c>
      <c r="O1198" s="85">
        <f t="shared" si="269"/>
        <v>116304.6</v>
      </c>
      <c r="P1198" s="13">
        <f t="shared" si="270"/>
        <v>0</v>
      </c>
      <c r="Q1198" s="85">
        <f t="shared" si="262"/>
        <v>116304.6</v>
      </c>
      <c r="R1198" s="13">
        <f t="shared" si="270"/>
        <v>0</v>
      </c>
      <c r="S1198" s="85">
        <f t="shared" si="260"/>
        <v>116304.6</v>
      </c>
      <c r="T1198" s="13">
        <f t="shared" si="270"/>
        <v>0</v>
      </c>
      <c r="U1198" s="85">
        <f t="shared" si="258"/>
        <v>116304.6</v>
      </c>
    </row>
    <row r="1199" spans="1:21" ht="33">
      <c r="A1199" s="61" t="str">
        <f ca="1">IF(ISERROR(MATCH(F1199,Код_КВР,0)),"",INDIRECT(ADDRESS(MATCH(F1199,Код_КВР,0)+1,2,,,"КВР")))</f>
        <v>Предоставление субсидий бюджетным, автономным учреждениям и иным некоммерческим организациям</v>
      </c>
      <c r="B1199" s="145">
        <v>809</v>
      </c>
      <c r="C1199" s="41" t="s">
        <v>195</v>
      </c>
      <c r="D1199" s="8" t="s">
        <v>214</v>
      </c>
      <c r="E1199" s="145" t="s">
        <v>529</v>
      </c>
      <c r="F1199" s="145">
        <v>600</v>
      </c>
      <c r="G1199" s="69">
        <f>G1200+G1202</f>
        <v>115476.5</v>
      </c>
      <c r="H1199" s="69">
        <f>H1200+H1202</f>
        <v>908.8</v>
      </c>
      <c r="I1199" s="69">
        <f t="shared" ref="I1199:I1267" si="271">G1199+H1199</f>
        <v>116385.3</v>
      </c>
      <c r="J1199" s="69">
        <f>J1200+J1202</f>
        <v>0</v>
      </c>
      <c r="K1199" s="85">
        <f t="shared" si="266"/>
        <v>116385.3</v>
      </c>
      <c r="L1199" s="13">
        <f>L1200+L1202</f>
        <v>-80.7</v>
      </c>
      <c r="M1199" s="85">
        <f t="shared" si="268"/>
        <v>116304.6</v>
      </c>
      <c r="N1199" s="13">
        <f>N1200+N1202</f>
        <v>0</v>
      </c>
      <c r="O1199" s="85">
        <f t="shared" si="269"/>
        <v>116304.6</v>
      </c>
      <c r="P1199" s="13">
        <f>P1200+P1202</f>
        <v>0</v>
      </c>
      <c r="Q1199" s="85">
        <f t="shared" si="262"/>
        <v>116304.6</v>
      </c>
      <c r="R1199" s="13">
        <f>R1200+R1202</f>
        <v>0</v>
      </c>
      <c r="S1199" s="85">
        <f t="shared" si="260"/>
        <v>116304.6</v>
      </c>
      <c r="T1199" s="13">
        <f>T1200+T1202</f>
        <v>0</v>
      </c>
      <c r="U1199" s="85">
        <f t="shared" si="258"/>
        <v>116304.6</v>
      </c>
    </row>
    <row r="1200" spans="1:21">
      <c r="A1200" s="61" t="str">
        <f ca="1">IF(ISERROR(MATCH(F1200,Код_КВР,0)),"",INDIRECT(ADDRESS(MATCH(F1200,Код_КВР,0)+1,2,,,"КВР")))</f>
        <v>Субсидии бюджетным учреждениям</v>
      </c>
      <c r="B1200" s="145">
        <v>809</v>
      </c>
      <c r="C1200" s="41" t="s">
        <v>195</v>
      </c>
      <c r="D1200" s="8" t="s">
        <v>214</v>
      </c>
      <c r="E1200" s="145" t="s">
        <v>529</v>
      </c>
      <c r="F1200" s="145">
        <v>610</v>
      </c>
      <c r="G1200" s="69">
        <f>G1201</f>
        <v>98039.6</v>
      </c>
      <c r="H1200" s="69">
        <f>H1201</f>
        <v>908.8</v>
      </c>
      <c r="I1200" s="69">
        <f t="shared" si="271"/>
        <v>98948.400000000009</v>
      </c>
      <c r="J1200" s="69">
        <f>J1201</f>
        <v>0</v>
      </c>
      <c r="K1200" s="85">
        <f t="shared" si="266"/>
        <v>98948.400000000009</v>
      </c>
      <c r="L1200" s="13">
        <f>L1201</f>
        <v>-73.2</v>
      </c>
      <c r="M1200" s="85">
        <f t="shared" si="268"/>
        <v>98875.200000000012</v>
      </c>
      <c r="N1200" s="13">
        <f>N1201</f>
        <v>0</v>
      </c>
      <c r="O1200" s="85">
        <f t="shared" si="269"/>
        <v>98875.200000000012</v>
      </c>
      <c r="P1200" s="13">
        <f>P1201</f>
        <v>0</v>
      </c>
      <c r="Q1200" s="85">
        <f t="shared" si="262"/>
        <v>98875.200000000012</v>
      </c>
      <c r="R1200" s="13">
        <f>R1201</f>
        <v>-854.3</v>
      </c>
      <c r="S1200" s="85">
        <f t="shared" si="260"/>
        <v>98020.900000000009</v>
      </c>
      <c r="T1200" s="13">
        <f>T1201</f>
        <v>-5561.5</v>
      </c>
      <c r="U1200" s="85">
        <f t="shared" si="258"/>
        <v>92459.400000000009</v>
      </c>
    </row>
    <row r="1201" spans="1:21" ht="49.5">
      <c r="A1201" s="61" t="str">
        <f ca="1">IF(ISERROR(MATCH(F1201,Код_КВР,0)),"",INDIRECT(ADDRESS(MATCH(F1201,Код_КВР,0)+1,2,,,"КВР")))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01" s="145">
        <v>809</v>
      </c>
      <c r="C1201" s="41" t="s">
        <v>195</v>
      </c>
      <c r="D1201" s="8" t="s">
        <v>214</v>
      </c>
      <c r="E1201" s="145" t="s">
        <v>529</v>
      </c>
      <c r="F1201" s="145">
        <v>611</v>
      </c>
      <c r="G1201" s="69">
        <v>98039.6</v>
      </c>
      <c r="H1201" s="69">
        <v>908.8</v>
      </c>
      <c r="I1201" s="69">
        <f t="shared" si="271"/>
        <v>98948.400000000009</v>
      </c>
      <c r="J1201" s="69"/>
      <c r="K1201" s="85">
        <f t="shared" si="266"/>
        <v>98948.400000000009</v>
      </c>
      <c r="L1201" s="13">
        <v>-73.2</v>
      </c>
      <c r="M1201" s="85">
        <f t="shared" si="268"/>
        <v>98875.200000000012</v>
      </c>
      <c r="N1201" s="13"/>
      <c r="O1201" s="85">
        <f t="shared" si="269"/>
        <v>98875.200000000012</v>
      </c>
      <c r="P1201" s="13"/>
      <c r="Q1201" s="85">
        <f t="shared" si="262"/>
        <v>98875.200000000012</v>
      </c>
      <c r="R1201" s="13">
        <v>-854.3</v>
      </c>
      <c r="S1201" s="85">
        <f t="shared" si="260"/>
        <v>98020.900000000009</v>
      </c>
      <c r="T1201" s="13">
        <v>-5561.5</v>
      </c>
      <c r="U1201" s="85">
        <f t="shared" si="258"/>
        <v>92459.400000000009</v>
      </c>
    </row>
    <row r="1202" spans="1:21">
      <c r="A1202" s="61" t="str">
        <f ca="1">IF(ISERROR(MATCH(F1202,Код_КВР,0)),"",INDIRECT(ADDRESS(MATCH(F1202,Код_КВР,0)+1,2,,,"КВР")))</f>
        <v>Субсидии автономным учреждениям</v>
      </c>
      <c r="B1202" s="145">
        <v>809</v>
      </c>
      <c r="C1202" s="41" t="s">
        <v>195</v>
      </c>
      <c r="D1202" s="8" t="s">
        <v>214</v>
      </c>
      <c r="E1202" s="145" t="s">
        <v>529</v>
      </c>
      <c r="F1202" s="145">
        <v>620</v>
      </c>
      <c r="G1202" s="69">
        <f>G1203</f>
        <v>17436.900000000001</v>
      </c>
      <c r="H1202" s="69">
        <f>H1203</f>
        <v>0</v>
      </c>
      <c r="I1202" s="69">
        <f t="shared" si="271"/>
        <v>17436.900000000001</v>
      </c>
      <c r="J1202" s="69">
        <f>J1203</f>
        <v>0</v>
      </c>
      <c r="K1202" s="85">
        <f t="shared" si="266"/>
        <v>17436.900000000001</v>
      </c>
      <c r="L1202" s="13">
        <f>L1203</f>
        <v>-7.5</v>
      </c>
      <c r="M1202" s="85">
        <f t="shared" si="268"/>
        <v>17429.400000000001</v>
      </c>
      <c r="N1202" s="13">
        <f>N1203</f>
        <v>0</v>
      </c>
      <c r="O1202" s="85">
        <f t="shared" si="269"/>
        <v>17429.400000000001</v>
      </c>
      <c r="P1202" s="13">
        <f>P1203</f>
        <v>0</v>
      </c>
      <c r="Q1202" s="85">
        <f t="shared" si="262"/>
        <v>17429.400000000001</v>
      </c>
      <c r="R1202" s="13">
        <f>R1203</f>
        <v>854.3</v>
      </c>
      <c r="S1202" s="85">
        <f t="shared" si="260"/>
        <v>18283.7</v>
      </c>
      <c r="T1202" s="13">
        <f>T1203</f>
        <v>5561.5</v>
      </c>
      <c r="U1202" s="85">
        <f t="shared" si="258"/>
        <v>23845.200000000001</v>
      </c>
    </row>
    <row r="1203" spans="1:21" ht="49.5">
      <c r="A1203" s="61" t="str">
        <f ca="1">IF(ISERROR(MATCH(F1203,Код_КВР,0)),"",INDIRECT(ADDRESS(MATCH(F1203,Код_КВР,0)+1,2,,,"КВР")))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203" s="145">
        <v>809</v>
      </c>
      <c r="C1203" s="41" t="s">
        <v>195</v>
      </c>
      <c r="D1203" s="8" t="s">
        <v>214</v>
      </c>
      <c r="E1203" s="145" t="s">
        <v>529</v>
      </c>
      <c r="F1203" s="145">
        <v>621</v>
      </c>
      <c r="G1203" s="69">
        <v>17436.900000000001</v>
      </c>
      <c r="H1203" s="69"/>
      <c r="I1203" s="69">
        <f t="shared" si="271"/>
        <v>17436.900000000001</v>
      </c>
      <c r="J1203" s="69"/>
      <c r="K1203" s="85">
        <f t="shared" si="266"/>
        <v>17436.900000000001</v>
      </c>
      <c r="L1203" s="13">
        <v>-7.5</v>
      </c>
      <c r="M1203" s="85">
        <f t="shared" si="268"/>
        <v>17429.400000000001</v>
      </c>
      <c r="N1203" s="13"/>
      <c r="O1203" s="85">
        <f t="shared" si="269"/>
        <v>17429.400000000001</v>
      </c>
      <c r="P1203" s="13"/>
      <c r="Q1203" s="85">
        <f t="shared" si="262"/>
        <v>17429.400000000001</v>
      </c>
      <c r="R1203" s="13">
        <v>854.3</v>
      </c>
      <c r="S1203" s="85">
        <f t="shared" si="260"/>
        <v>18283.7</v>
      </c>
      <c r="T1203" s="13">
        <v>5561.5</v>
      </c>
      <c r="U1203" s="85">
        <f t="shared" si="258"/>
        <v>23845.200000000001</v>
      </c>
    </row>
    <row r="1204" spans="1:21">
      <c r="A1204" s="12" t="s">
        <v>199</v>
      </c>
      <c r="B1204" s="145">
        <v>809</v>
      </c>
      <c r="C1204" s="8" t="s">
        <v>195</v>
      </c>
      <c r="D1204" s="8" t="s">
        <v>195</v>
      </c>
      <c r="E1204" s="145"/>
      <c r="F1204" s="145"/>
      <c r="G1204" s="69"/>
      <c r="H1204" s="69"/>
      <c r="I1204" s="69"/>
      <c r="J1204" s="69">
        <f>J1205</f>
        <v>381.2</v>
      </c>
      <c r="K1204" s="85">
        <f t="shared" si="266"/>
        <v>381.2</v>
      </c>
      <c r="L1204" s="13">
        <f>L1205</f>
        <v>0</v>
      </c>
      <c r="M1204" s="85">
        <f t="shared" si="268"/>
        <v>381.2</v>
      </c>
      <c r="N1204" s="13">
        <f>N1205</f>
        <v>0</v>
      </c>
      <c r="O1204" s="85">
        <f t="shared" si="269"/>
        <v>381.2</v>
      </c>
      <c r="P1204" s="13">
        <f>P1205</f>
        <v>0</v>
      </c>
      <c r="Q1204" s="85">
        <f t="shared" si="262"/>
        <v>381.2</v>
      </c>
      <c r="R1204" s="13">
        <f>R1205</f>
        <v>0</v>
      </c>
      <c r="S1204" s="85">
        <f t="shared" si="260"/>
        <v>381.2</v>
      </c>
      <c r="T1204" s="13">
        <f>T1205</f>
        <v>0</v>
      </c>
      <c r="U1204" s="85">
        <f t="shared" si="258"/>
        <v>381.2</v>
      </c>
    </row>
    <row r="1205" spans="1:21" ht="33">
      <c r="A1205" s="61" t="str">
        <f ca="1">IF(ISERROR(MATCH(E1205,Код_КЦСР,0)),"",INDIRECT(ADDRESS(MATCH(E1205,Код_КЦСР,0)+1,2,,,"КЦСР")))</f>
        <v>Муниципальная программа «Социальная поддержка граждан» на 2014-2018 годы</v>
      </c>
      <c r="B1205" s="145">
        <v>809</v>
      </c>
      <c r="C1205" s="8" t="s">
        <v>195</v>
      </c>
      <c r="D1205" s="8" t="s">
        <v>195</v>
      </c>
      <c r="E1205" s="145" t="s">
        <v>5</v>
      </c>
      <c r="F1205" s="145"/>
      <c r="G1205" s="69"/>
      <c r="H1205" s="69"/>
      <c r="I1205" s="69"/>
      <c r="J1205" s="69">
        <f>J1206</f>
        <v>381.2</v>
      </c>
      <c r="K1205" s="85">
        <f t="shared" si="266"/>
        <v>381.2</v>
      </c>
      <c r="L1205" s="13">
        <f>L1206</f>
        <v>0</v>
      </c>
      <c r="M1205" s="85">
        <f t="shared" si="268"/>
        <v>381.2</v>
      </c>
      <c r="N1205" s="13">
        <f>N1206</f>
        <v>0</v>
      </c>
      <c r="O1205" s="85">
        <f t="shared" si="269"/>
        <v>381.2</v>
      </c>
      <c r="P1205" s="13">
        <f>P1206</f>
        <v>0</v>
      </c>
      <c r="Q1205" s="85">
        <f t="shared" si="262"/>
        <v>381.2</v>
      </c>
      <c r="R1205" s="13">
        <f>R1206</f>
        <v>0</v>
      </c>
      <c r="S1205" s="85">
        <f t="shared" si="260"/>
        <v>381.2</v>
      </c>
      <c r="T1205" s="13">
        <f>T1206</f>
        <v>0</v>
      </c>
      <c r="U1205" s="85">
        <f t="shared" si="258"/>
        <v>381.2</v>
      </c>
    </row>
    <row r="1206" spans="1:21" ht="33">
      <c r="A1206" s="61" t="str">
        <f ca="1">IF(ISERROR(MATCH(F1206,Код_КВР,0)),"",INDIRECT(ADDRESS(MATCH(F1206,Код_КВР,0)+1,2,,,"КВР")))</f>
        <v>Предоставление субсидий бюджетным, автономным учреждениям и иным некоммерческим организациям</v>
      </c>
      <c r="B1206" s="145">
        <v>809</v>
      </c>
      <c r="C1206" s="8" t="s">
        <v>195</v>
      </c>
      <c r="D1206" s="8" t="s">
        <v>195</v>
      </c>
      <c r="E1206" s="145" t="s">
        <v>406</v>
      </c>
      <c r="F1206" s="145">
        <v>600</v>
      </c>
      <c r="G1206" s="69"/>
      <c r="H1206" s="69"/>
      <c r="I1206" s="69"/>
      <c r="J1206" s="69">
        <f>J1207</f>
        <v>381.2</v>
      </c>
      <c r="K1206" s="85">
        <f t="shared" si="266"/>
        <v>381.2</v>
      </c>
      <c r="L1206" s="13">
        <f>L1207</f>
        <v>0</v>
      </c>
      <c r="M1206" s="85">
        <f t="shared" si="268"/>
        <v>381.2</v>
      </c>
      <c r="N1206" s="13">
        <f>N1207</f>
        <v>0</v>
      </c>
      <c r="O1206" s="85">
        <f t="shared" si="269"/>
        <v>381.2</v>
      </c>
      <c r="P1206" s="13">
        <f>P1207</f>
        <v>0</v>
      </c>
      <c r="Q1206" s="85">
        <f t="shared" si="262"/>
        <v>381.2</v>
      </c>
      <c r="R1206" s="13">
        <f>R1207</f>
        <v>0</v>
      </c>
      <c r="S1206" s="85">
        <f t="shared" si="260"/>
        <v>381.2</v>
      </c>
      <c r="T1206" s="13">
        <f>T1207</f>
        <v>0</v>
      </c>
      <c r="U1206" s="85">
        <f t="shared" si="258"/>
        <v>381.2</v>
      </c>
    </row>
    <row r="1207" spans="1:21">
      <c r="A1207" s="61" t="str">
        <f ca="1">IF(ISERROR(MATCH(F1207,Код_КВР,0)),"",INDIRECT(ADDRESS(MATCH(F1207,Код_КВР,0)+1,2,,,"КВР")))</f>
        <v>Субсидии бюджетным учреждениям</v>
      </c>
      <c r="B1207" s="145">
        <v>809</v>
      </c>
      <c r="C1207" s="8" t="s">
        <v>195</v>
      </c>
      <c r="D1207" s="8" t="s">
        <v>195</v>
      </c>
      <c r="E1207" s="145" t="s">
        <v>406</v>
      </c>
      <c r="F1207" s="145">
        <v>610</v>
      </c>
      <c r="G1207" s="69"/>
      <c r="H1207" s="69"/>
      <c r="I1207" s="69"/>
      <c r="J1207" s="69">
        <f>J1208</f>
        <v>381.2</v>
      </c>
      <c r="K1207" s="85">
        <f t="shared" si="266"/>
        <v>381.2</v>
      </c>
      <c r="L1207" s="13">
        <f>L1208</f>
        <v>0</v>
      </c>
      <c r="M1207" s="85">
        <f t="shared" si="268"/>
        <v>381.2</v>
      </c>
      <c r="N1207" s="13">
        <f>N1208</f>
        <v>0</v>
      </c>
      <c r="O1207" s="85">
        <f t="shared" si="269"/>
        <v>381.2</v>
      </c>
      <c r="P1207" s="13">
        <f>P1208</f>
        <v>0</v>
      </c>
      <c r="Q1207" s="85">
        <f t="shared" si="262"/>
        <v>381.2</v>
      </c>
      <c r="R1207" s="13">
        <f>R1208</f>
        <v>0</v>
      </c>
      <c r="S1207" s="85">
        <f t="shared" si="260"/>
        <v>381.2</v>
      </c>
      <c r="T1207" s="13">
        <f>T1208</f>
        <v>0</v>
      </c>
      <c r="U1207" s="85">
        <f t="shared" si="258"/>
        <v>381.2</v>
      </c>
    </row>
    <row r="1208" spans="1:21">
      <c r="A1208" s="61" t="str">
        <f ca="1">IF(ISERROR(MATCH(F1208,Код_КВР,0)),"",INDIRECT(ADDRESS(MATCH(F1208,Код_КВР,0)+1,2,,,"КВР")))</f>
        <v>Субсидии бюджетным учреждениям на иные цели</v>
      </c>
      <c r="B1208" s="145">
        <v>809</v>
      </c>
      <c r="C1208" s="8" t="s">
        <v>195</v>
      </c>
      <c r="D1208" s="8" t="s">
        <v>195</v>
      </c>
      <c r="E1208" s="145" t="s">
        <v>406</v>
      </c>
      <c r="F1208" s="145">
        <v>612</v>
      </c>
      <c r="G1208" s="69"/>
      <c r="H1208" s="69"/>
      <c r="I1208" s="69"/>
      <c r="J1208" s="69">
        <v>381.2</v>
      </c>
      <c r="K1208" s="85">
        <f t="shared" si="266"/>
        <v>381.2</v>
      </c>
      <c r="L1208" s="13"/>
      <c r="M1208" s="85">
        <f t="shared" si="268"/>
        <v>381.2</v>
      </c>
      <c r="N1208" s="13"/>
      <c r="O1208" s="85">
        <f t="shared" si="269"/>
        <v>381.2</v>
      </c>
      <c r="P1208" s="13"/>
      <c r="Q1208" s="85">
        <f t="shared" si="262"/>
        <v>381.2</v>
      </c>
      <c r="R1208" s="13"/>
      <c r="S1208" s="85">
        <f t="shared" si="260"/>
        <v>381.2</v>
      </c>
      <c r="T1208" s="13"/>
      <c r="U1208" s="85">
        <f t="shared" ref="U1208:U1271" si="272">S1208+T1208</f>
        <v>381.2</v>
      </c>
    </row>
    <row r="1209" spans="1:21">
      <c r="A1209" s="12" t="s">
        <v>251</v>
      </c>
      <c r="B1209" s="145">
        <v>809</v>
      </c>
      <c r="C1209" s="8" t="s">
        <v>195</v>
      </c>
      <c r="D1209" s="8" t="s">
        <v>219</v>
      </c>
      <c r="E1209" s="145"/>
      <c r="F1209" s="145"/>
      <c r="G1209" s="69">
        <f>G1210+G1217</f>
        <v>7787.1</v>
      </c>
      <c r="H1209" s="69">
        <f>H1210+H1217</f>
        <v>0</v>
      </c>
      <c r="I1209" s="69">
        <f t="shared" si="271"/>
        <v>7787.1</v>
      </c>
      <c r="J1209" s="69">
        <f>J1210+J1217</f>
        <v>90.1</v>
      </c>
      <c r="K1209" s="85">
        <f t="shared" si="266"/>
        <v>7877.2000000000007</v>
      </c>
      <c r="L1209" s="13">
        <f>L1210+L1217</f>
        <v>0</v>
      </c>
      <c r="M1209" s="85">
        <f t="shared" si="268"/>
        <v>7877.2000000000007</v>
      </c>
      <c r="N1209" s="13">
        <f>N1210+N1217</f>
        <v>0</v>
      </c>
      <c r="O1209" s="85">
        <f t="shared" si="269"/>
        <v>7877.2000000000007</v>
      </c>
      <c r="P1209" s="13">
        <f>P1210+P1217</f>
        <v>0</v>
      </c>
      <c r="Q1209" s="85">
        <f t="shared" si="262"/>
        <v>7877.2000000000007</v>
      </c>
      <c r="R1209" s="13">
        <f>R1210+R1217</f>
        <v>0</v>
      </c>
      <c r="S1209" s="85">
        <f t="shared" si="260"/>
        <v>7877.2000000000007</v>
      </c>
      <c r="T1209" s="13">
        <f>T1210+T1217</f>
        <v>0</v>
      </c>
      <c r="U1209" s="85">
        <f t="shared" si="272"/>
        <v>7877.2000000000007</v>
      </c>
    </row>
    <row r="1210" spans="1:21" ht="33">
      <c r="A1210" s="61" t="str">
        <f ca="1">IF(ISERROR(MATCH(E1210,Код_КЦСР,0)),"",INDIRECT(ADDRESS(MATCH(E1210,Код_КЦСР,0)+1,2,,,"КЦСР")))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1210" s="145">
        <v>809</v>
      </c>
      <c r="C1210" s="8" t="s">
        <v>195</v>
      </c>
      <c r="D1210" s="8" t="s">
        <v>219</v>
      </c>
      <c r="E1210" s="145" t="s">
        <v>524</v>
      </c>
      <c r="F1210" s="145"/>
      <c r="G1210" s="69">
        <f>G1211</f>
        <v>7563.1</v>
      </c>
      <c r="H1210" s="69">
        <f>H1211</f>
        <v>0</v>
      </c>
      <c r="I1210" s="69">
        <f t="shared" si="271"/>
        <v>7563.1</v>
      </c>
      <c r="J1210" s="69">
        <f>J1211</f>
        <v>90.1</v>
      </c>
      <c r="K1210" s="85">
        <f t="shared" si="266"/>
        <v>7653.2000000000007</v>
      </c>
      <c r="L1210" s="13">
        <f>L1211</f>
        <v>0</v>
      </c>
      <c r="M1210" s="85">
        <f t="shared" si="268"/>
        <v>7653.2000000000007</v>
      </c>
      <c r="N1210" s="13">
        <f>N1211</f>
        <v>0</v>
      </c>
      <c r="O1210" s="85">
        <f t="shared" si="269"/>
        <v>7653.2000000000007</v>
      </c>
      <c r="P1210" s="13">
        <f>P1211</f>
        <v>0</v>
      </c>
      <c r="Q1210" s="85">
        <f t="shared" si="262"/>
        <v>7653.2000000000007</v>
      </c>
      <c r="R1210" s="13">
        <f>R1211</f>
        <v>0</v>
      </c>
      <c r="S1210" s="85">
        <f t="shared" si="260"/>
        <v>7653.2000000000007</v>
      </c>
      <c r="T1210" s="13">
        <f>T1211</f>
        <v>0</v>
      </c>
      <c r="U1210" s="85">
        <f t="shared" si="272"/>
        <v>7653.2000000000007</v>
      </c>
    </row>
    <row r="1211" spans="1:21">
      <c r="A1211" s="61" t="str">
        <f ca="1">IF(ISERROR(MATCH(E1211,Код_КЦСР,0)),"",INDIRECT(ADDRESS(MATCH(E1211,Код_КЦСР,0)+1,2,,,"КЦСР")))</f>
        <v>Спортивный город</v>
      </c>
      <c r="B1211" s="145">
        <v>809</v>
      </c>
      <c r="C1211" s="8" t="s">
        <v>195</v>
      </c>
      <c r="D1211" s="8" t="s">
        <v>219</v>
      </c>
      <c r="E1211" s="145" t="s">
        <v>533</v>
      </c>
      <c r="F1211" s="145"/>
      <c r="G1211" s="69">
        <f>G1212</f>
        <v>7563.1</v>
      </c>
      <c r="H1211" s="69">
        <f>H1212</f>
        <v>0</v>
      </c>
      <c r="I1211" s="69">
        <f t="shared" si="271"/>
        <v>7563.1</v>
      </c>
      <c r="J1211" s="69">
        <f>J1212</f>
        <v>90.1</v>
      </c>
      <c r="K1211" s="85">
        <f t="shared" si="266"/>
        <v>7653.2000000000007</v>
      </c>
      <c r="L1211" s="13">
        <f>L1212</f>
        <v>0</v>
      </c>
      <c r="M1211" s="85">
        <f t="shared" si="268"/>
        <v>7653.2000000000007</v>
      </c>
      <c r="N1211" s="13">
        <f>N1212</f>
        <v>0</v>
      </c>
      <c r="O1211" s="85">
        <f t="shared" si="269"/>
        <v>7653.2000000000007</v>
      </c>
      <c r="P1211" s="13">
        <f>P1212</f>
        <v>0</v>
      </c>
      <c r="Q1211" s="85">
        <f t="shared" si="262"/>
        <v>7653.2000000000007</v>
      </c>
      <c r="R1211" s="13">
        <f>R1212</f>
        <v>0</v>
      </c>
      <c r="S1211" s="85">
        <f t="shared" si="260"/>
        <v>7653.2000000000007</v>
      </c>
      <c r="T1211" s="13">
        <f>T1212</f>
        <v>0</v>
      </c>
      <c r="U1211" s="85">
        <f t="shared" si="272"/>
        <v>7653.2000000000007</v>
      </c>
    </row>
    <row r="1212" spans="1:21" ht="33">
      <c r="A1212" s="61" t="str">
        <f ca="1">IF(ISERROR(MATCH(F1212,Код_КВР,0)),"",INDIRECT(ADDRESS(MATCH(F1212,Код_КВР,0)+1,2,,,"КВР")))</f>
        <v>Предоставление субсидий бюджетным, автономным учреждениям и иным некоммерческим организациям</v>
      </c>
      <c r="B1212" s="145">
        <v>809</v>
      </c>
      <c r="C1212" s="41" t="s">
        <v>195</v>
      </c>
      <c r="D1212" s="8" t="s">
        <v>219</v>
      </c>
      <c r="E1212" s="145" t="s">
        <v>533</v>
      </c>
      <c r="F1212" s="145">
        <v>600</v>
      </c>
      <c r="G1212" s="69">
        <f>G1213+G1215</f>
        <v>7563.1</v>
      </c>
      <c r="H1212" s="69">
        <f>H1213+H1215</f>
        <v>0</v>
      </c>
      <c r="I1212" s="69">
        <f t="shared" si="271"/>
        <v>7563.1</v>
      </c>
      <c r="J1212" s="69">
        <f>J1213+J1215</f>
        <v>90.1</v>
      </c>
      <c r="K1212" s="85">
        <f t="shared" si="266"/>
        <v>7653.2000000000007</v>
      </c>
      <c r="L1212" s="13">
        <f>L1213+L1215</f>
        <v>0</v>
      </c>
      <c r="M1212" s="85">
        <f t="shared" si="268"/>
        <v>7653.2000000000007</v>
      </c>
      <c r="N1212" s="13">
        <f>N1213+N1215</f>
        <v>0</v>
      </c>
      <c r="O1212" s="85">
        <f t="shared" si="269"/>
        <v>7653.2000000000007</v>
      </c>
      <c r="P1212" s="13">
        <f>P1213+P1215</f>
        <v>0</v>
      </c>
      <c r="Q1212" s="85">
        <f t="shared" si="262"/>
        <v>7653.2000000000007</v>
      </c>
      <c r="R1212" s="13">
        <f>R1213+R1215</f>
        <v>0</v>
      </c>
      <c r="S1212" s="85">
        <f t="shared" si="260"/>
        <v>7653.2000000000007</v>
      </c>
      <c r="T1212" s="13">
        <f>T1213+T1215</f>
        <v>0</v>
      </c>
      <c r="U1212" s="85">
        <f t="shared" si="272"/>
        <v>7653.2000000000007</v>
      </c>
    </row>
    <row r="1213" spans="1:21">
      <c r="A1213" s="61" t="str">
        <f ca="1">IF(ISERROR(MATCH(F1213,Код_КВР,0)),"",INDIRECT(ADDRESS(MATCH(F1213,Код_КВР,0)+1,2,,,"КВР")))</f>
        <v>Субсидии бюджетным учреждениям</v>
      </c>
      <c r="B1213" s="145">
        <v>809</v>
      </c>
      <c r="C1213" s="41" t="s">
        <v>195</v>
      </c>
      <c r="D1213" s="8" t="s">
        <v>219</v>
      </c>
      <c r="E1213" s="145" t="s">
        <v>533</v>
      </c>
      <c r="F1213" s="145">
        <v>610</v>
      </c>
      <c r="G1213" s="69">
        <f>G1214</f>
        <v>6732.6</v>
      </c>
      <c r="H1213" s="69">
        <f>H1214</f>
        <v>0</v>
      </c>
      <c r="I1213" s="69">
        <f t="shared" si="271"/>
        <v>6732.6</v>
      </c>
      <c r="J1213" s="69">
        <f>J1214</f>
        <v>90.1</v>
      </c>
      <c r="K1213" s="85">
        <f t="shared" si="266"/>
        <v>6822.7000000000007</v>
      </c>
      <c r="L1213" s="13">
        <f>L1214</f>
        <v>0</v>
      </c>
      <c r="M1213" s="85">
        <f t="shared" si="268"/>
        <v>6822.7000000000007</v>
      </c>
      <c r="N1213" s="13">
        <f>N1214</f>
        <v>0</v>
      </c>
      <c r="O1213" s="85">
        <f t="shared" si="269"/>
        <v>6822.7000000000007</v>
      </c>
      <c r="P1213" s="13">
        <f>P1214</f>
        <v>0</v>
      </c>
      <c r="Q1213" s="85">
        <f t="shared" si="262"/>
        <v>6822.7000000000007</v>
      </c>
      <c r="R1213" s="13">
        <f>R1214</f>
        <v>0</v>
      </c>
      <c r="S1213" s="85">
        <f t="shared" si="260"/>
        <v>6822.7000000000007</v>
      </c>
      <c r="T1213" s="13">
        <f>T1214</f>
        <v>0</v>
      </c>
      <c r="U1213" s="85">
        <f t="shared" si="272"/>
        <v>6822.7000000000007</v>
      </c>
    </row>
    <row r="1214" spans="1:21">
      <c r="A1214" s="61" t="str">
        <f ca="1">IF(ISERROR(MATCH(F1214,Код_КВР,0)),"",INDIRECT(ADDRESS(MATCH(F1214,Код_КВР,0)+1,2,,,"КВР")))</f>
        <v>Субсидии бюджетным учреждениям на иные цели</v>
      </c>
      <c r="B1214" s="145">
        <v>809</v>
      </c>
      <c r="C1214" s="41" t="s">
        <v>195</v>
      </c>
      <c r="D1214" s="8" t="s">
        <v>219</v>
      </c>
      <c r="E1214" s="145" t="s">
        <v>533</v>
      </c>
      <c r="F1214" s="145">
        <v>612</v>
      </c>
      <c r="G1214" s="69">
        <v>6732.6</v>
      </c>
      <c r="H1214" s="69"/>
      <c r="I1214" s="69">
        <f t="shared" si="271"/>
        <v>6732.6</v>
      </c>
      <c r="J1214" s="69">
        <v>90.1</v>
      </c>
      <c r="K1214" s="85">
        <f t="shared" si="266"/>
        <v>6822.7000000000007</v>
      </c>
      <c r="L1214" s="13"/>
      <c r="M1214" s="85">
        <f t="shared" si="268"/>
        <v>6822.7000000000007</v>
      </c>
      <c r="N1214" s="13"/>
      <c r="O1214" s="85">
        <f t="shared" si="269"/>
        <v>6822.7000000000007</v>
      </c>
      <c r="P1214" s="13"/>
      <c r="Q1214" s="85">
        <f t="shared" si="262"/>
        <v>6822.7000000000007</v>
      </c>
      <c r="R1214" s="13"/>
      <c r="S1214" s="85">
        <f t="shared" si="260"/>
        <v>6822.7000000000007</v>
      </c>
      <c r="T1214" s="13"/>
      <c r="U1214" s="85">
        <f t="shared" si="272"/>
        <v>6822.7000000000007</v>
      </c>
    </row>
    <row r="1215" spans="1:21">
      <c r="A1215" s="61" t="str">
        <f ca="1">IF(ISERROR(MATCH(F1215,Код_КВР,0)),"",INDIRECT(ADDRESS(MATCH(F1215,Код_КВР,0)+1,2,,,"КВР")))</f>
        <v>Субсидии автономным учреждениям</v>
      </c>
      <c r="B1215" s="145">
        <v>809</v>
      </c>
      <c r="C1215" s="41" t="s">
        <v>195</v>
      </c>
      <c r="D1215" s="8" t="s">
        <v>219</v>
      </c>
      <c r="E1215" s="145" t="s">
        <v>533</v>
      </c>
      <c r="F1215" s="145">
        <v>620</v>
      </c>
      <c r="G1215" s="69">
        <f>G1216</f>
        <v>830.5</v>
      </c>
      <c r="H1215" s="69">
        <f>H1216</f>
        <v>0</v>
      </c>
      <c r="I1215" s="69">
        <f t="shared" si="271"/>
        <v>830.5</v>
      </c>
      <c r="J1215" s="69">
        <f>J1216</f>
        <v>0</v>
      </c>
      <c r="K1215" s="85">
        <f t="shared" si="266"/>
        <v>830.5</v>
      </c>
      <c r="L1215" s="13">
        <f>L1216</f>
        <v>0</v>
      </c>
      <c r="M1215" s="85">
        <f t="shared" si="268"/>
        <v>830.5</v>
      </c>
      <c r="N1215" s="13">
        <f>N1216</f>
        <v>0</v>
      </c>
      <c r="O1215" s="85">
        <f t="shared" si="269"/>
        <v>830.5</v>
      </c>
      <c r="P1215" s="13">
        <f>P1216</f>
        <v>0</v>
      </c>
      <c r="Q1215" s="85">
        <f t="shared" si="262"/>
        <v>830.5</v>
      </c>
      <c r="R1215" s="13">
        <f>R1216</f>
        <v>0</v>
      </c>
      <c r="S1215" s="85">
        <f t="shared" si="260"/>
        <v>830.5</v>
      </c>
      <c r="T1215" s="13">
        <f>T1216</f>
        <v>0</v>
      </c>
      <c r="U1215" s="85">
        <f t="shared" si="272"/>
        <v>830.5</v>
      </c>
    </row>
    <row r="1216" spans="1:21">
      <c r="A1216" s="61" t="str">
        <f ca="1">IF(ISERROR(MATCH(F1216,Код_КВР,0)),"",INDIRECT(ADDRESS(MATCH(F1216,Код_КВР,0)+1,2,,,"КВР")))</f>
        <v>Субсидии автономным учреждениям на иные цели</v>
      </c>
      <c r="B1216" s="145">
        <v>809</v>
      </c>
      <c r="C1216" s="41" t="s">
        <v>195</v>
      </c>
      <c r="D1216" s="8" t="s">
        <v>219</v>
      </c>
      <c r="E1216" s="145" t="s">
        <v>533</v>
      </c>
      <c r="F1216" s="145">
        <v>622</v>
      </c>
      <c r="G1216" s="69">
        <v>830.5</v>
      </c>
      <c r="H1216" s="69"/>
      <c r="I1216" s="69">
        <f t="shared" si="271"/>
        <v>830.5</v>
      </c>
      <c r="J1216" s="69"/>
      <c r="K1216" s="85">
        <f t="shared" si="266"/>
        <v>830.5</v>
      </c>
      <c r="L1216" s="13"/>
      <c r="M1216" s="85">
        <f t="shared" si="268"/>
        <v>830.5</v>
      </c>
      <c r="N1216" s="13"/>
      <c r="O1216" s="85">
        <f t="shared" si="269"/>
        <v>830.5</v>
      </c>
      <c r="P1216" s="13"/>
      <c r="Q1216" s="85">
        <f t="shared" si="262"/>
        <v>830.5</v>
      </c>
      <c r="R1216" s="13"/>
      <c r="S1216" s="85">
        <f t="shared" si="260"/>
        <v>830.5</v>
      </c>
      <c r="T1216" s="13"/>
      <c r="U1216" s="85">
        <f t="shared" si="272"/>
        <v>830.5</v>
      </c>
    </row>
    <row r="1217" spans="1:22" ht="33">
      <c r="A1217" s="61" t="str">
        <f ca="1">IF(ISERROR(MATCH(E1217,Код_КЦСР,0)),"",INDIRECT(ADDRESS(MATCH(E1217,Код_КЦСР,0)+1,2,,,"КЦСР")))</f>
        <v>Муниципальная программа «Развитие системы комплексной безопасности жизнедеятельности населения города» на 2014-2018 годы</v>
      </c>
      <c r="B1217" s="145">
        <v>809</v>
      </c>
      <c r="C1217" s="8" t="s">
        <v>195</v>
      </c>
      <c r="D1217" s="8" t="s">
        <v>219</v>
      </c>
      <c r="E1217" s="145" t="s">
        <v>79</v>
      </c>
      <c r="F1217" s="145"/>
      <c r="G1217" s="69">
        <f>G1218+G1224</f>
        <v>224</v>
      </c>
      <c r="H1217" s="69">
        <f>H1218+H1224</f>
        <v>0</v>
      </c>
      <c r="I1217" s="69">
        <f t="shared" si="271"/>
        <v>224</v>
      </c>
      <c r="J1217" s="69">
        <f>J1218+J1224</f>
        <v>0</v>
      </c>
      <c r="K1217" s="85">
        <f t="shared" si="266"/>
        <v>224</v>
      </c>
      <c r="L1217" s="13">
        <f>L1218+L1224</f>
        <v>0</v>
      </c>
      <c r="M1217" s="85">
        <f t="shared" si="268"/>
        <v>224</v>
      </c>
      <c r="N1217" s="13">
        <f>N1218+N1224</f>
        <v>0</v>
      </c>
      <c r="O1217" s="85">
        <f t="shared" si="269"/>
        <v>224</v>
      </c>
      <c r="P1217" s="13">
        <f>P1218+P1224</f>
        <v>0</v>
      </c>
      <c r="Q1217" s="85">
        <f t="shared" si="262"/>
        <v>224</v>
      </c>
      <c r="R1217" s="13">
        <f>R1218+R1224</f>
        <v>0</v>
      </c>
      <c r="S1217" s="85">
        <f t="shared" ref="S1217:S1280" si="273">Q1217+R1217</f>
        <v>224</v>
      </c>
      <c r="T1217" s="13">
        <f>T1218+T1224</f>
        <v>0</v>
      </c>
      <c r="U1217" s="85">
        <f t="shared" si="272"/>
        <v>224</v>
      </c>
    </row>
    <row r="1218" spans="1:22" ht="49.5">
      <c r="A1218" s="61" t="str">
        <f ca="1">IF(ISERROR(MATCH(E1218,Код_КЦСР,0)),"",INDIRECT(ADDRESS(MATCH(E1218,Код_КЦСР,0)+1,2,,,"КЦСР")))</f>
        <v>Установка, ремонт и обслуживание установок автоматической пожарной сигнализации и систем оповещения управления эвакуации людей при пожаре</v>
      </c>
      <c r="B1218" s="145">
        <v>809</v>
      </c>
      <c r="C1218" s="41" t="s">
        <v>195</v>
      </c>
      <c r="D1218" s="8" t="s">
        <v>219</v>
      </c>
      <c r="E1218" s="145" t="s">
        <v>83</v>
      </c>
      <c r="F1218" s="145"/>
      <c r="G1218" s="69">
        <f>G1219</f>
        <v>177</v>
      </c>
      <c r="H1218" s="69">
        <f>H1219</f>
        <v>0</v>
      </c>
      <c r="I1218" s="69">
        <f t="shared" si="271"/>
        <v>177</v>
      </c>
      <c r="J1218" s="69">
        <f>J1219</f>
        <v>0</v>
      </c>
      <c r="K1218" s="85">
        <f t="shared" si="266"/>
        <v>177</v>
      </c>
      <c r="L1218" s="13">
        <f>L1219</f>
        <v>0</v>
      </c>
      <c r="M1218" s="85">
        <f t="shared" si="268"/>
        <v>177</v>
      </c>
      <c r="N1218" s="13">
        <f>N1219</f>
        <v>0</v>
      </c>
      <c r="O1218" s="85">
        <f t="shared" si="269"/>
        <v>177</v>
      </c>
      <c r="P1218" s="13">
        <f>P1219</f>
        <v>0</v>
      </c>
      <c r="Q1218" s="85">
        <f t="shared" si="262"/>
        <v>177</v>
      </c>
      <c r="R1218" s="13">
        <f>R1219</f>
        <v>0</v>
      </c>
      <c r="S1218" s="85">
        <f t="shared" si="273"/>
        <v>177</v>
      </c>
      <c r="T1218" s="13">
        <f>T1219</f>
        <v>0</v>
      </c>
      <c r="U1218" s="85">
        <f t="shared" si="272"/>
        <v>177</v>
      </c>
    </row>
    <row r="1219" spans="1:22" ht="33">
      <c r="A1219" s="61" t="str">
        <f ca="1">IF(ISERROR(MATCH(F1219,Код_КВР,0)),"",INDIRECT(ADDRESS(MATCH(F1219,Код_КВР,0)+1,2,,,"КВР")))</f>
        <v>Предоставление субсидий бюджетным, автономным учреждениям и иным некоммерческим организациям</v>
      </c>
      <c r="B1219" s="145">
        <v>809</v>
      </c>
      <c r="C1219" s="41" t="s">
        <v>195</v>
      </c>
      <c r="D1219" s="8" t="s">
        <v>219</v>
      </c>
      <c r="E1219" s="145" t="s">
        <v>83</v>
      </c>
      <c r="F1219" s="145">
        <v>600</v>
      </c>
      <c r="G1219" s="69">
        <f>G1220+G1222</f>
        <v>177</v>
      </c>
      <c r="H1219" s="69">
        <f>H1220+H1222</f>
        <v>0</v>
      </c>
      <c r="I1219" s="69">
        <f t="shared" si="271"/>
        <v>177</v>
      </c>
      <c r="J1219" s="69">
        <f>J1220+J1222</f>
        <v>0</v>
      </c>
      <c r="K1219" s="85">
        <f t="shared" si="266"/>
        <v>177</v>
      </c>
      <c r="L1219" s="13">
        <f>L1220+L1222</f>
        <v>0</v>
      </c>
      <c r="M1219" s="85">
        <f t="shared" si="268"/>
        <v>177</v>
      </c>
      <c r="N1219" s="13">
        <f>N1220+N1222</f>
        <v>0</v>
      </c>
      <c r="O1219" s="85">
        <f t="shared" si="269"/>
        <v>177</v>
      </c>
      <c r="P1219" s="13">
        <f>P1220+P1222</f>
        <v>0</v>
      </c>
      <c r="Q1219" s="85">
        <f t="shared" si="262"/>
        <v>177</v>
      </c>
      <c r="R1219" s="13">
        <f>R1220+R1222</f>
        <v>0</v>
      </c>
      <c r="S1219" s="85">
        <f t="shared" si="273"/>
        <v>177</v>
      </c>
      <c r="T1219" s="13">
        <f>T1220+T1222</f>
        <v>0</v>
      </c>
      <c r="U1219" s="85">
        <f t="shared" si="272"/>
        <v>177</v>
      </c>
    </row>
    <row r="1220" spans="1:22">
      <c r="A1220" s="61" t="str">
        <f ca="1">IF(ISERROR(MATCH(F1220,Код_КВР,0)),"",INDIRECT(ADDRESS(MATCH(F1220,Код_КВР,0)+1,2,,,"КВР")))</f>
        <v>Субсидии бюджетным учреждениям</v>
      </c>
      <c r="B1220" s="145">
        <v>809</v>
      </c>
      <c r="C1220" s="41" t="s">
        <v>195</v>
      </c>
      <c r="D1220" s="8" t="s">
        <v>219</v>
      </c>
      <c r="E1220" s="145" t="s">
        <v>83</v>
      </c>
      <c r="F1220" s="145">
        <v>610</v>
      </c>
      <c r="G1220" s="69">
        <f>G1221</f>
        <v>177</v>
      </c>
      <c r="H1220" s="69">
        <f>H1221</f>
        <v>0</v>
      </c>
      <c r="I1220" s="69">
        <f t="shared" si="271"/>
        <v>177</v>
      </c>
      <c r="J1220" s="69">
        <f>J1221</f>
        <v>0</v>
      </c>
      <c r="K1220" s="85">
        <f t="shared" si="266"/>
        <v>177</v>
      </c>
      <c r="L1220" s="13">
        <f>L1221</f>
        <v>0</v>
      </c>
      <c r="M1220" s="85">
        <f t="shared" si="268"/>
        <v>177</v>
      </c>
      <c r="N1220" s="13">
        <f>N1221</f>
        <v>0</v>
      </c>
      <c r="O1220" s="85">
        <f t="shared" si="269"/>
        <v>177</v>
      </c>
      <c r="P1220" s="13">
        <f>P1221</f>
        <v>0</v>
      </c>
      <c r="Q1220" s="85">
        <f t="shared" si="262"/>
        <v>177</v>
      </c>
      <c r="R1220" s="13">
        <f>R1221</f>
        <v>0</v>
      </c>
      <c r="S1220" s="85">
        <f t="shared" si="273"/>
        <v>177</v>
      </c>
      <c r="T1220" s="13">
        <f>T1221</f>
        <v>0</v>
      </c>
      <c r="U1220" s="85">
        <f t="shared" si="272"/>
        <v>177</v>
      </c>
    </row>
    <row r="1221" spans="1:22">
      <c r="A1221" s="61" t="str">
        <f ca="1">IF(ISERROR(MATCH(F1221,Код_КВР,0)),"",INDIRECT(ADDRESS(MATCH(F1221,Код_КВР,0)+1,2,,,"КВР")))</f>
        <v>Субсидии бюджетным учреждениям на иные цели</v>
      </c>
      <c r="B1221" s="145">
        <v>809</v>
      </c>
      <c r="C1221" s="41" t="s">
        <v>195</v>
      </c>
      <c r="D1221" s="8" t="s">
        <v>219</v>
      </c>
      <c r="E1221" s="145" t="s">
        <v>83</v>
      </c>
      <c r="F1221" s="145">
        <v>612</v>
      </c>
      <c r="G1221" s="69">
        <v>177</v>
      </c>
      <c r="H1221" s="69"/>
      <c r="I1221" s="69">
        <f t="shared" si="271"/>
        <v>177</v>
      </c>
      <c r="J1221" s="69"/>
      <c r="K1221" s="85">
        <f t="shared" si="266"/>
        <v>177</v>
      </c>
      <c r="L1221" s="13"/>
      <c r="M1221" s="85">
        <f t="shared" si="268"/>
        <v>177</v>
      </c>
      <c r="N1221" s="13"/>
      <c r="O1221" s="85">
        <f t="shared" si="269"/>
        <v>177</v>
      </c>
      <c r="P1221" s="13"/>
      <c r="Q1221" s="85">
        <f t="shared" si="262"/>
        <v>177</v>
      </c>
      <c r="R1221" s="13"/>
      <c r="S1221" s="85">
        <f t="shared" si="273"/>
        <v>177</v>
      </c>
      <c r="T1221" s="13"/>
      <c r="U1221" s="85">
        <f t="shared" si="272"/>
        <v>177</v>
      </c>
    </row>
    <row r="1222" spans="1:22" hidden="1">
      <c r="A1222" s="61" t="str">
        <f ca="1">IF(ISERROR(MATCH(F1222,Код_КВР,0)),"",INDIRECT(ADDRESS(MATCH(F1222,Код_КВР,0)+1,2,,,"КВР")))</f>
        <v>Субсидии автономным учреждениям</v>
      </c>
      <c r="B1222" s="145">
        <v>809</v>
      </c>
      <c r="C1222" s="41" t="s">
        <v>195</v>
      </c>
      <c r="D1222" s="8" t="s">
        <v>219</v>
      </c>
      <c r="E1222" s="145" t="s">
        <v>83</v>
      </c>
      <c r="F1222" s="145">
        <v>620</v>
      </c>
      <c r="G1222" s="69">
        <f>G1223</f>
        <v>0</v>
      </c>
      <c r="H1222" s="69">
        <f>H1223</f>
        <v>0</v>
      </c>
      <c r="I1222" s="69">
        <f t="shared" si="271"/>
        <v>0</v>
      </c>
      <c r="J1222" s="69">
        <f>J1223</f>
        <v>0</v>
      </c>
      <c r="K1222" s="85">
        <f t="shared" si="266"/>
        <v>0</v>
      </c>
      <c r="L1222" s="13">
        <f>L1223</f>
        <v>0</v>
      </c>
      <c r="M1222" s="85">
        <f t="shared" si="268"/>
        <v>0</v>
      </c>
      <c r="N1222" s="13">
        <f>N1223</f>
        <v>0</v>
      </c>
      <c r="O1222" s="85">
        <f t="shared" si="269"/>
        <v>0</v>
      </c>
      <c r="P1222" s="13">
        <f>P1223</f>
        <v>0</v>
      </c>
      <c r="Q1222" s="85">
        <f t="shared" si="262"/>
        <v>0</v>
      </c>
      <c r="R1222" s="13">
        <f>R1223</f>
        <v>0</v>
      </c>
      <c r="S1222" s="85">
        <f t="shared" si="273"/>
        <v>0</v>
      </c>
      <c r="T1222" s="13">
        <f>T1223</f>
        <v>0</v>
      </c>
      <c r="U1222" s="85">
        <f t="shared" si="272"/>
        <v>0</v>
      </c>
      <c r="V1222" s="155" t="s">
        <v>715</v>
      </c>
    </row>
    <row r="1223" spans="1:22" hidden="1">
      <c r="A1223" s="61" t="str">
        <f ca="1">IF(ISERROR(MATCH(F1223,Код_КВР,0)),"",INDIRECT(ADDRESS(MATCH(F1223,Код_КВР,0)+1,2,,,"КВР")))</f>
        <v>Субсидии автономным учреждениям на иные цели</v>
      </c>
      <c r="B1223" s="145">
        <v>809</v>
      </c>
      <c r="C1223" s="41" t="s">
        <v>195</v>
      </c>
      <c r="D1223" s="8" t="s">
        <v>219</v>
      </c>
      <c r="E1223" s="145" t="s">
        <v>83</v>
      </c>
      <c r="F1223" s="145">
        <v>622</v>
      </c>
      <c r="G1223" s="69"/>
      <c r="H1223" s="69"/>
      <c r="I1223" s="69">
        <f t="shared" si="271"/>
        <v>0</v>
      </c>
      <c r="J1223" s="69"/>
      <c r="K1223" s="85">
        <f t="shared" si="266"/>
        <v>0</v>
      </c>
      <c r="L1223" s="13"/>
      <c r="M1223" s="85">
        <f t="shared" si="268"/>
        <v>0</v>
      </c>
      <c r="N1223" s="13"/>
      <c r="O1223" s="85">
        <f t="shared" si="269"/>
        <v>0</v>
      </c>
      <c r="P1223" s="13"/>
      <c r="Q1223" s="85">
        <f t="shared" ref="Q1223:Q1286" si="274">O1223+P1223</f>
        <v>0</v>
      </c>
      <c r="R1223" s="13"/>
      <c r="S1223" s="85">
        <f t="shared" si="273"/>
        <v>0</v>
      </c>
      <c r="T1223" s="13"/>
      <c r="U1223" s="85">
        <f t="shared" si="272"/>
        <v>0</v>
      </c>
      <c r="V1223" s="155" t="s">
        <v>715</v>
      </c>
    </row>
    <row r="1224" spans="1:22">
      <c r="A1224" s="61" t="str">
        <f ca="1">IF(ISERROR(MATCH(E1224,Код_КЦСР,0)),"",INDIRECT(ADDRESS(MATCH(E1224,Код_КЦСР,0)+1,2,,,"КЦСР")))</f>
        <v>Ремонт и оборудование эвакуационных путей  зданий</v>
      </c>
      <c r="B1224" s="145">
        <v>809</v>
      </c>
      <c r="C1224" s="41" t="s">
        <v>195</v>
      </c>
      <c r="D1224" s="8" t="s">
        <v>219</v>
      </c>
      <c r="E1224" s="145" t="s">
        <v>87</v>
      </c>
      <c r="F1224" s="145"/>
      <c r="G1224" s="69">
        <f>G1225</f>
        <v>47</v>
      </c>
      <c r="H1224" s="69">
        <f>H1225</f>
        <v>0</v>
      </c>
      <c r="I1224" s="69">
        <f t="shared" si="271"/>
        <v>47</v>
      </c>
      <c r="J1224" s="69">
        <f>J1225</f>
        <v>0</v>
      </c>
      <c r="K1224" s="85">
        <f t="shared" si="266"/>
        <v>47</v>
      </c>
      <c r="L1224" s="13">
        <f>L1225</f>
        <v>0</v>
      </c>
      <c r="M1224" s="85">
        <f t="shared" si="268"/>
        <v>47</v>
      </c>
      <c r="N1224" s="13">
        <f>N1225</f>
        <v>0</v>
      </c>
      <c r="O1224" s="85">
        <f t="shared" si="269"/>
        <v>47</v>
      </c>
      <c r="P1224" s="13">
        <f>P1225</f>
        <v>0</v>
      </c>
      <c r="Q1224" s="85">
        <f t="shared" si="274"/>
        <v>47</v>
      </c>
      <c r="R1224" s="13">
        <f>R1225</f>
        <v>0</v>
      </c>
      <c r="S1224" s="85">
        <f t="shared" si="273"/>
        <v>47</v>
      </c>
      <c r="T1224" s="13">
        <f>T1225</f>
        <v>0</v>
      </c>
      <c r="U1224" s="85">
        <f t="shared" si="272"/>
        <v>47</v>
      </c>
    </row>
    <row r="1225" spans="1:22" ht="33">
      <c r="A1225" s="61" t="str">
        <f ca="1">IF(ISERROR(MATCH(F1225,Код_КВР,0)),"",INDIRECT(ADDRESS(MATCH(F1225,Код_КВР,0)+1,2,,,"КВР")))</f>
        <v>Предоставление субсидий бюджетным, автономным учреждениям и иным некоммерческим организациям</v>
      </c>
      <c r="B1225" s="145">
        <v>809</v>
      </c>
      <c r="C1225" s="41" t="s">
        <v>195</v>
      </c>
      <c r="D1225" s="8" t="s">
        <v>219</v>
      </c>
      <c r="E1225" s="145" t="s">
        <v>87</v>
      </c>
      <c r="F1225" s="145">
        <v>600</v>
      </c>
      <c r="G1225" s="69">
        <f>G1226+G1228</f>
        <v>47</v>
      </c>
      <c r="H1225" s="69">
        <f>H1226+H1228</f>
        <v>0</v>
      </c>
      <c r="I1225" s="69">
        <f t="shared" si="271"/>
        <v>47</v>
      </c>
      <c r="J1225" s="69">
        <f>J1226+J1228</f>
        <v>0</v>
      </c>
      <c r="K1225" s="85">
        <f t="shared" si="266"/>
        <v>47</v>
      </c>
      <c r="L1225" s="13">
        <f>L1226+L1228</f>
        <v>0</v>
      </c>
      <c r="M1225" s="85">
        <f t="shared" si="268"/>
        <v>47</v>
      </c>
      <c r="N1225" s="13">
        <f>N1226+N1228</f>
        <v>0</v>
      </c>
      <c r="O1225" s="85">
        <f t="shared" si="269"/>
        <v>47</v>
      </c>
      <c r="P1225" s="13">
        <f>P1226+P1228</f>
        <v>0</v>
      </c>
      <c r="Q1225" s="85">
        <f t="shared" si="274"/>
        <v>47</v>
      </c>
      <c r="R1225" s="13">
        <f>R1226+R1228</f>
        <v>0</v>
      </c>
      <c r="S1225" s="85">
        <f t="shared" si="273"/>
        <v>47</v>
      </c>
      <c r="T1225" s="13">
        <f>T1226+T1228</f>
        <v>0</v>
      </c>
      <c r="U1225" s="85">
        <f t="shared" si="272"/>
        <v>47</v>
      </c>
    </row>
    <row r="1226" spans="1:22">
      <c r="A1226" s="61" t="str">
        <f ca="1">IF(ISERROR(MATCH(F1226,Код_КВР,0)),"",INDIRECT(ADDRESS(MATCH(F1226,Код_КВР,0)+1,2,,,"КВР")))</f>
        <v>Субсидии бюджетным учреждениям</v>
      </c>
      <c r="B1226" s="145">
        <v>809</v>
      </c>
      <c r="C1226" s="41" t="s">
        <v>195</v>
      </c>
      <c r="D1226" s="8" t="s">
        <v>219</v>
      </c>
      <c r="E1226" s="145" t="s">
        <v>87</v>
      </c>
      <c r="F1226" s="145">
        <v>610</v>
      </c>
      <c r="G1226" s="69">
        <f>G1227</f>
        <v>47</v>
      </c>
      <c r="H1226" s="69">
        <f>H1227</f>
        <v>0</v>
      </c>
      <c r="I1226" s="69">
        <f t="shared" si="271"/>
        <v>47</v>
      </c>
      <c r="J1226" s="69">
        <f>J1227</f>
        <v>0</v>
      </c>
      <c r="K1226" s="85">
        <f t="shared" si="266"/>
        <v>47</v>
      </c>
      <c r="L1226" s="13">
        <f>L1227</f>
        <v>0</v>
      </c>
      <c r="M1226" s="85">
        <f t="shared" si="268"/>
        <v>47</v>
      </c>
      <c r="N1226" s="13">
        <f>N1227</f>
        <v>0</v>
      </c>
      <c r="O1226" s="85">
        <f t="shared" si="269"/>
        <v>47</v>
      </c>
      <c r="P1226" s="13">
        <f>P1227</f>
        <v>0</v>
      </c>
      <c r="Q1226" s="85">
        <f t="shared" si="274"/>
        <v>47</v>
      </c>
      <c r="R1226" s="13">
        <f>R1227</f>
        <v>0</v>
      </c>
      <c r="S1226" s="85">
        <f t="shared" si="273"/>
        <v>47</v>
      </c>
      <c r="T1226" s="13">
        <f>T1227</f>
        <v>0</v>
      </c>
      <c r="U1226" s="85">
        <f t="shared" si="272"/>
        <v>47</v>
      </c>
    </row>
    <row r="1227" spans="1:22">
      <c r="A1227" s="61" t="str">
        <f ca="1">IF(ISERROR(MATCH(F1227,Код_КВР,0)),"",INDIRECT(ADDRESS(MATCH(F1227,Код_КВР,0)+1,2,,,"КВР")))</f>
        <v>Субсидии бюджетным учреждениям на иные цели</v>
      </c>
      <c r="B1227" s="145">
        <v>809</v>
      </c>
      <c r="C1227" s="41" t="s">
        <v>195</v>
      </c>
      <c r="D1227" s="8" t="s">
        <v>219</v>
      </c>
      <c r="E1227" s="145" t="s">
        <v>87</v>
      </c>
      <c r="F1227" s="145">
        <v>612</v>
      </c>
      <c r="G1227" s="69">
        <v>47</v>
      </c>
      <c r="H1227" s="69"/>
      <c r="I1227" s="69">
        <f t="shared" si="271"/>
        <v>47</v>
      </c>
      <c r="J1227" s="69"/>
      <c r="K1227" s="85">
        <f t="shared" si="266"/>
        <v>47</v>
      </c>
      <c r="L1227" s="13"/>
      <c r="M1227" s="85">
        <f t="shared" si="268"/>
        <v>47</v>
      </c>
      <c r="N1227" s="13"/>
      <c r="O1227" s="85">
        <f t="shared" si="269"/>
        <v>47</v>
      </c>
      <c r="P1227" s="13"/>
      <c r="Q1227" s="85">
        <f t="shared" si="274"/>
        <v>47</v>
      </c>
      <c r="R1227" s="13"/>
      <c r="S1227" s="85">
        <f t="shared" si="273"/>
        <v>47</v>
      </c>
      <c r="T1227" s="13"/>
      <c r="U1227" s="85">
        <f t="shared" si="272"/>
        <v>47</v>
      </c>
    </row>
    <row r="1228" spans="1:22" s="163" customFormat="1" hidden="1">
      <c r="A1228" s="156" t="str">
        <f ca="1">IF(ISERROR(MATCH(F1228,Код_КВР,0)),"",INDIRECT(ADDRESS(MATCH(F1228,Код_КВР,0)+1,2,,,"КВР")))</f>
        <v>Субсидии автономным учреждениям</v>
      </c>
      <c r="B1228" s="157">
        <v>809</v>
      </c>
      <c r="C1228" s="158" t="s">
        <v>195</v>
      </c>
      <c r="D1228" s="159" t="s">
        <v>219</v>
      </c>
      <c r="E1228" s="157" t="s">
        <v>87</v>
      </c>
      <c r="F1228" s="157">
        <v>620</v>
      </c>
      <c r="G1228" s="160">
        <f>G1229</f>
        <v>0</v>
      </c>
      <c r="H1228" s="160">
        <f>H1229</f>
        <v>0</v>
      </c>
      <c r="I1228" s="160">
        <f t="shared" si="271"/>
        <v>0</v>
      </c>
      <c r="J1228" s="160">
        <f>J1229</f>
        <v>0</v>
      </c>
      <c r="K1228" s="161">
        <f t="shared" si="266"/>
        <v>0</v>
      </c>
      <c r="L1228" s="162">
        <f>L1229</f>
        <v>0</v>
      </c>
      <c r="M1228" s="161">
        <f t="shared" si="268"/>
        <v>0</v>
      </c>
      <c r="N1228" s="162">
        <f>N1229</f>
        <v>0</v>
      </c>
      <c r="O1228" s="161">
        <f t="shared" si="269"/>
        <v>0</v>
      </c>
      <c r="P1228" s="162">
        <f>P1229</f>
        <v>0</v>
      </c>
      <c r="Q1228" s="161">
        <f t="shared" si="274"/>
        <v>0</v>
      </c>
      <c r="R1228" s="162">
        <f>R1229</f>
        <v>0</v>
      </c>
      <c r="S1228" s="161">
        <f t="shared" si="273"/>
        <v>0</v>
      </c>
      <c r="T1228" s="162">
        <f>T1229</f>
        <v>0</v>
      </c>
      <c r="U1228" s="161">
        <f t="shared" si="272"/>
        <v>0</v>
      </c>
      <c r="V1228" s="155" t="s">
        <v>715</v>
      </c>
    </row>
    <row r="1229" spans="1:22" s="163" customFormat="1" hidden="1">
      <c r="A1229" s="156" t="str">
        <f ca="1">IF(ISERROR(MATCH(F1229,Код_КВР,0)),"",INDIRECT(ADDRESS(MATCH(F1229,Код_КВР,0)+1,2,,,"КВР")))</f>
        <v>Субсидии автономным учреждениям на иные цели</v>
      </c>
      <c r="B1229" s="157">
        <v>809</v>
      </c>
      <c r="C1229" s="158" t="s">
        <v>195</v>
      </c>
      <c r="D1229" s="159" t="s">
        <v>219</v>
      </c>
      <c r="E1229" s="157" t="s">
        <v>87</v>
      </c>
      <c r="F1229" s="157">
        <v>622</v>
      </c>
      <c r="G1229" s="160"/>
      <c r="H1229" s="160"/>
      <c r="I1229" s="160">
        <f t="shared" si="271"/>
        <v>0</v>
      </c>
      <c r="J1229" s="160"/>
      <c r="K1229" s="161">
        <f t="shared" si="266"/>
        <v>0</v>
      </c>
      <c r="L1229" s="162"/>
      <c r="M1229" s="161">
        <f t="shared" si="268"/>
        <v>0</v>
      </c>
      <c r="N1229" s="162"/>
      <c r="O1229" s="161">
        <f t="shared" si="269"/>
        <v>0</v>
      </c>
      <c r="P1229" s="162"/>
      <c r="Q1229" s="161">
        <f t="shared" si="274"/>
        <v>0</v>
      </c>
      <c r="R1229" s="162"/>
      <c r="S1229" s="161">
        <f t="shared" si="273"/>
        <v>0</v>
      </c>
      <c r="T1229" s="162"/>
      <c r="U1229" s="161">
        <f t="shared" si="272"/>
        <v>0</v>
      </c>
      <c r="V1229" s="155" t="s">
        <v>715</v>
      </c>
    </row>
    <row r="1230" spans="1:22">
      <c r="A1230" s="61" t="str">
        <f ca="1">IF(ISERROR(MATCH(C1230,Код_Раздел,0)),"",INDIRECT(ADDRESS(MATCH(C1230,Код_Раздел,0)+1,2,,,"Раздел")))</f>
        <v>Физическая культура и спорт</v>
      </c>
      <c r="B1230" s="145">
        <v>809</v>
      </c>
      <c r="C1230" s="8" t="s">
        <v>224</v>
      </c>
      <c r="D1230" s="8"/>
      <c r="E1230" s="145"/>
      <c r="F1230" s="145"/>
      <c r="G1230" s="69">
        <f>G1231+G1262+G1273</f>
        <v>215467.1</v>
      </c>
      <c r="H1230" s="69">
        <f>H1231+H1262+H1273</f>
        <v>-908.79999999999927</v>
      </c>
      <c r="I1230" s="69">
        <f t="shared" si="271"/>
        <v>214558.30000000002</v>
      </c>
      <c r="J1230" s="69">
        <f>J1231+J1262+J1273</f>
        <v>1509.9</v>
      </c>
      <c r="K1230" s="85">
        <f t="shared" si="266"/>
        <v>216068.2</v>
      </c>
      <c r="L1230" s="13">
        <f>L1231+L1262+L1273</f>
        <v>0</v>
      </c>
      <c r="M1230" s="85">
        <f t="shared" si="268"/>
        <v>216068.2</v>
      </c>
      <c r="N1230" s="13">
        <f>N1231+N1262+N1273</f>
        <v>0</v>
      </c>
      <c r="O1230" s="85">
        <f t="shared" si="269"/>
        <v>216068.2</v>
      </c>
      <c r="P1230" s="13">
        <f>P1231+P1262+P1273</f>
        <v>-3959.5</v>
      </c>
      <c r="Q1230" s="85">
        <f t="shared" si="274"/>
        <v>212108.7</v>
      </c>
      <c r="R1230" s="13">
        <f>R1231+R1262+R1273</f>
        <v>-9775</v>
      </c>
      <c r="S1230" s="85">
        <f t="shared" si="273"/>
        <v>202333.7</v>
      </c>
      <c r="T1230" s="13">
        <f>T1231+T1262+T1273</f>
        <v>0</v>
      </c>
      <c r="U1230" s="85">
        <f t="shared" si="272"/>
        <v>202333.7</v>
      </c>
    </row>
    <row r="1231" spans="1:22">
      <c r="A1231" s="12" t="s">
        <v>186</v>
      </c>
      <c r="B1231" s="145">
        <v>809</v>
      </c>
      <c r="C1231" s="8" t="s">
        <v>224</v>
      </c>
      <c r="D1231" s="8" t="s">
        <v>213</v>
      </c>
      <c r="E1231" s="145"/>
      <c r="F1231" s="145"/>
      <c r="G1231" s="69">
        <f>G1232+G1257</f>
        <v>205283.9</v>
      </c>
      <c r="H1231" s="69">
        <f>H1232+H1257</f>
        <v>-908.79999999999927</v>
      </c>
      <c r="I1231" s="69">
        <f t="shared" si="271"/>
        <v>204375.1</v>
      </c>
      <c r="J1231" s="69">
        <f>J1232+J1257</f>
        <v>-205</v>
      </c>
      <c r="K1231" s="85">
        <f t="shared" si="266"/>
        <v>204170.1</v>
      </c>
      <c r="L1231" s="13">
        <f>L1232+L1257</f>
        <v>0</v>
      </c>
      <c r="M1231" s="85">
        <f t="shared" si="268"/>
        <v>204170.1</v>
      </c>
      <c r="N1231" s="13">
        <f>N1232+N1257</f>
        <v>0</v>
      </c>
      <c r="O1231" s="85">
        <f t="shared" si="269"/>
        <v>204170.1</v>
      </c>
      <c r="P1231" s="13">
        <f>P1232+P1257</f>
        <v>-3959.5</v>
      </c>
      <c r="Q1231" s="85">
        <f t="shared" si="274"/>
        <v>200210.6</v>
      </c>
      <c r="R1231" s="13">
        <f>R1232+R1257</f>
        <v>-9775</v>
      </c>
      <c r="S1231" s="85">
        <f t="shared" si="273"/>
        <v>190435.6</v>
      </c>
      <c r="T1231" s="13">
        <f>T1232+T1257</f>
        <v>0</v>
      </c>
      <c r="U1231" s="85">
        <f t="shared" si="272"/>
        <v>190435.6</v>
      </c>
    </row>
    <row r="1232" spans="1:22" ht="33">
      <c r="A1232" s="61" t="str">
        <f ca="1">IF(ISERROR(MATCH(E1232,Код_КЦСР,0)),"",INDIRECT(ADDRESS(MATCH(E1232,Код_КЦСР,0)+1,2,,,"КЦСР")))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1232" s="145">
        <v>809</v>
      </c>
      <c r="C1232" s="8" t="s">
        <v>224</v>
      </c>
      <c r="D1232" s="8" t="s">
        <v>213</v>
      </c>
      <c r="E1232" s="145" t="s">
        <v>524</v>
      </c>
      <c r="F1232" s="145"/>
      <c r="G1232" s="69">
        <f>G1233+G1237+G1243+G1252</f>
        <v>205283.9</v>
      </c>
      <c r="H1232" s="69">
        <f>H1233+H1237+H1243+H1252</f>
        <v>-908.79999999999927</v>
      </c>
      <c r="I1232" s="69">
        <f t="shared" si="271"/>
        <v>204375.1</v>
      </c>
      <c r="J1232" s="69">
        <f>J1233+J1237+J1243+J1252</f>
        <v>-205</v>
      </c>
      <c r="K1232" s="85">
        <f t="shared" si="266"/>
        <v>204170.1</v>
      </c>
      <c r="L1232" s="13">
        <f>L1233+L1237+L1243+L1252</f>
        <v>0</v>
      </c>
      <c r="M1232" s="85">
        <f t="shared" si="268"/>
        <v>204170.1</v>
      </c>
      <c r="N1232" s="13">
        <f>N1233+N1237+N1243+N1252</f>
        <v>0</v>
      </c>
      <c r="O1232" s="85">
        <f t="shared" si="269"/>
        <v>204170.1</v>
      </c>
      <c r="P1232" s="13">
        <f>P1233+P1237+P1243+P1252</f>
        <v>-3959.5</v>
      </c>
      <c r="Q1232" s="85">
        <f t="shared" si="274"/>
        <v>200210.6</v>
      </c>
      <c r="R1232" s="13">
        <f>R1233+R1237+R1243+R1252</f>
        <v>-9775</v>
      </c>
      <c r="S1232" s="85">
        <f t="shared" si="273"/>
        <v>190435.6</v>
      </c>
      <c r="T1232" s="13">
        <f>T1233+T1237+T1243+T1252</f>
        <v>0</v>
      </c>
      <c r="U1232" s="85">
        <f t="shared" si="272"/>
        <v>190435.6</v>
      </c>
    </row>
    <row r="1233" spans="1:21">
      <c r="A1233" s="61" t="str">
        <f ca="1">IF(ISERROR(MATCH(E1233,Код_КЦСР,0)),"",INDIRECT(ADDRESS(MATCH(E1233,Код_КЦСР,0)+1,2,,,"КЦСР")))</f>
        <v>Обеспечение доступа к спортивным объектам</v>
      </c>
      <c r="B1233" s="145">
        <v>809</v>
      </c>
      <c r="C1233" s="8" t="s">
        <v>224</v>
      </c>
      <c r="D1233" s="8" t="s">
        <v>213</v>
      </c>
      <c r="E1233" s="145" t="s">
        <v>526</v>
      </c>
      <c r="F1233" s="145"/>
      <c r="G1233" s="69">
        <f t="shared" ref="G1233:T1235" si="275">G1234</f>
        <v>176820.9</v>
      </c>
      <c r="H1233" s="69">
        <f t="shared" si="275"/>
        <v>-10908.8</v>
      </c>
      <c r="I1233" s="69">
        <f t="shared" si="271"/>
        <v>165912.1</v>
      </c>
      <c r="J1233" s="69">
        <f t="shared" si="275"/>
        <v>0</v>
      </c>
      <c r="K1233" s="85">
        <f t="shared" si="266"/>
        <v>165912.1</v>
      </c>
      <c r="L1233" s="13">
        <f t="shared" si="275"/>
        <v>0</v>
      </c>
      <c r="M1233" s="85">
        <f t="shared" si="268"/>
        <v>165912.1</v>
      </c>
      <c r="N1233" s="13">
        <f t="shared" si="275"/>
        <v>0</v>
      </c>
      <c r="O1233" s="85">
        <f t="shared" si="269"/>
        <v>165912.1</v>
      </c>
      <c r="P1233" s="13">
        <f t="shared" si="275"/>
        <v>0</v>
      </c>
      <c r="Q1233" s="85">
        <f t="shared" si="274"/>
        <v>165912.1</v>
      </c>
      <c r="R1233" s="13">
        <f t="shared" si="275"/>
        <v>-29775</v>
      </c>
      <c r="S1233" s="85">
        <f t="shared" si="273"/>
        <v>136137.1</v>
      </c>
      <c r="T1233" s="13">
        <f t="shared" si="275"/>
        <v>0</v>
      </c>
      <c r="U1233" s="85">
        <f t="shared" si="272"/>
        <v>136137.1</v>
      </c>
    </row>
    <row r="1234" spans="1:21" ht="33">
      <c r="A1234" s="61" t="str">
        <f ca="1">IF(ISERROR(MATCH(F1234,Код_КВР,0)),"",INDIRECT(ADDRESS(MATCH(F1234,Код_КВР,0)+1,2,,,"КВР")))</f>
        <v>Предоставление субсидий бюджетным, автономным учреждениям и иным некоммерческим организациям</v>
      </c>
      <c r="B1234" s="145">
        <v>809</v>
      </c>
      <c r="C1234" s="41" t="s">
        <v>224</v>
      </c>
      <c r="D1234" s="8" t="s">
        <v>213</v>
      </c>
      <c r="E1234" s="145" t="s">
        <v>526</v>
      </c>
      <c r="F1234" s="145">
        <v>600</v>
      </c>
      <c r="G1234" s="69">
        <f t="shared" si="275"/>
        <v>176820.9</v>
      </c>
      <c r="H1234" s="69">
        <f t="shared" si="275"/>
        <v>-10908.8</v>
      </c>
      <c r="I1234" s="69">
        <f t="shared" si="271"/>
        <v>165912.1</v>
      </c>
      <c r="J1234" s="69">
        <f t="shared" si="275"/>
        <v>0</v>
      </c>
      <c r="K1234" s="85">
        <f t="shared" si="266"/>
        <v>165912.1</v>
      </c>
      <c r="L1234" s="13">
        <f t="shared" si="275"/>
        <v>0</v>
      </c>
      <c r="M1234" s="85">
        <f t="shared" si="268"/>
        <v>165912.1</v>
      </c>
      <c r="N1234" s="13">
        <f t="shared" si="275"/>
        <v>0</v>
      </c>
      <c r="O1234" s="85">
        <f t="shared" si="269"/>
        <v>165912.1</v>
      </c>
      <c r="P1234" s="13">
        <f t="shared" si="275"/>
        <v>0</v>
      </c>
      <c r="Q1234" s="85">
        <f t="shared" si="274"/>
        <v>165912.1</v>
      </c>
      <c r="R1234" s="13">
        <f t="shared" si="275"/>
        <v>-29775</v>
      </c>
      <c r="S1234" s="85">
        <f t="shared" si="273"/>
        <v>136137.1</v>
      </c>
      <c r="T1234" s="13">
        <f t="shared" si="275"/>
        <v>0</v>
      </c>
      <c r="U1234" s="85">
        <f t="shared" si="272"/>
        <v>136137.1</v>
      </c>
    </row>
    <row r="1235" spans="1:21">
      <c r="A1235" s="61" t="str">
        <f ca="1">IF(ISERROR(MATCH(F1235,Код_КВР,0)),"",INDIRECT(ADDRESS(MATCH(F1235,Код_КВР,0)+1,2,,,"КВР")))</f>
        <v>Субсидии автономным учреждениям</v>
      </c>
      <c r="B1235" s="145">
        <v>809</v>
      </c>
      <c r="C1235" s="41" t="s">
        <v>224</v>
      </c>
      <c r="D1235" s="8" t="s">
        <v>213</v>
      </c>
      <c r="E1235" s="145" t="s">
        <v>526</v>
      </c>
      <c r="F1235" s="145">
        <v>620</v>
      </c>
      <c r="G1235" s="69">
        <f t="shared" si="275"/>
        <v>176820.9</v>
      </c>
      <c r="H1235" s="69">
        <f t="shared" si="275"/>
        <v>-10908.8</v>
      </c>
      <c r="I1235" s="69">
        <f t="shared" si="271"/>
        <v>165912.1</v>
      </c>
      <c r="J1235" s="69">
        <f t="shared" si="275"/>
        <v>0</v>
      </c>
      <c r="K1235" s="85">
        <f t="shared" si="266"/>
        <v>165912.1</v>
      </c>
      <c r="L1235" s="13">
        <f t="shared" si="275"/>
        <v>0</v>
      </c>
      <c r="M1235" s="85">
        <f t="shared" si="268"/>
        <v>165912.1</v>
      </c>
      <c r="N1235" s="13">
        <f t="shared" si="275"/>
        <v>0</v>
      </c>
      <c r="O1235" s="85">
        <f t="shared" si="269"/>
        <v>165912.1</v>
      </c>
      <c r="P1235" s="13">
        <f t="shared" si="275"/>
        <v>0</v>
      </c>
      <c r="Q1235" s="85">
        <f t="shared" si="274"/>
        <v>165912.1</v>
      </c>
      <c r="R1235" s="13">
        <f t="shared" si="275"/>
        <v>-29775</v>
      </c>
      <c r="S1235" s="85">
        <f t="shared" si="273"/>
        <v>136137.1</v>
      </c>
      <c r="T1235" s="13">
        <f t="shared" si="275"/>
        <v>0</v>
      </c>
      <c r="U1235" s="85">
        <f t="shared" si="272"/>
        <v>136137.1</v>
      </c>
    </row>
    <row r="1236" spans="1:21" ht="49.5">
      <c r="A1236" s="61" t="str">
        <f ca="1">IF(ISERROR(MATCH(F1236,Код_КВР,0)),"",INDIRECT(ADDRESS(MATCH(F1236,Код_КВР,0)+1,2,,,"КВР")))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236" s="145">
        <v>809</v>
      </c>
      <c r="C1236" s="41" t="s">
        <v>224</v>
      </c>
      <c r="D1236" s="8" t="s">
        <v>213</v>
      </c>
      <c r="E1236" s="145" t="s">
        <v>526</v>
      </c>
      <c r="F1236" s="145">
        <v>621</v>
      </c>
      <c r="G1236" s="69">
        <v>176820.9</v>
      </c>
      <c r="H1236" s="69">
        <v>-10908.8</v>
      </c>
      <c r="I1236" s="69">
        <f t="shared" si="271"/>
        <v>165912.1</v>
      </c>
      <c r="J1236" s="69"/>
      <c r="K1236" s="85">
        <f t="shared" si="266"/>
        <v>165912.1</v>
      </c>
      <c r="L1236" s="13"/>
      <c r="M1236" s="85">
        <f t="shared" si="268"/>
        <v>165912.1</v>
      </c>
      <c r="N1236" s="13"/>
      <c r="O1236" s="85">
        <f t="shared" si="269"/>
        <v>165912.1</v>
      </c>
      <c r="P1236" s="13"/>
      <c r="Q1236" s="85">
        <f t="shared" si="274"/>
        <v>165912.1</v>
      </c>
      <c r="R1236" s="13">
        <v>-29775</v>
      </c>
      <c r="S1236" s="85">
        <f t="shared" si="273"/>
        <v>136137.1</v>
      </c>
      <c r="T1236" s="13"/>
      <c r="U1236" s="85">
        <f t="shared" si="272"/>
        <v>136137.1</v>
      </c>
    </row>
    <row r="1237" spans="1:21" ht="49.5">
      <c r="A1237" s="61" t="str">
        <f ca="1">IF(ISERROR(MATCH(E1237,Код_КЦСР,0)),"",INDIRECT(ADDRESS(MATCH(E1237,Код_КЦСР,0)+1,2,,,"КЦСР")))</f>
        <v>Обеспечение участия в физкультурных мероприятиях и спортивных мероприятиях различного уровня (регионального, всероссийского и международного)</v>
      </c>
      <c r="B1237" s="145">
        <v>809</v>
      </c>
      <c r="C1237" s="8" t="s">
        <v>224</v>
      </c>
      <c r="D1237" s="8" t="s">
        <v>213</v>
      </c>
      <c r="E1237" s="145" t="s">
        <v>528</v>
      </c>
      <c r="F1237" s="145"/>
      <c r="G1237" s="69">
        <f>G1238</f>
        <v>18569.3</v>
      </c>
      <c r="H1237" s="69">
        <f>H1238</f>
        <v>0</v>
      </c>
      <c r="I1237" s="69">
        <f t="shared" si="271"/>
        <v>18569.3</v>
      </c>
      <c r="J1237" s="69">
        <f>J1238</f>
        <v>0</v>
      </c>
      <c r="K1237" s="85">
        <f t="shared" si="266"/>
        <v>18569.3</v>
      </c>
      <c r="L1237" s="13">
        <f>L1238</f>
        <v>0</v>
      </c>
      <c r="M1237" s="85">
        <f t="shared" si="268"/>
        <v>18569.3</v>
      </c>
      <c r="N1237" s="13">
        <f>N1238</f>
        <v>0</v>
      </c>
      <c r="O1237" s="85">
        <f t="shared" si="269"/>
        <v>18569.3</v>
      </c>
      <c r="P1237" s="13">
        <f>P1238</f>
        <v>-3162</v>
      </c>
      <c r="Q1237" s="85">
        <f t="shared" si="274"/>
        <v>15407.3</v>
      </c>
      <c r="R1237" s="13">
        <f>R1238</f>
        <v>150</v>
      </c>
      <c r="S1237" s="85">
        <f t="shared" si="273"/>
        <v>15557.3</v>
      </c>
      <c r="T1237" s="13">
        <f>T1238</f>
        <v>0</v>
      </c>
      <c r="U1237" s="85">
        <f t="shared" si="272"/>
        <v>15557.3</v>
      </c>
    </row>
    <row r="1238" spans="1:21" ht="33">
      <c r="A1238" s="61" t="str">
        <f ca="1">IF(ISERROR(MATCH(F1238,Код_КВР,0)),"",INDIRECT(ADDRESS(MATCH(F1238,Код_КВР,0)+1,2,,,"КВР")))</f>
        <v>Предоставление субсидий бюджетным, автономным учреждениям и иным некоммерческим организациям</v>
      </c>
      <c r="B1238" s="145">
        <v>809</v>
      </c>
      <c r="C1238" s="8" t="s">
        <v>224</v>
      </c>
      <c r="D1238" s="8" t="s">
        <v>213</v>
      </c>
      <c r="E1238" s="145" t="s">
        <v>528</v>
      </c>
      <c r="F1238" s="145">
        <v>600</v>
      </c>
      <c r="G1238" s="69">
        <f>G1239+G1241</f>
        <v>18569.3</v>
      </c>
      <c r="H1238" s="69">
        <f>H1239+H1241</f>
        <v>0</v>
      </c>
      <c r="I1238" s="69">
        <f t="shared" si="271"/>
        <v>18569.3</v>
      </c>
      <c r="J1238" s="69">
        <f>J1239+J1241</f>
        <v>0</v>
      </c>
      <c r="K1238" s="85">
        <f t="shared" si="266"/>
        <v>18569.3</v>
      </c>
      <c r="L1238" s="13">
        <f>L1239+L1241</f>
        <v>0</v>
      </c>
      <c r="M1238" s="85">
        <f t="shared" si="268"/>
        <v>18569.3</v>
      </c>
      <c r="N1238" s="13">
        <f>N1239+N1241</f>
        <v>0</v>
      </c>
      <c r="O1238" s="85">
        <f t="shared" si="269"/>
        <v>18569.3</v>
      </c>
      <c r="P1238" s="13">
        <f>P1239+P1241</f>
        <v>-3162</v>
      </c>
      <c r="Q1238" s="85">
        <f t="shared" si="274"/>
        <v>15407.3</v>
      </c>
      <c r="R1238" s="13">
        <f>R1239+R1241</f>
        <v>150</v>
      </c>
      <c r="S1238" s="85">
        <f t="shared" si="273"/>
        <v>15557.3</v>
      </c>
      <c r="T1238" s="13">
        <f>T1239+T1241</f>
        <v>0</v>
      </c>
      <c r="U1238" s="85">
        <f t="shared" si="272"/>
        <v>15557.3</v>
      </c>
    </row>
    <row r="1239" spans="1:21">
      <c r="A1239" s="61" t="str">
        <f ca="1">IF(ISERROR(MATCH(F1239,Код_КВР,0)),"",INDIRECT(ADDRESS(MATCH(F1239,Код_КВР,0)+1,2,,,"КВР")))</f>
        <v>Субсидии бюджетным учреждениям</v>
      </c>
      <c r="B1239" s="145">
        <v>809</v>
      </c>
      <c r="C1239" s="8" t="s">
        <v>224</v>
      </c>
      <c r="D1239" s="8" t="s">
        <v>213</v>
      </c>
      <c r="E1239" s="145" t="s">
        <v>528</v>
      </c>
      <c r="F1239" s="145">
        <v>610</v>
      </c>
      <c r="G1239" s="69">
        <f>G1240</f>
        <v>15637.3</v>
      </c>
      <c r="H1239" s="69">
        <f>H1240</f>
        <v>0</v>
      </c>
      <c r="I1239" s="69">
        <f t="shared" si="271"/>
        <v>15637.3</v>
      </c>
      <c r="J1239" s="69">
        <f>J1240</f>
        <v>0</v>
      </c>
      <c r="K1239" s="85">
        <f t="shared" si="266"/>
        <v>15637.3</v>
      </c>
      <c r="L1239" s="13">
        <f>L1240</f>
        <v>0</v>
      </c>
      <c r="M1239" s="85">
        <f t="shared" si="268"/>
        <v>15637.3</v>
      </c>
      <c r="N1239" s="13">
        <f>N1240</f>
        <v>0</v>
      </c>
      <c r="O1239" s="85">
        <f t="shared" si="269"/>
        <v>15637.3</v>
      </c>
      <c r="P1239" s="13">
        <f>P1240</f>
        <v>-2986.3</v>
      </c>
      <c r="Q1239" s="85">
        <f t="shared" si="274"/>
        <v>12651</v>
      </c>
      <c r="R1239" s="13">
        <f>R1240</f>
        <v>-304.5</v>
      </c>
      <c r="S1239" s="85">
        <f t="shared" si="273"/>
        <v>12346.5</v>
      </c>
      <c r="T1239" s="13">
        <f>T1240</f>
        <v>-509.7</v>
      </c>
      <c r="U1239" s="85">
        <f t="shared" si="272"/>
        <v>11836.8</v>
      </c>
    </row>
    <row r="1240" spans="1:21" ht="49.5">
      <c r="A1240" s="61" t="str">
        <f ca="1">IF(ISERROR(MATCH(F1240,Код_КВР,0)),"",INDIRECT(ADDRESS(MATCH(F1240,Код_КВР,0)+1,2,,,"КВР")))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40" s="145">
        <v>809</v>
      </c>
      <c r="C1240" s="8" t="s">
        <v>224</v>
      </c>
      <c r="D1240" s="8" t="s">
        <v>213</v>
      </c>
      <c r="E1240" s="145" t="s">
        <v>528</v>
      </c>
      <c r="F1240" s="145">
        <v>611</v>
      </c>
      <c r="G1240" s="69">
        <v>15637.3</v>
      </c>
      <c r="H1240" s="69"/>
      <c r="I1240" s="69">
        <f t="shared" si="271"/>
        <v>15637.3</v>
      </c>
      <c r="J1240" s="69"/>
      <c r="K1240" s="85">
        <f t="shared" si="266"/>
        <v>15637.3</v>
      </c>
      <c r="L1240" s="13"/>
      <c r="M1240" s="85">
        <f t="shared" si="268"/>
        <v>15637.3</v>
      </c>
      <c r="N1240" s="13"/>
      <c r="O1240" s="85">
        <f t="shared" si="269"/>
        <v>15637.3</v>
      </c>
      <c r="P1240" s="13">
        <v>-2986.3</v>
      </c>
      <c r="Q1240" s="85">
        <f t="shared" si="274"/>
        <v>12651</v>
      </c>
      <c r="R1240" s="13">
        <v>-304.5</v>
      </c>
      <c r="S1240" s="85">
        <f t="shared" si="273"/>
        <v>12346.5</v>
      </c>
      <c r="T1240" s="13">
        <v>-509.7</v>
      </c>
      <c r="U1240" s="85">
        <f t="shared" si="272"/>
        <v>11836.8</v>
      </c>
    </row>
    <row r="1241" spans="1:21">
      <c r="A1241" s="61" t="str">
        <f ca="1">IF(ISERROR(MATCH(F1241,Код_КВР,0)),"",INDIRECT(ADDRESS(MATCH(F1241,Код_КВР,0)+1,2,,,"КВР")))</f>
        <v>Субсидии автономным учреждениям</v>
      </c>
      <c r="B1241" s="145">
        <v>809</v>
      </c>
      <c r="C1241" s="8" t="s">
        <v>224</v>
      </c>
      <c r="D1241" s="8" t="s">
        <v>213</v>
      </c>
      <c r="E1241" s="145" t="s">
        <v>528</v>
      </c>
      <c r="F1241" s="145">
        <v>620</v>
      </c>
      <c r="G1241" s="69">
        <f>G1242</f>
        <v>2932</v>
      </c>
      <c r="H1241" s="69">
        <f>H1242</f>
        <v>0</v>
      </c>
      <c r="I1241" s="69">
        <f t="shared" si="271"/>
        <v>2932</v>
      </c>
      <c r="J1241" s="69">
        <f>J1242</f>
        <v>0</v>
      </c>
      <c r="K1241" s="85">
        <f t="shared" si="266"/>
        <v>2932</v>
      </c>
      <c r="L1241" s="13">
        <f>L1242</f>
        <v>0</v>
      </c>
      <c r="M1241" s="85">
        <f t="shared" si="268"/>
        <v>2932</v>
      </c>
      <c r="N1241" s="13">
        <f>N1242</f>
        <v>0</v>
      </c>
      <c r="O1241" s="85">
        <f t="shared" si="269"/>
        <v>2932</v>
      </c>
      <c r="P1241" s="13">
        <f>P1242</f>
        <v>-175.7</v>
      </c>
      <c r="Q1241" s="85">
        <f t="shared" si="274"/>
        <v>2756.3</v>
      </c>
      <c r="R1241" s="13">
        <f>R1242</f>
        <v>454.5</v>
      </c>
      <c r="S1241" s="85">
        <f t="shared" si="273"/>
        <v>3210.8</v>
      </c>
      <c r="T1241" s="13">
        <f>T1242</f>
        <v>509.7</v>
      </c>
      <c r="U1241" s="85">
        <f t="shared" si="272"/>
        <v>3720.5</v>
      </c>
    </row>
    <row r="1242" spans="1:21" ht="49.5">
      <c r="A1242" s="61" t="str">
        <f ca="1">IF(ISERROR(MATCH(F1242,Код_КВР,0)),"",INDIRECT(ADDRESS(MATCH(F1242,Код_КВР,0)+1,2,,,"КВР")))</f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242" s="145">
        <v>809</v>
      </c>
      <c r="C1242" s="8" t="s">
        <v>224</v>
      </c>
      <c r="D1242" s="8" t="s">
        <v>213</v>
      </c>
      <c r="E1242" s="145" t="s">
        <v>528</v>
      </c>
      <c r="F1242" s="145">
        <v>621</v>
      </c>
      <c r="G1242" s="69">
        <v>2932</v>
      </c>
      <c r="H1242" s="69"/>
      <c r="I1242" s="69">
        <f t="shared" si="271"/>
        <v>2932</v>
      </c>
      <c r="J1242" s="69"/>
      <c r="K1242" s="85">
        <f t="shared" si="266"/>
        <v>2932</v>
      </c>
      <c r="L1242" s="13"/>
      <c r="M1242" s="85">
        <f t="shared" si="268"/>
        <v>2932</v>
      </c>
      <c r="N1242" s="13"/>
      <c r="O1242" s="85">
        <f t="shared" si="269"/>
        <v>2932</v>
      </c>
      <c r="P1242" s="13">
        <v>-175.7</v>
      </c>
      <c r="Q1242" s="85">
        <f t="shared" si="274"/>
        <v>2756.3</v>
      </c>
      <c r="R1242" s="13">
        <f>304.5+150</f>
        <v>454.5</v>
      </c>
      <c r="S1242" s="85">
        <f t="shared" si="273"/>
        <v>3210.8</v>
      </c>
      <c r="T1242" s="13">
        <v>509.7</v>
      </c>
      <c r="U1242" s="85">
        <f t="shared" si="272"/>
        <v>3720.5</v>
      </c>
    </row>
    <row r="1243" spans="1:21">
      <c r="A1243" s="61" t="str">
        <f ca="1">IF(ISERROR(MATCH(E1243,Код_КЦСР,0)),"",INDIRECT(ADDRESS(MATCH(E1243,Код_КЦСР,0)+1,2,,,"КЦСР")))</f>
        <v>Популяризация физической культуры и спорта</v>
      </c>
      <c r="B1243" s="145">
        <v>809</v>
      </c>
      <c r="C1243" s="8" t="s">
        <v>224</v>
      </c>
      <c r="D1243" s="8" t="s">
        <v>213</v>
      </c>
      <c r="E1243" s="145" t="s">
        <v>531</v>
      </c>
      <c r="F1243" s="145"/>
      <c r="G1243" s="69">
        <f>G1244+G1247</f>
        <v>4638.1000000000004</v>
      </c>
      <c r="H1243" s="69">
        <f>H1244+H1247</f>
        <v>0</v>
      </c>
      <c r="I1243" s="69">
        <f t="shared" si="271"/>
        <v>4638.1000000000004</v>
      </c>
      <c r="J1243" s="69">
        <f>J1244+J1247</f>
        <v>0</v>
      </c>
      <c r="K1243" s="85">
        <f t="shared" si="266"/>
        <v>4638.1000000000004</v>
      </c>
      <c r="L1243" s="13">
        <f>L1244+L1247</f>
        <v>0</v>
      </c>
      <c r="M1243" s="85">
        <f t="shared" si="268"/>
        <v>4638.1000000000004</v>
      </c>
      <c r="N1243" s="13">
        <f>N1244+N1247</f>
        <v>0</v>
      </c>
      <c r="O1243" s="85">
        <f t="shared" si="269"/>
        <v>4638.1000000000004</v>
      </c>
      <c r="P1243" s="13">
        <f>P1244+P1247</f>
        <v>-797.5</v>
      </c>
      <c r="Q1243" s="85">
        <f t="shared" si="274"/>
        <v>3840.6000000000004</v>
      </c>
      <c r="R1243" s="13">
        <f>R1244+R1247</f>
        <v>-149.99999999999994</v>
      </c>
      <c r="S1243" s="85">
        <f t="shared" si="273"/>
        <v>3690.6000000000004</v>
      </c>
      <c r="T1243" s="13">
        <f>T1244+T1247</f>
        <v>0</v>
      </c>
      <c r="U1243" s="85">
        <f t="shared" si="272"/>
        <v>3690.6000000000004</v>
      </c>
    </row>
    <row r="1244" spans="1:21">
      <c r="A1244" s="61" t="str">
        <f t="shared" ref="A1244:A1251" ca="1" si="276">IF(ISERROR(MATCH(F1244,Код_КВР,0)),"",INDIRECT(ADDRESS(MATCH(F1244,Код_КВР,0)+1,2,,,"КВР")))</f>
        <v>Закупка товаров, работ и услуг для муниципальных нужд</v>
      </c>
      <c r="B1244" s="145">
        <v>809</v>
      </c>
      <c r="C1244" s="8" t="s">
        <v>224</v>
      </c>
      <c r="D1244" s="8" t="s">
        <v>213</v>
      </c>
      <c r="E1244" s="145" t="s">
        <v>531</v>
      </c>
      <c r="F1244" s="145">
        <v>200</v>
      </c>
      <c r="G1244" s="69">
        <f>G1245</f>
        <v>622.79999999999995</v>
      </c>
      <c r="H1244" s="69">
        <f>H1245</f>
        <v>0</v>
      </c>
      <c r="I1244" s="69">
        <f t="shared" si="271"/>
        <v>622.79999999999995</v>
      </c>
      <c r="J1244" s="69">
        <f>J1245</f>
        <v>0</v>
      </c>
      <c r="K1244" s="85">
        <f t="shared" si="266"/>
        <v>622.79999999999995</v>
      </c>
      <c r="L1244" s="13">
        <f>L1245</f>
        <v>0</v>
      </c>
      <c r="M1244" s="85">
        <f t="shared" si="268"/>
        <v>622.79999999999995</v>
      </c>
      <c r="N1244" s="13">
        <f>N1245</f>
        <v>0</v>
      </c>
      <c r="O1244" s="85">
        <f t="shared" si="269"/>
        <v>622.79999999999995</v>
      </c>
      <c r="P1244" s="13">
        <f>P1245</f>
        <v>0</v>
      </c>
      <c r="Q1244" s="85">
        <f t="shared" si="274"/>
        <v>622.79999999999995</v>
      </c>
      <c r="R1244" s="13">
        <f>R1245</f>
        <v>-592.79999999999995</v>
      </c>
      <c r="S1244" s="85">
        <f t="shared" si="273"/>
        <v>30</v>
      </c>
      <c r="T1244" s="13">
        <f>T1245</f>
        <v>0</v>
      </c>
      <c r="U1244" s="85">
        <f t="shared" si="272"/>
        <v>30</v>
      </c>
    </row>
    <row r="1245" spans="1:21" ht="33">
      <c r="A1245" s="61" t="str">
        <f t="shared" ca="1" si="276"/>
        <v>Иные закупки товаров, работ и услуг для обеспечения муниципальных нужд</v>
      </c>
      <c r="B1245" s="145">
        <v>809</v>
      </c>
      <c r="C1245" s="8" t="s">
        <v>224</v>
      </c>
      <c r="D1245" s="8" t="s">
        <v>213</v>
      </c>
      <c r="E1245" s="145" t="s">
        <v>531</v>
      </c>
      <c r="F1245" s="145">
        <v>240</v>
      </c>
      <c r="G1245" s="69">
        <f>G1246</f>
        <v>622.79999999999995</v>
      </c>
      <c r="H1245" s="69">
        <f>H1246</f>
        <v>0</v>
      </c>
      <c r="I1245" s="69">
        <f t="shared" si="271"/>
        <v>622.79999999999995</v>
      </c>
      <c r="J1245" s="69">
        <f>J1246</f>
        <v>0</v>
      </c>
      <c r="K1245" s="85">
        <f t="shared" si="266"/>
        <v>622.79999999999995</v>
      </c>
      <c r="L1245" s="13">
        <f>L1246</f>
        <v>0</v>
      </c>
      <c r="M1245" s="85">
        <f t="shared" si="268"/>
        <v>622.79999999999995</v>
      </c>
      <c r="N1245" s="13">
        <f>N1246</f>
        <v>0</v>
      </c>
      <c r="O1245" s="85">
        <f t="shared" si="269"/>
        <v>622.79999999999995</v>
      </c>
      <c r="P1245" s="13">
        <f>P1246</f>
        <v>0</v>
      </c>
      <c r="Q1245" s="85">
        <f t="shared" si="274"/>
        <v>622.79999999999995</v>
      </c>
      <c r="R1245" s="13">
        <f>R1246</f>
        <v>-592.79999999999995</v>
      </c>
      <c r="S1245" s="85">
        <f t="shared" si="273"/>
        <v>30</v>
      </c>
      <c r="T1245" s="13">
        <f>T1246</f>
        <v>0</v>
      </c>
      <c r="U1245" s="85">
        <f t="shared" si="272"/>
        <v>30</v>
      </c>
    </row>
    <row r="1246" spans="1:21" ht="33">
      <c r="A1246" s="61" t="str">
        <f t="shared" ca="1" si="276"/>
        <v xml:space="preserve">Прочая закупка товаров, работ и услуг для обеспечения муниципальных нужд         </v>
      </c>
      <c r="B1246" s="145">
        <v>809</v>
      </c>
      <c r="C1246" s="8" t="s">
        <v>224</v>
      </c>
      <c r="D1246" s="8" t="s">
        <v>213</v>
      </c>
      <c r="E1246" s="145" t="s">
        <v>531</v>
      </c>
      <c r="F1246" s="145">
        <v>244</v>
      </c>
      <c r="G1246" s="69">
        <v>622.79999999999995</v>
      </c>
      <c r="H1246" s="69"/>
      <c r="I1246" s="69">
        <f t="shared" si="271"/>
        <v>622.79999999999995</v>
      </c>
      <c r="J1246" s="69"/>
      <c r="K1246" s="85">
        <f t="shared" si="266"/>
        <v>622.79999999999995</v>
      </c>
      <c r="L1246" s="13"/>
      <c r="M1246" s="85">
        <f t="shared" si="268"/>
        <v>622.79999999999995</v>
      </c>
      <c r="N1246" s="13"/>
      <c r="O1246" s="85">
        <f t="shared" si="269"/>
        <v>622.79999999999995</v>
      </c>
      <c r="P1246" s="13"/>
      <c r="Q1246" s="85">
        <f>O1246+P1246</f>
        <v>622.79999999999995</v>
      </c>
      <c r="R1246" s="13">
        <f>-353.9-88.4-150.5</f>
        <v>-592.79999999999995</v>
      </c>
      <c r="S1246" s="85">
        <f t="shared" si="273"/>
        <v>30</v>
      </c>
      <c r="T1246" s="13"/>
      <c r="U1246" s="85">
        <f t="shared" si="272"/>
        <v>30</v>
      </c>
    </row>
    <row r="1247" spans="1:21" ht="33">
      <c r="A1247" s="61" t="str">
        <f t="shared" ca="1" si="276"/>
        <v>Предоставление субсидий бюджетным, автономным учреждениям и иным некоммерческим организациям</v>
      </c>
      <c r="B1247" s="145">
        <v>809</v>
      </c>
      <c r="C1247" s="8" t="s">
        <v>224</v>
      </c>
      <c r="D1247" s="8" t="s">
        <v>213</v>
      </c>
      <c r="E1247" s="145" t="s">
        <v>531</v>
      </c>
      <c r="F1247" s="145">
        <v>600</v>
      </c>
      <c r="G1247" s="69">
        <f>G1248+G1250</f>
        <v>4015.3</v>
      </c>
      <c r="H1247" s="69">
        <f>H1248+H1250</f>
        <v>0</v>
      </c>
      <c r="I1247" s="69">
        <f t="shared" si="271"/>
        <v>4015.3</v>
      </c>
      <c r="J1247" s="69">
        <f>J1248+J1250</f>
        <v>0</v>
      </c>
      <c r="K1247" s="85">
        <f t="shared" si="266"/>
        <v>4015.3</v>
      </c>
      <c r="L1247" s="13">
        <f>L1248+L1250</f>
        <v>0</v>
      </c>
      <c r="M1247" s="85">
        <f t="shared" si="268"/>
        <v>4015.3</v>
      </c>
      <c r="N1247" s="13">
        <f>N1248+N1250</f>
        <v>0</v>
      </c>
      <c r="O1247" s="85">
        <f t="shared" si="269"/>
        <v>4015.3</v>
      </c>
      <c r="P1247" s="13">
        <f>P1248+P1250</f>
        <v>-797.5</v>
      </c>
      <c r="Q1247" s="85">
        <f t="shared" si="274"/>
        <v>3217.8</v>
      </c>
      <c r="R1247" s="13">
        <f>R1248+R1250</f>
        <v>442.8</v>
      </c>
      <c r="S1247" s="85">
        <f t="shared" si="273"/>
        <v>3660.6000000000004</v>
      </c>
      <c r="T1247" s="13">
        <f>T1248+T1250</f>
        <v>0</v>
      </c>
      <c r="U1247" s="85">
        <f t="shared" si="272"/>
        <v>3660.6000000000004</v>
      </c>
    </row>
    <row r="1248" spans="1:21">
      <c r="A1248" s="61" t="str">
        <f t="shared" ca="1" si="276"/>
        <v>Субсидии бюджетным учреждениям</v>
      </c>
      <c r="B1248" s="145">
        <v>809</v>
      </c>
      <c r="C1248" s="8" t="s">
        <v>224</v>
      </c>
      <c r="D1248" s="8" t="s">
        <v>213</v>
      </c>
      <c r="E1248" s="145" t="s">
        <v>531</v>
      </c>
      <c r="F1248" s="145">
        <v>610</v>
      </c>
      <c r="G1248" s="69">
        <f>G1249</f>
        <v>2939.9</v>
      </c>
      <c r="H1248" s="69">
        <f>H1249</f>
        <v>0</v>
      </c>
      <c r="I1248" s="69">
        <f t="shared" si="271"/>
        <v>2939.9</v>
      </c>
      <c r="J1248" s="69">
        <f>J1249</f>
        <v>0</v>
      </c>
      <c r="K1248" s="85">
        <f t="shared" si="266"/>
        <v>2939.9</v>
      </c>
      <c r="L1248" s="13">
        <f>L1249</f>
        <v>0</v>
      </c>
      <c r="M1248" s="85">
        <f t="shared" si="268"/>
        <v>2939.9</v>
      </c>
      <c r="N1248" s="13">
        <f>N1249</f>
        <v>0</v>
      </c>
      <c r="O1248" s="85">
        <f t="shared" si="269"/>
        <v>2939.9</v>
      </c>
      <c r="P1248" s="13">
        <f>P1249</f>
        <v>-794.5</v>
      </c>
      <c r="Q1248" s="85">
        <f t="shared" si="274"/>
        <v>2145.4</v>
      </c>
      <c r="R1248" s="13">
        <f>R1249</f>
        <v>-23</v>
      </c>
      <c r="S1248" s="85">
        <f t="shared" si="273"/>
        <v>2122.4</v>
      </c>
      <c r="T1248" s="13">
        <f>T1249</f>
        <v>0</v>
      </c>
      <c r="U1248" s="85">
        <f t="shared" si="272"/>
        <v>2122.4</v>
      </c>
    </row>
    <row r="1249" spans="1:22" ht="49.5">
      <c r="A1249" s="61" t="str">
        <f t="shared" ca="1" si="276"/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49" s="145">
        <v>809</v>
      </c>
      <c r="C1249" s="8" t="s">
        <v>224</v>
      </c>
      <c r="D1249" s="8" t="s">
        <v>213</v>
      </c>
      <c r="E1249" s="145" t="s">
        <v>531</v>
      </c>
      <c r="F1249" s="145">
        <v>611</v>
      </c>
      <c r="G1249" s="69">
        <v>2939.9</v>
      </c>
      <c r="H1249" s="69"/>
      <c r="I1249" s="69">
        <f t="shared" si="271"/>
        <v>2939.9</v>
      </c>
      <c r="J1249" s="69"/>
      <c r="K1249" s="85">
        <f t="shared" si="266"/>
        <v>2939.9</v>
      </c>
      <c r="L1249" s="13"/>
      <c r="M1249" s="85">
        <f t="shared" ref="M1249:M1319" si="277">K1249+L1249</f>
        <v>2939.9</v>
      </c>
      <c r="N1249" s="13"/>
      <c r="O1249" s="85">
        <f t="shared" ref="O1249:O1319" si="278">M1249+N1249</f>
        <v>2939.9</v>
      </c>
      <c r="P1249" s="13">
        <v>-794.5</v>
      </c>
      <c r="Q1249" s="85">
        <f t="shared" si="274"/>
        <v>2145.4</v>
      </c>
      <c r="R1249" s="13">
        <f>-23</f>
        <v>-23</v>
      </c>
      <c r="S1249" s="85">
        <f t="shared" si="273"/>
        <v>2122.4</v>
      </c>
      <c r="T1249" s="13"/>
      <c r="U1249" s="85">
        <f t="shared" si="272"/>
        <v>2122.4</v>
      </c>
    </row>
    <row r="1250" spans="1:22">
      <c r="A1250" s="61" t="str">
        <f t="shared" ca="1" si="276"/>
        <v>Субсидии автономным учреждениям</v>
      </c>
      <c r="B1250" s="145">
        <v>809</v>
      </c>
      <c r="C1250" s="8" t="s">
        <v>224</v>
      </c>
      <c r="D1250" s="8" t="s">
        <v>213</v>
      </c>
      <c r="E1250" s="145" t="s">
        <v>531</v>
      </c>
      <c r="F1250" s="145">
        <v>620</v>
      </c>
      <c r="G1250" s="69">
        <f>G1251</f>
        <v>1075.4000000000001</v>
      </c>
      <c r="H1250" s="69">
        <f>H1251</f>
        <v>0</v>
      </c>
      <c r="I1250" s="69">
        <f t="shared" si="271"/>
        <v>1075.4000000000001</v>
      </c>
      <c r="J1250" s="69">
        <f>J1251</f>
        <v>0</v>
      </c>
      <c r="K1250" s="85">
        <f t="shared" si="266"/>
        <v>1075.4000000000001</v>
      </c>
      <c r="L1250" s="13">
        <f>L1251</f>
        <v>0</v>
      </c>
      <c r="M1250" s="85">
        <f t="shared" si="277"/>
        <v>1075.4000000000001</v>
      </c>
      <c r="N1250" s="13">
        <f>N1251</f>
        <v>0</v>
      </c>
      <c r="O1250" s="85">
        <f t="shared" si="278"/>
        <v>1075.4000000000001</v>
      </c>
      <c r="P1250" s="13">
        <f>P1251</f>
        <v>-3</v>
      </c>
      <c r="Q1250" s="85">
        <f t="shared" si="274"/>
        <v>1072.4000000000001</v>
      </c>
      <c r="R1250" s="13">
        <f>R1251</f>
        <v>465.8</v>
      </c>
      <c r="S1250" s="85">
        <f t="shared" si="273"/>
        <v>1538.2</v>
      </c>
      <c r="T1250" s="13">
        <f>T1251</f>
        <v>0</v>
      </c>
      <c r="U1250" s="85">
        <f t="shared" si="272"/>
        <v>1538.2</v>
      </c>
    </row>
    <row r="1251" spans="1:22" ht="49.5">
      <c r="A1251" s="61" t="str">
        <f t="shared" ca="1" si="276"/>
        <v>Субсидии автономным учреждениям на финансовое обеспечение муниципального задания на оказание муниципальных услуг (выполнение работ)</v>
      </c>
      <c r="B1251" s="145">
        <v>809</v>
      </c>
      <c r="C1251" s="8" t="s">
        <v>224</v>
      </c>
      <c r="D1251" s="8" t="s">
        <v>213</v>
      </c>
      <c r="E1251" s="145" t="s">
        <v>531</v>
      </c>
      <c r="F1251" s="145">
        <v>621</v>
      </c>
      <c r="G1251" s="69">
        <v>1075.4000000000001</v>
      </c>
      <c r="H1251" s="69"/>
      <c r="I1251" s="69">
        <f t="shared" si="271"/>
        <v>1075.4000000000001</v>
      </c>
      <c r="J1251" s="69"/>
      <c r="K1251" s="85">
        <f t="shared" si="266"/>
        <v>1075.4000000000001</v>
      </c>
      <c r="L1251" s="13"/>
      <c r="M1251" s="85">
        <f t="shared" si="277"/>
        <v>1075.4000000000001</v>
      </c>
      <c r="N1251" s="13"/>
      <c r="O1251" s="85">
        <f t="shared" si="278"/>
        <v>1075.4000000000001</v>
      </c>
      <c r="P1251" s="13">
        <v>-3</v>
      </c>
      <c r="Q1251" s="85">
        <f t="shared" si="274"/>
        <v>1072.4000000000001</v>
      </c>
      <c r="R1251" s="13">
        <f>23+442.8</f>
        <v>465.8</v>
      </c>
      <c r="S1251" s="85">
        <f t="shared" si="273"/>
        <v>1538.2</v>
      </c>
      <c r="T1251" s="13"/>
      <c r="U1251" s="85">
        <f t="shared" si="272"/>
        <v>1538.2</v>
      </c>
    </row>
    <row r="1252" spans="1:22">
      <c r="A1252" s="61" t="str">
        <f ca="1">IF(ISERROR(MATCH(E1252,Код_КЦСР,0)),"",INDIRECT(ADDRESS(MATCH(E1252,Код_КЦСР,0)+1,2,,,"КЦСР")))</f>
        <v>Спортивный город</v>
      </c>
      <c r="B1252" s="145">
        <v>809</v>
      </c>
      <c r="C1252" s="8" t="s">
        <v>224</v>
      </c>
      <c r="D1252" s="8" t="s">
        <v>213</v>
      </c>
      <c r="E1252" s="145" t="s">
        <v>533</v>
      </c>
      <c r="F1252" s="145"/>
      <c r="G1252" s="69">
        <f>G1253</f>
        <v>5255.6</v>
      </c>
      <c r="H1252" s="69">
        <f>H1253</f>
        <v>10000</v>
      </c>
      <c r="I1252" s="69">
        <f t="shared" si="271"/>
        <v>15255.6</v>
      </c>
      <c r="J1252" s="69">
        <f>J1253</f>
        <v>-205</v>
      </c>
      <c r="K1252" s="85">
        <f t="shared" si="266"/>
        <v>15050.6</v>
      </c>
      <c r="L1252" s="13">
        <f>L1253</f>
        <v>0</v>
      </c>
      <c r="M1252" s="85">
        <f t="shared" si="277"/>
        <v>15050.6</v>
      </c>
      <c r="N1252" s="13">
        <f>N1253</f>
        <v>0</v>
      </c>
      <c r="O1252" s="85">
        <f t="shared" si="278"/>
        <v>15050.6</v>
      </c>
      <c r="P1252" s="13">
        <f>P1253</f>
        <v>0</v>
      </c>
      <c r="Q1252" s="85">
        <f t="shared" si="274"/>
        <v>15050.6</v>
      </c>
      <c r="R1252" s="13">
        <f>R1253</f>
        <v>20000</v>
      </c>
      <c r="S1252" s="85">
        <f t="shared" si="273"/>
        <v>35050.6</v>
      </c>
      <c r="T1252" s="13">
        <f>T1253</f>
        <v>0</v>
      </c>
      <c r="U1252" s="85">
        <f t="shared" si="272"/>
        <v>35050.6</v>
      </c>
    </row>
    <row r="1253" spans="1:22" ht="33">
      <c r="A1253" s="61" t="str">
        <f ca="1">IF(ISERROR(MATCH(F1253,Код_КВР,0)),"",INDIRECT(ADDRESS(MATCH(F1253,Код_КВР,0)+1,2,,,"КВР")))</f>
        <v>Предоставление субсидий бюджетным, автономным учреждениям и иным некоммерческим организациям</v>
      </c>
      <c r="B1253" s="145">
        <v>809</v>
      </c>
      <c r="C1253" s="8" t="s">
        <v>224</v>
      </c>
      <c r="D1253" s="8" t="s">
        <v>213</v>
      </c>
      <c r="E1253" s="145" t="s">
        <v>533</v>
      </c>
      <c r="F1253" s="145">
        <v>600</v>
      </c>
      <c r="G1253" s="69">
        <f>G1254+G1256</f>
        <v>5255.6</v>
      </c>
      <c r="H1253" s="69">
        <f>H1254+H1256</f>
        <v>10000</v>
      </c>
      <c r="I1253" s="69">
        <f t="shared" si="271"/>
        <v>15255.6</v>
      </c>
      <c r="J1253" s="69">
        <f>J1254+J1256</f>
        <v>-205</v>
      </c>
      <c r="K1253" s="85">
        <f t="shared" ref="K1253:K1334" si="279">I1253+J1253</f>
        <v>15050.6</v>
      </c>
      <c r="L1253" s="13">
        <f>L1254+L1256</f>
        <v>0</v>
      </c>
      <c r="M1253" s="85">
        <f t="shared" si="277"/>
        <v>15050.6</v>
      </c>
      <c r="N1253" s="13">
        <f>N1254+N1256</f>
        <v>0</v>
      </c>
      <c r="O1253" s="85">
        <f t="shared" si="278"/>
        <v>15050.6</v>
      </c>
      <c r="P1253" s="13">
        <f>P1254+P1256</f>
        <v>0</v>
      </c>
      <c r="Q1253" s="85">
        <f t="shared" si="274"/>
        <v>15050.6</v>
      </c>
      <c r="R1253" s="13">
        <f>R1254+R1256</f>
        <v>20000</v>
      </c>
      <c r="S1253" s="85">
        <f t="shared" si="273"/>
        <v>35050.6</v>
      </c>
      <c r="T1253" s="13">
        <f>T1254+T1256</f>
        <v>0</v>
      </c>
      <c r="U1253" s="85">
        <f t="shared" si="272"/>
        <v>35050.6</v>
      </c>
    </row>
    <row r="1254" spans="1:22">
      <c r="A1254" s="61" t="str">
        <f ca="1">IF(ISERROR(MATCH(F1254,Код_КВР,0)),"",INDIRECT(ADDRESS(MATCH(F1254,Код_КВР,0)+1,2,,,"КВР")))</f>
        <v>Субсидии автономным учреждениям</v>
      </c>
      <c r="B1254" s="145">
        <v>809</v>
      </c>
      <c r="C1254" s="8" t="s">
        <v>224</v>
      </c>
      <c r="D1254" s="8" t="s">
        <v>213</v>
      </c>
      <c r="E1254" s="145" t="s">
        <v>533</v>
      </c>
      <c r="F1254" s="145">
        <v>620</v>
      </c>
      <c r="G1254" s="69">
        <f>G1255</f>
        <v>5005.6000000000004</v>
      </c>
      <c r="H1254" s="69">
        <f>H1255</f>
        <v>0</v>
      </c>
      <c r="I1254" s="69">
        <f t="shared" si="271"/>
        <v>5005.6000000000004</v>
      </c>
      <c r="J1254" s="69">
        <f>J1255</f>
        <v>-255</v>
      </c>
      <c r="K1254" s="85">
        <f t="shared" si="279"/>
        <v>4750.6000000000004</v>
      </c>
      <c r="L1254" s="13">
        <f>L1255</f>
        <v>0</v>
      </c>
      <c r="M1254" s="85">
        <f t="shared" si="277"/>
        <v>4750.6000000000004</v>
      </c>
      <c r="N1254" s="13">
        <f>N1255</f>
        <v>0</v>
      </c>
      <c r="O1254" s="85">
        <f t="shared" si="278"/>
        <v>4750.6000000000004</v>
      </c>
      <c r="P1254" s="13">
        <f>P1255</f>
        <v>0</v>
      </c>
      <c r="Q1254" s="85">
        <f t="shared" si="274"/>
        <v>4750.6000000000004</v>
      </c>
      <c r="R1254" s="13">
        <f>R1255</f>
        <v>0</v>
      </c>
      <c r="S1254" s="85">
        <f t="shared" si="273"/>
        <v>4750.6000000000004</v>
      </c>
      <c r="T1254" s="13">
        <f>T1255</f>
        <v>0</v>
      </c>
      <c r="U1254" s="85">
        <f t="shared" si="272"/>
        <v>4750.6000000000004</v>
      </c>
    </row>
    <row r="1255" spans="1:22">
      <c r="A1255" s="61" t="str">
        <f ca="1">IF(ISERROR(MATCH(F1255,Код_КВР,0)),"",INDIRECT(ADDRESS(MATCH(F1255,Код_КВР,0)+1,2,,,"КВР")))</f>
        <v>Субсидии автономным учреждениям на иные цели</v>
      </c>
      <c r="B1255" s="145">
        <v>809</v>
      </c>
      <c r="C1255" s="8" t="s">
        <v>224</v>
      </c>
      <c r="D1255" s="8" t="s">
        <v>213</v>
      </c>
      <c r="E1255" s="145" t="s">
        <v>533</v>
      </c>
      <c r="F1255" s="145">
        <v>622</v>
      </c>
      <c r="G1255" s="69">
        <v>5005.6000000000004</v>
      </c>
      <c r="H1255" s="69"/>
      <c r="I1255" s="69">
        <f t="shared" si="271"/>
        <v>5005.6000000000004</v>
      </c>
      <c r="J1255" s="69">
        <v>-255</v>
      </c>
      <c r="K1255" s="85">
        <f t="shared" si="279"/>
        <v>4750.6000000000004</v>
      </c>
      <c r="L1255" s="13"/>
      <c r="M1255" s="85">
        <f t="shared" si="277"/>
        <v>4750.6000000000004</v>
      </c>
      <c r="N1255" s="13"/>
      <c r="O1255" s="85">
        <f t="shared" si="278"/>
        <v>4750.6000000000004</v>
      </c>
      <c r="P1255" s="13"/>
      <c r="Q1255" s="85">
        <f t="shared" si="274"/>
        <v>4750.6000000000004</v>
      </c>
      <c r="R1255" s="13"/>
      <c r="S1255" s="85">
        <f t="shared" si="273"/>
        <v>4750.6000000000004</v>
      </c>
      <c r="T1255" s="13"/>
      <c r="U1255" s="85">
        <f t="shared" si="272"/>
        <v>4750.6000000000004</v>
      </c>
    </row>
    <row r="1256" spans="1:22" ht="33">
      <c r="A1256" s="61" t="str">
        <f ca="1">IF(ISERROR(MATCH(F1256,Код_КВР,0)),"",INDIRECT(ADDRESS(MATCH(F1256,Код_КВР,0)+1,2,,,"КВР")))</f>
        <v>Субсидии некоммерческим организациям (за исключением государственных (муниципальных) учреждений)</v>
      </c>
      <c r="B1256" s="145">
        <v>809</v>
      </c>
      <c r="C1256" s="8" t="s">
        <v>224</v>
      </c>
      <c r="D1256" s="8" t="s">
        <v>213</v>
      </c>
      <c r="E1256" s="145" t="s">
        <v>533</v>
      </c>
      <c r="F1256" s="145">
        <v>630</v>
      </c>
      <c r="G1256" s="69">
        <v>250</v>
      </c>
      <c r="H1256" s="69">
        <v>10000</v>
      </c>
      <c r="I1256" s="69">
        <f t="shared" si="271"/>
        <v>10250</v>
      </c>
      <c r="J1256" s="69">
        <v>50</v>
      </c>
      <c r="K1256" s="85">
        <f t="shared" si="279"/>
        <v>10300</v>
      </c>
      <c r="L1256" s="13"/>
      <c r="M1256" s="85">
        <f t="shared" si="277"/>
        <v>10300</v>
      </c>
      <c r="N1256" s="13"/>
      <c r="O1256" s="85">
        <f t="shared" si="278"/>
        <v>10300</v>
      </c>
      <c r="P1256" s="13"/>
      <c r="Q1256" s="85">
        <f t="shared" si="274"/>
        <v>10300</v>
      </c>
      <c r="R1256" s="13">
        <v>20000</v>
      </c>
      <c r="S1256" s="85">
        <f t="shared" si="273"/>
        <v>30300</v>
      </c>
      <c r="T1256" s="13"/>
      <c r="U1256" s="85">
        <f t="shared" si="272"/>
        <v>30300</v>
      </c>
    </row>
    <row r="1257" spans="1:22" hidden="1">
      <c r="A1257" s="61" t="str">
        <f ca="1">IF(ISERROR(MATCH(E1257,Код_КЦСР,0)),"",INDIRECT(ADDRESS(MATCH(E1257,Код_КЦСР,0)+1,2,,,"КЦСР")))</f>
        <v>Муниципальная программа «Здоровый город» на 2014-2022 годы</v>
      </c>
      <c r="B1257" s="145">
        <v>809</v>
      </c>
      <c r="C1257" s="8" t="s">
        <v>224</v>
      </c>
      <c r="D1257" s="8" t="s">
        <v>213</v>
      </c>
      <c r="E1257" s="145" t="s">
        <v>570</v>
      </c>
      <c r="F1257" s="145"/>
      <c r="G1257" s="69">
        <f t="shared" ref="G1257:T1260" si="280">G1258</f>
        <v>0</v>
      </c>
      <c r="H1257" s="69">
        <f t="shared" si="280"/>
        <v>0</v>
      </c>
      <c r="I1257" s="69">
        <f t="shared" si="271"/>
        <v>0</v>
      </c>
      <c r="J1257" s="69">
        <f t="shared" si="280"/>
        <v>0</v>
      </c>
      <c r="K1257" s="85">
        <f t="shared" si="279"/>
        <v>0</v>
      </c>
      <c r="L1257" s="13">
        <f t="shared" si="280"/>
        <v>0</v>
      </c>
      <c r="M1257" s="85">
        <f t="shared" si="277"/>
        <v>0</v>
      </c>
      <c r="N1257" s="13">
        <f t="shared" si="280"/>
        <v>0</v>
      </c>
      <c r="O1257" s="85">
        <f t="shared" si="278"/>
        <v>0</v>
      </c>
      <c r="P1257" s="13">
        <f t="shared" si="280"/>
        <v>0</v>
      </c>
      <c r="Q1257" s="85">
        <f t="shared" si="274"/>
        <v>0</v>
      </c>
      <c r="R1257" s="13">
        <f t="shared" si="280"/>
        <v>0</v>
      </c>
      <c r="S1257" s="85">
        <f t="shared" si="273"/>
        <v>0</v>
      </c>
      <c r="T1257" s="13">
        <f t="shared" si="280"/>
        <v>0</v>
      </c>
      <c r="U1257" s="85">
        <f t="shared" si="272"/>
        <v>0</v>
      </c>
      <c r="V1257" s="155" t="s">
        <v>715</v>
      </c>
    </row>
    <row r="1258" spans="1:22" hidden="1">
      <c r="A1258" s="61" t="str">
        <f ca="1">IF(ISERROR(MATCH(E1258,Код_КЦСР,0)),"",INDIRECT(ADDRESS(MATCH(E1258,Код_КЦСР,0)+1,2,,,"КЦСР")))</f>
        <v>Сохранение и укрепление здоровья детей и подростков</v>
      </c>
      <c r="B1258" s="145">
        <v>809</v>
      </c>
      <c r="C1258" s="8" t="s">
        <v>224</v>
      </c>
      <c r="D1258" s="8" t="s">
        <v>213</v>
      </c>
      <c r="E1258" s="145" t="s">
        <v>573</v>
      </c>
      <c r="F1258" s="145"/>
      <c r="G1258" s="69">
        <f t="shared" si="280"/>
        <v>0</v>
      </c>
      <c r="H1258" s="69">
        <f t="shared" si="280"/>
        <v>0</v>
      </c>
      <c r="I1258" s="69">
        <f t="shared" si="271"/>
        <v>0</v>
      </c>
      <c r="J1258" s="69">
        <f t="shared" si="280"/>
        <v>0</v>
      </c>
      <c r="K1258" s="85">
        <f t="shared" si="279"/>
        <v>0</v>
      </c>
      <c r="L1258" s="13">
        <f t="shared" si="280"/>
        <v>0</v>
      </c>
      <c r="M1258" s="85">
        <f t="shared" si="277"/>
        <v>0</v>
      </c>
      <c r="N1258" s="13">
        <f t="shared" si="280"/>
        <v>0</v>
      </c>
      <c r="O1258" s="85">
        <f t="shared" si="278"/>
        <v>0</v>
      </c>
      <c r="P1258" s="13">
        <f t="shared" si="280"/>
        <v>0</v>
      </c>
      <c r="Q1258" s="85">
        <f t="shared" si="274"/>
        <v>0</v>
      </c>
      <c r="R1258" s="13">
        <f t="shared" si="280"/>
        <v>0</v>
      </c>
      <c r="S1258" s="85">
        <f t="shared" si="273"/>
        <v>0</v>
      </c>
      <c r="T1258" s="13">
        <f t="shared" si="280"/>
        <v>0</v>
      </c>
      <c r="U1258" s="85">
        <f t="shared" si="272"/>
        <v>0</v>
      </c>
      <c r="V1258" s="155" t="s">
        <v>715</v>
      </c>
    </row>
    <row r="1259" spans="1:22" ht="33" hidden="1">
      <c r="A1259" s="61" t="str">
        <f ca="1">IF(ISERROR(MATCH(F1259,Код_КВР,0)),"",INDIRECT(ADDRESS(MATCH(F1259,Код_КВР,0)+1,2,,,"КВР")))</f>
        <v>Предоставление субсидий бюджетным, автономным учреждениям и иным некоммерческим организациям</v>
      </c>
      <c r="B1259" s="145">
        <v>809</v>
      </c>
      <c r="C1259" s="8" t="s">
        <v>224</v>
      </c>
      <c r="D1259" s="8" t="s">
        <v>213</v>
      </c>
      <c r="E1259" s="145" t="s">
        <v>573</v>
      </c>
      <c r="F1259" s="145">
        <v>600</v>
      </c>
      <c r="G1259" s="69">
        <f t="shared" si="280"/>
        <v>0</v>
      </c>
      <c r="H1259" s="69">
        <f t="shared" si="280"/>
        <v>0</v>
      </c>
      <c r="I1259" s="69">
        <f t="shared" si="271"/>
        <v>0</v>
      </c>
      <c r="J1259" s="69">
        <f t="shared" si="280"/>
        <v>0</v>
      </c>
      <c r="K1259" s="85">
        <f t="shared" si="279"/>
        <v>0</v>
      </c>
      <c r="L1259" s="13">
        <f t="shared" si="280"/>
        <v>0</v>
      </c>
      <c r="M1259" s="85">
        <f t="shared" si="277"/>
        <v>0</v>
      </c>
      <c r="N1259" s="13">
        <f t="shared" si="280"/>
        <v>0</v>
      </c>
      <c r="O1259" s="85">
        <f t="shared" si="278"/>
        <v>0</v>
      </c>
      <c r="P1259" s="13">
        <f t="shared" si="280"/>
        <v>0</v>
      </c>
      <c r="Q1259" s="85">
        <f t="shared" si="274"/>
        <v>0</v>
      </c>
      <c r="R1259" s="13">
        <f t="shared" si="280"/>
        <v>0</v>
      </c>
      <c r="S1259" s="85">
        <f t="shared" si="273"/>
        <v>0</v>
      </c>
      <c r="T1259" s="13">
        <f t="shared" si="280"/>
        <v>0</v>
      </c>
      <c r="U1259" s="85">
        <f t="shared" si="272"/>
        <v>0</v>
      </c>
      <c r="V1259" s="155" t="s">
        <v>715</v>
      </c>
    </row>
    <row r="1260" spans="1:22" hidden="1">
      <c r="A1260" s="61" t="str">
        <f ca="1">IF(ISERROR(MATCH(F1260,Код_КВР,0)),"",INDIRECT(ADDRESS(MATCH(F1260,Код_КВР,0)+1,2,,,"КВР")))</f>
        <v>Субсидии автономным учреждениям</v>
      </c>
      <c r="B1260" s="145">
        <v>809</v>
      </c>
      <c r="C1260" s="8" t="s">
        <v>224</v>
      </c>
      <c r="D1260" s="8" t="s">
        <v>213</v>
      </c>
      <c r="E1260" s="145" t="s">
        <v>573</v>
      </c>
      <c r="F1260" s="145">
        <v>620</v>
      </c>
      <c r="G1260" s="69">
        <f t="shared" si="280"/>
        <v>0</v>
      </c>
      <c r="H1260" s="69">
        <f t="shared" si="280"/>
        <v>0</v>
      </c>
      <c r="I1260" s="69">
        <f t="shared" si="271"/>
        <v>0</v>
      </c>
      <c r="J1260" s="69">
        <f t="shared" si="280"/>
        <v>0</v>
      </c>
      <c r="K1260" s="85">
        <f t="shared" si="279"/>
        <v>0</v>
      </c>
      <c r="L1260" s="13">
        <f t="shared" si="280"/>
        <v>0</v>
      </c>
      <c r="M1260" s="85">
        <f t="shared" si="277"/>
        <v>0</v>
      </c>
      <c r="N1260" s="13">
        <f t="shared" si="280"/>
        <v>0</v>
      </c>
      <c r="O1260" s="85">
        <f t="shared" si="278"/>
        <v>0</v>
      </c>
      <c r="P1260" s="13">
        <f t="shared" si="280"/>
        <v>0</v>
      </c>
      <c r="Q1260" s="85">
        <f t="shared" si="274"/>
        <v>0</v>
      </c>
      <c r="R1260" s="13">
        <f t="shared" si="280"/>
        <v>0</v>
      </c>
      <c r="S1260" s="85">
        <f t="shared" si="273"/>
        <v>0</v>
      </c>
      <c r="T1260" s="13">
        <f t="shared" si="280"/>
        <v>0</v>
      </c>
      <c r="U1260" s="85">
        <f t="shared" si="272"/>
        <v>0</v>
      </c>
      <c r="V1260" s="155" t="s">
        <v>715</v>
      </c>
    </row>
    <row r="1261" spans="1:22" hidden="1">
      <c r="A1261" s="61" t="str">
        <f ca="1">IF(ISERROR(MATCH(F1261,Код_КВР,0)),"",INDIRECT(ADDRESS(MATCH(F1261,Код_КВР,0)+1,2,,,"КВР")))</f>
        <v>Субсидии автономным учреждениям на иные цели</v>
      </c>
      <c r="B1261" s="145">
        <v>809</v>
      </c>
      <c r="C1261" s="8" t="s">
        <v>224</v>
      </c>
      <c r="D1261" s="8" t="s">
        <v>213</v>
      </c>
      <c r="E1261" s="145" t="s">
        <v>573</v>
      </c>
      <c r="F1261" s="145">
        <v>622</v>
      </c>
      <c r="G1261" s="69"/>
      <c r="H1261" s="69"/>
      <c r="I1261" s="69">
        <f t="shared" si="271"/>
        <v>0</v>
      </c>
      <c r="J1261" s="69"/>
      <c r="K1261" s="85">
        <f t="shared" si="279"/>
        <v>0</v>
      </c>
      <c r="L1261" s="13"/>
      <c r="M1261" s="85">
        <f t="shared" si="277"/>
        <v>0</v>
      </c>
      <c r="N1261" s="13"/>
      <c r="O1261" s="85">
        <f t="shared" si="278"/>
        <v>0</v>
      </c>
      <c r="P1261" s="13"/>
      <c r="Q1261" s="85">
        <f t="shared" si="274"/>
        <v>0</v>
      </c>
      <c r="R1261" s="13"/>
      <c r="S1261" s="85">
        <f t="shared" si="273"/>
        <v>0</v>
      </c>
      <c r="T1261" s="13"/>
      <c r="U1261" s="85">
        <f t="shared" si="272"/>
        <v>0</v>
      </c>
      <c r="V1261" s="155" t="s">
        <v>715</v>
      </c>
    </row>
    <row r="1262" spans="1:22">
      <c r="A1262" s="12" t="s">
        <v>267</v>
      </c>
      <c r="B1262" s="145">
        <v>809</v>
      </c>
      <c r="C1262" s="8" t="s">
        <v>224</v>
      </c>
      <c r="D1262" s="8" t="s">
        <v>214</v>
      </c>
      <c r="E1262" s="145"/>
      <c r="F1262" s="145"/>
      <c r="G1262" s="69">
        <f t="shared" ref="G1262:T1266" si="281">G1263</f>
        <v>500</v>
      </c>
      <c r="H1262" s="69">
        <f t="shared" si="281"/>
        <v>0</v>
      </c>
      <c r="I1262" s="69">
        <f t="shared" si="271"/>
        <v>500</v>
      </c>
      <c r="J1262" s="69">
        <f>J1263+J1268</f>
        <v>1714.9</v>
      </c>
      <c r="K1262" s="85">
        <f t="shared" si="279"/>
        <v>2214.9</v>
      </c>
      <c r="L1262" s="13">
        <f>L1263+L1268</f>
        <v>0</v>
      </c>
      <c r="M1262" s="85">
        <f t="shared" si="277"/>
        <v>2214.9</v>
      </c>
      <c r="N1262" s="13">
        <f>N1263+N1268</f>
        <v>0</v>
      </c>
      <c r="O1262" s="85">
        <f t="shared" si="278"/>
        <v>2214.9</v>
      </c>
      <c r="P1262" s="13">
        <f>P1263+P1268</f>
        <v>0</v>
      </c>
      <c r="Q1262" s="85">
        <f t="shared" si="274"/>
        <v>2214.9</v>
      </c>
      <c r="R1262" s="13">
        <f>R1263+R1268</f>
        <v>0</v>
      </c>
      <c r="S1262" s="85">
        <f t="shared" si="273"/>
        <v>2214.9</v>
      </c>
      <c r="T1262" s="13">
        <f>T1263+T1268</f>
        <v>0</v>
      </c>
      <c r="U1262" s="85">
        <f t="shared" si="272"/>
        <v>2214.9</v>
      </c>
    </row>
    <row r="1263" spans="1:22" ht="33">
      <c r="A1263" s="61" t="str">
        <f ca="1">IF(ISERROR(MATCH(E1263,Код_КЦСР,0)),"",INDIRECT(ADDRESS(MATCH(E1263,Код_КЦСР,0)+1,2,,,"КЦСР")))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1263" s="145">
        <v>809</v>
      </c>
      <c r="C1263" s="8" t="s">
        <v>224</v>
      </c>
      <c r="D1263" s="8" t="s">
        <v>214</v>
      </c>
      <c r="E1263" s="145" t="s">
        <v>524</v>
      </c>
      <c r="F1263" s="145"/>
      <c r="G1263" s="69">
        <f t="shared" si="281"/>
        <v>500</v>
      </c>
      <c r="H1263" s="69">
        <f t="shared" si="281"/>
        <v>0</v>
      </c>
      <c r="I1263" s="69">
        <f t="shared" si="271"/>
        <v>500</v>
      </c>
      <c r="J1263" s="69">
        <f t="shared" si="281"/>
        <v>114.9</v>
      </c>
      <c r="K1263" s="85">
        <f t="shared" si="279"/>
        <v>614.9</v>
      </c>
      <c r="L1263" s="13">
        <f t="shared" si="281"/>
        <v>0</v>
      </c>
      <c r="M1263" s="85">
        <f t="shared" si="277"/>
        <v>614.9</v>
      </c>
      <c r="N1263" s="13">
        <f t="shared" si="281"/>
        <v>0</v>
      </c>
      <c r="O1263" s="85">
        <f t="shared" si="278"/>
        <v>614.9</v>
      </c>
      <c r="P1263" s="13">
        <f t="shared" si="281"/>
        <v>0</v>
      </c>
      <c r="Q1263" s="85">
        <f t="shared" si="274"/>
        <v>614.9</v>
      </c>
      <c r="R1263" s="13">
        <f t="shared" si="281"/>
        <v>0</v>
      </c>
      <c r="S1263" s="85">
        <f t="shared" si="273"/>
        <v>614.9</v>
      </c>
      <c r="T1263" s="13">
        <f t="shared" si="281"/>
        <v>0</v>
      </c>
      <c r="U1263" s="85">
        <f t="shared" si="272"/>
        <v>614.9</v>
      </c>
    </row>
    <row r="1264" spans="1:22">
      <c r="A1264" s="61" t="str">
        <f ca="1">IF(ISERROR(MATCH(E1264,Код_КЦСР,0)),"",INDIRECT(ADDRESS(MATCH(E1264,Код_КЦСР,0)+1,2,,,"КЦСР")))</f>
        <v>Спортивный город</v>
      </c>
      <c r="B1264" s="145">
        <v>809</v>
      </c>
      <c r="C1264" s="8" t="s">
        <v>224</v>
      </c>
      <c r="D1264" s="8" t="s">
        <v>214</v>
      </c>
      <c r="E1264" s="145" t="s">
        <v>533</v>
      </c>
      <c r="F1264" s="145"/>
      <c r="G1264" s="69">
        <f t="shared" si="281"/>
        <v>500</v>
      </c>
      <c r="H1264" s="69">
        <f t="shared" si="281"/>
        <v>0</v>
      </c>
      <c r="I1264" s="69">
        <f t="shared" si="271"/>
        <v>500</v>
      </c>
      <c r="J1264" s="69">
        <f t="shared" si="281"/>
        <v>114.9</v>
      </c>
      <c r="K1264" s="85">
        <f t="shared" si="279"/>
        <v>614.9</v>
      </c>
      <c r="L1264" s="13">
        <f t="shared" si="281"/>
        <v>0</v>
      </c>
      <c r="M1264" s="85">
        <f t="shared" si="277"/>
        <v>614.9</v>
      </c>
      <c r="N1264" s="13">
        <f t="shared" si="281"/>
        <v>0</v>
      </c>
      <c r="O1264" s="85">
        <f t="shared" si="278"/>
        <v>614.9</v>
      </c>
      <c r="P1264" s="13">
        <f t="shared" si="281"/>
        <v>0</v>
      </c>
      <c r="Q1264" s="85">
        <f t="shared" si="274"/>
        <v>614.9</v>
      </c>
      <c r="R1264" s="13">
        <f t="shared" si="281"/>
        <v>0</v>
      </c>
      <c r="S1264" s="85">
        <f t="shared" si="273"/>
        <v>614.9</v>
      </c>
      <c r="T1264" s="13">
        <f t="shared" si="281"/>
        <v>0</v>
      </c>
      <c r="U1264" s="85">
        <f t="shared" si="272"/>
        <v>614.9</v>
      </c>
    </row>
    <row r="1265" spans="1:21" ht="33">
      <c r="A1265" s="61" t="str">
        <f ca="1">IF(ISERROR(MATCH(F1265,Код_КВР,0)),"",INDIRECT(ADDRESS(MATCH(F1265,Код_КВР,0)+1,2,,,"КВР")))</f>
        <v>Предоставление субсидий бюджетным, автономным учреждениям и иным некоммерческим организациям</v>
      </c>
      <c r="B1265" s="145">
        <v>809</v>
      </c>
      <c r="C1265" s="8" t="s">
        <v>224</v>
      </c>
      <c r="D1265" s="8" t="s">
        <v>214</v>
      </c>
      <c r="E1265" s="145" t="s">
        <v>533</v>
      </c>
      <c r="F1265" s="145">
        <v>600</v>
      </c>
      <c r="G1265" s="69">
        <f t="shared" si="281"/>
        <v>500</v>
      </c>
      <c r="H1265" s="69">
        <f t="shared" si="281"/>
        <v>0</v>
      </c>
      <c r="I1265" s="69">
        <f t="shared" si="271"/>
        <v>500</v>
      </c>
      <c r="J1265" s="69">
        <f t="shared" si="281"/>
        <v>114.9</v>
      </c>
      <c r="K1265" s="85">
        <f t="shared" si="279"/>
        <v>614.9</v>
      </c>
      <c r="L1265" s="13">
        <f t="shared" si="281"/>
        <v>0</v>
      </c>
      <c r="M1265" s="85">
        <f t="shared" si="277"/>
        <v>614.9</v>
      </c>
      <c r="N1265" s="13">
        <f t="shared" si="281"/>
        <v>0</v>
      </c>
      <c r="O1265" s="85">
        <f t="shared" si="278"/>
        <v>614.9</v>
      </c>
      <c r="P1265" s="13">
        <f t="shared" si="281"/>
        <v>0</v>
      </c>
      <c r="Q1265" s="85">
        <f t="shared" si="274"/>
        <v>614.9</v>
      </c>
      <c r="R1265" s="13">
        <f t="shared" si="281"/>
        <v>0</v>
      </c>
      <c r="S1265" s="85">
        <f t="shared" si="273"/>
        <v>614.9</v>
      </c>
      <c r="T1265" s="13">
        <f t="shared" si="281"/>
        <v>0</v>
      </c>
      <c r="U1265" s="85">
        <f t="shared" si="272"/>
        <v>614.9</v>
      </c>
    </row>
    <row r="1266" spans="1:21">
      <c r="A1266" s="61" t="str">
        <f ca="1">IF(ISERROR(MATCH(F1266,Код_КВР,0)),"",INDIRECT(ADDRESS(MATCH(F1266,Код_КВР,0)+1,2,,,"КВР")))</f>
        <v>Субсидии автономным учреждениям</v>
      </c>
      <c r="B1266" s="145">
        <v>809</v>
      </c>
      <c r="C1266" s="8" t="s">
        <v>224</v>
      </c>
      <c r="D1266" s="8" t="s">
        <v>214</v>
      </c>
      <c r="E1266" s="145" t="s">
        <v>533</v>
      </c>
      <c r="F1266" s="145">
        <v>620</v>
      </c>
      <c r="G1266" s="69">
        <f t="shared" si="281"/>
        <v>500</v>
      </c>
      <c r="H1266" s="69">
        <f t="shared" si="281"/>
        <v>0</v>
      </c>
      <c r="I1266" s="69">
        <f t="shared" si="271"/>
        <v>500</v>
      </c>
      <c r="J1266" s="69">
        <f t="shared" si="281"/>
        <v>114.9</v>
      </c>
      <c r="K1266" s="85">
        <f t="shared" si="279"/>
        <v>614.9</v>
      </c>
      <c r="L1266" s="13">
        <f t="shared" si="281"/>
        <v>0</v>
      </c>
      <c r="M1266" s="85">
        <f t="shared" si="277"/>
        <v>614.9</v>
      </c>
      <c r="N1266" s="13">
        <f t="shared" si="281"/>
        <v>0</v>
      </c>
      <c r="O1266" s="85">
        <f t="shared" si="278"/>
        <v>614.9</v>
      </c>
      <c r="P1266" s="13">
        <f t="shared" si="281"/>
        <v>0</v>
      </c>
      <c r="Q1266" s="85">
        <f t="shared" si="274"/>
        <v>614.9</v>
      </c>
      <c r="R1266" s="13">
        <f t="shared" si="281"/>
        <v>0</v>
      </c>
      <c r="S1266" s="85">
        <f t="shared" si="273"/>
        <v>614.9</v>
      </c>
      <c r="T1266" s="13">
        <f t="shared" si="281"/>
        <v>0</v>
      </c>
      <c r="U1266" s="85">
        <f t="shared" si="272"/>
        <v>614.9</v>
      </c>
    </row>
    <row r="1267" spans="1:21">
      <c r="A1267" s="61" t="str">
        <f ca="1">IF(ISERROR(MATCH(F1267,Код_КВР,0)),"",INDIRECT(ADDRESS(MATCH(F1267,Код_КВР,0)+1,2,,,"КВР")))</f>
        <v>Субсидии автономным учреждениям на иные цели</v>
      </c>
      <c r="B1267" s="145">
        <v>809</v>
      </c>
      <c r="C1267" s="8" t="s">
        <v>224</v>
      </c>
      <c r="D1267" s="8" t="s">
        <v>214</v>
      </c>
      <c r="E1267" s="145" t="s">
        <v>533</v>
      </c>
      <c r="F1267" s="145">
        <v>622</v>
      </c>
      <c r="G1267" s="69">
        <v>500</v>
      </c>
      <c r="H1267" s="69"/>
      <c r="I1267" s="69">
        <f t="shared" si="271"/>
        <v>500</v>
      </c>
      <c r="J1267" s="69">
        <v>114.9</v>
      </c>
      <c r="K1267" s="85">
        <f t="shared" si="279"/>
        <v>614.9</v>
      </c>
      <c r="L1267" s="13"/>
      <c r="M1267" s="85">
        <f t="shared" si="277"/>
        <v>614.9</v>
      </c>
      <c r="N1267" s="13"/>
      <c r="O1267" s="85">
        <f t="shared" si="278"/>
        <v>614.9</v>
      </c>
      <c r="P1267" s="13"/>
      <c r="Q1267" s="85">
        <f t="shared" si="274"/>
        <v>614.9</v>
      </c>
      <c r="R1267" s="13"/>
      <c r="S1267" s="85">
        <f t="shared" si="273"/>
        <v>614.9</v>
      </c>
      <c r="T1267" s="13"/>
      <c r="U1267" s="85">
        <f t="shared" si="272"/>
        <v>614.9</v>
      </c>
    </row>
    <row r="1268" spans="1:21" ht="33">
      <c r="A1268" s="61" t="str">
        <f ca="1">IF(ISERROR(MATCH(E1268,Код_КЦСР,0)),"",INDIRECT(ADDRESS(MATCH(E1268,Код_КЦСР,0)+1,2,,,"КЦСР")))</f>
        <v>Непрограммные направления деятельности органов местного самоуправления</v>
      </c>
      <c r="B1268" s="145">
        <v>809</v>
      </c>
      <c r="C1268" s="8" t="s">
        <v>224</v>
      </c>
      <c r="D1268" s="8" t="s">
        <v>214</v>
      </c>
      <c r="E1268" s="145" t="s">
        <v>299</v>
      </c>
      <c r="F1268" s="145"/>
      <c r="G1268" s="69"/>
      <c r="H1268" s="69"/>
      <c r="I1268" s="69"/>
      <c r="J1268" s="69">
        <f>J1269</f>
        <v>1600</v>
      </c>
      <c r="K1268" s="85">
        <f t="shared" si="279"/>
        <v>1600</v>
      </c>
      <c r="L1268" s="13">
        <f>L1269</f>
        <v>0</v>
      </c>
      <c r="M1268" s="85">
        <f t="shared" si="277"/>
        <v>1600</v>
      </c>
      <c r="N1268" s="13">
        <f>N1269</f>
        <v>0</v>
      </c>
      <c r="O1268" s="85">
        <f t="shared" si="278"/>
        <v>1600</v>
      </c>
      <c r="P1268" s="13">
        <f>P1269</f>
        <v>0</v>
      </c>
      <c r="Q1268" s="85">
        <f t="shared" si="274"/>
        <v>1600</v>
      </c>
      <c r="R1268" s="13">
        <f>R1269</f>
        <v>0</v>
      </c>
      <c r="S1268" s="85">
        <f t="shared" si="273"/>
        <v>1600</v>
      </c>
      <c r="T1268" s="13">
        <f>T1269</f>
        <v>0</v>
      </c>
      <c r="U1268" s="85">
        <f t="shared" si="272"/>
        <v>1600</v>
      </c>
    </row>
    <row r="1269" spans="1:21">
      <c r="A1269" s="61" t="str">
        <f ca="1">IF(ISERROR(MATCH(E1269,Код_КЦСР,0)),"",INDIRECT(ADDRESS(MATCH(E1269,Код_КЦСР,0)+1,2,,,"КЦСР")))</f>
        <v>Расходы, не включенные в муниципальные программы города Череповца</v>
      </c>
      <c r="B1269" s="145">
        <v>809</v>
      </c>
      <c r="C1269" s="8" t="s">
        <v>224</v>
      </c>
      <c r="D1269" s="8" t="s">
        <v>214</v>
      </c>
      <c r="E1269" s="145" t="s">
        <v>301</v>
      </c>
      <c r="F1269" s="145"/>
      <c r="G1269" s="69"/>
      <c r="H1269" s="69"/>
      <c r="I1269" s="69"/>
      <c r="J1269" s="69">
        <f>J1270</f>
        <v>1600</v>
      </c>
      <c r="K1269" s="85">
        <f t="shared" si="279"/>
        <v>1600</v>
      </c>
      <c r="L1269" s="13">
        <f>L1270</f>
        <v>0</v>
      </c>
      <c r="M1269" s="85">
        <f t="shared" si="277"/>
        <v>1600</v>
      </c>
      <c r="N1269" s="13">
        <f>N1270</f>
        <v>0</v>
      </c>
      <c r="O1269" s="85">
        <f t="shared" si="278"/>
        <v>1600</v>
      </c>
      <c r="P1269" s="13">
        <f>P1270</f>
        <v>0</v>
      </c>
      <c r="Q1269" s="85">
        <f t="shared" si="274"/>
        <v>1600</v>
      </c>
      <c r="R1269" s="13">
        <f>R1270</f>
        <v>0</v>
      </c>
      <c r="S1269" s="85">
        <f t="shared" si="273"/>
        <v>1600</v>
      </c>
      <c r="T1269" s="13">
        <f>T1270</f>
        <v>0</v>
      </c>
      <c r="U1269" s="85">
        <f t="shared" si="272"/>
        <v>1600</v>
      </c>
    </row>
    <row r="1270" spans="1:21">
      <c r="A1270" s="61" t="str">
        <f ca="1">IF(ISERROR(MATCH(E1270,Код_КЦСР,0)),"",INDIRECT(ADDRESS(MATCH(E1270,Код_КЦСР,0)+1,2,,,"КЦСР")))</f>
        <v>Кредиторская задолженность, сложившаяся по итогам 2013 года</v>
      </c>
      <c r="B1270" s="145">
        <v>809</v>
      </c>
      <c r="C1270" s="8" t="s">
        <v>224</v>
      </c>
      <c r="D1270" s="8" t="s">
        <v>214</v>
      </c>
      <c r="E1270" s="145" t="s">
        <v>371</v>
      </c>
      <c r="F1270" s="145"/>
      <c r="G1270" s="69"/>
      <c r="H1270" s="69"/>
      <c r="I1270" s="69"/>
      <c r="J1270" s="69">
        <f>J1271</f>
        <v>1600</v>
      </c>
      <c r="K1270" s="85">
        <f t="shared" si="279"/>
        <v>1600</v>
      </c>
      <c r="L1270" s="13">
        <f>L1271</f>
        <v>0</v>
      </c>
      <c r="M1270" s="85">
        <f t="shared" si="277"/>
        <v>1600</v>
      </c>
      <c r="N1270" s="13">
        <f>N1271</f>
        <v>0</v>
      </c>
      <c r="O1270" s="85">
        <f t="shared" si="278"/>
        <v>1600</v>
      </c>
      <c r="P1270" s="13">
        <f>P1271</f>
        <v>0</v>
      </c>
      <c r="Q1270" s="85">
        <f t="shared" si="274"/>
        <v>1600</v>
      </c>
      <c r="R1270" s="13">
        <f>R1271</f>
        <v>0</v>
      </c>
      <c r="S1270" s="85">
        <f t="shared" si="273"/>
        <v>1600</v>
      </c>
      <c r="T1270" s="13">
        <f>T1271</f>
        <v>0</v>
      </c>
      <c r="U1270" s="85">
        <f t="shared" si="272"/>
        <v>1600</v>
      </c>
    </row>
    <row r="1271" spans="1:21">
      <c r="A1271" s="61" t="str">
        <f ca="1">IF(ISERROR(MATCH(F1271,Код_КВР,0)),"",INDIRECT(ADDRESS(MATCH(F1271,Код_КВР,0)+1,2,,,"КВР")))</f>
        <v>Иные бюджетные ассигнования</v>
      </c>
      <c r="B1271" s="145">
        <v>809</v>
      </c>
      <c r="C1271" s="8" t="s">
        <v>224</v>
      </c>
      <c r="D1271" s="8" t="s">
        <v>214</v>
      </c>
      <c r="E1271" s="145" t="s">
        <v>371</v>
      </c>
      <c r="F1271" s="145">
        <v>800</v>
      </c>
      <c r="G1271" s="69"/>
      <c r="H1271" s="69"/>
      <c r="I1271" s="69"/>
      <c r="J1271" s="69">
        <f>J1272</f>
        <v>1600</v>
      </c>
      <c r="K1271" s="85">
        <f t="shared" si="279"/>
        <v>1600</v>
      </c>
      <c r="L1271" s="13">
        <f>L1272</f>
        <v>0</v>
      </c>
      <c r="M1271" s="85">
        <f t="shared" si="277"/>
        <v>1600</v>
      </c>
      <c r="N1271" s="13">
        <f>N1272</f>
        <v>0</v>
      </c>
      <c r="O1271" s="85">
        <f t="shared" si="278"/>
        <v>1600</v>
      </c>
      <c r="P1271" s="13">
        <f>P1272</f>
        <v>0</v>
      </c>
      <c r="Q1271" s="85">
        <f t="shared" si="274"/>
        <v>1600</v>
      </c>
      <c r="R1271" s="13">
        <f>R1272</f>
        <v>0</v>
      </c>
      <c r="S1271" s="85">
        <f t="shared" si="273"/>
        <v>1600</v>
      </c>
      <c r="T1271" s="13">
        <f>T1272</f>
        <v>0</v>
      </c>
      <c r="U1271" s="85">
        <f t="shared" si="272"/>
        <v>1600</v>
      </c>
    </row>
    <row r="1272" spans="1:21" ht="33">
      <c r="A1272" s="61" t="str">
        <f ca="1">IF(ISERROR(MATCH(F1272,Код_КВР,0)),"",INDIRECT(ADDRESS(MATCH(F1272,Код_КВР,0)+1,2,,,"КВР")))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272" s="145">
        <v>809</v>
      </c>
      <c r="C1272" s="8" t="s">
        <v>224</v>
      </c>
      <c r="D1272" s="8" t="s">
        <v>214</v>
      </c>
      <c r="E1272" s="145" t="s">
        <v>371</v>
      </c>
      <c r="F1272" s="145">
        <v>810</v>
      </c>
      <c r="G1272" s="69"/>
      <c r="H1272" s="69"/>
      <c r="I1272" s="69"/>
      <c r="J1272" s="69">
        <v>1600</v>
      </c>
      <c r="K1272" s="85">
        <f t="shared" si="279"/>
        <v>1600</v>
      </c>
      <c r="L1272" s="13"/>
      <c r="M1272" s="85">
        <f t="shared" si="277"/>
        <v>1600</v>
      </c>
      <c r="N1272" s="13"/>
      <c r="O1272" s="85">
        <f t="shared" si="278"/>
        <v>1600</v>
      </c>
      <c r="P1272" s="13"/>
      <c r="Q1272" s="85">
        <f t="shared" si="274"/>
        <v>1600</v>
      </c>
      <c r="R1272" s="13"/>
      <c r="S1272" s="85">
        <f t="shared" si="273"/>
        <v>1600</v>
      </c>
      <c r="T1272" s="13"/>
      <c r="U1272" s="85">
        <f t="shared" ref="U1272:U1346" si="282">S1272+T1272</f>
        <v>1600</v>
      </c>
    </row>
    <row r="1273" spans="1:21">
      <c r="A1273" s="12" t="s">
        <v>192</v>
      </c>
      <c r="B1273" s="145">
        <v>809</v>
      </c>
      <c r="C1273" s="8" t="s">
        <v>224</v>
      </c>
      <c r="D1273" s="8" t="s">
        <v>221</v>
      </c>
      <c r="E1273" s="145"/>
      <c r="F1273" s="145"/>
      <c r="G1273" s="69">
        <f>G1274+G1279</f>
        <v>9683.2000000000007</v>
      </c>
      <c r="H1273" s="69">
        <f>H1274+H1279</f>
        <v>0</v>
      </c>
      <c r="I1273" s="69">
        <f t="shared" ref="I1273:I1359" si="283">G1273+H1273</f>
        <v>9683.2000000000007</v>
      </c>
      <c r="J1273" s="69">
        <f>J1274+J1279</f>
        <v>0</v>
      </c>
      <c r="K1273" s="85">
        <f t="shared" si="279"/>
        <v>9683.2000000000007</v>
      </c>
      <c r="L1273" s="13">
        <f>L1274+L1279</f>
        <v>0</v>
      </c>
      <c r="M1273" s="85">
        <f t="shared" si="277"/>
        <v>9683.2000000000007</v>
      </c>
      <c r="N1273" s="13">
        <f>N1274+N1279</f>
        <v>0</v>
      </c>
      <c r="O1273" s="85">
        <f t="shared" si="278"/>
        <v>9683.2000000000007</v>
      </c>
      <c r="P1273" s="13">
        <f>P1274+P1279</f>
        <v>0</v>
      </c>
      <c r="Q1273" s="85">
        <f t="shared" si="274"/>
        <v>9683.2000000000007</v>
      </c>
      <c r="R1273" s="13">
        <f>R1274+R1279</f>
        <v>0</v>
      </c>
      <c r="S1273" s="85">
        <f t="shared" si="273"/>
        <v>9683.2000000000007</v>
      </c>
      <c r="T1273" s="13">
        <f>T1274+T1279</f>
        <v>0</v>
      </c>
      <c r="U1273" s="85">
        <f t="shared" si="282"/>
        <v>9683.2000000000007</v>
      </c>
    </row>
    <row r="1274" spans="1:21" ht="33">
      <c r="A1274" s="61" t="str">
        <f ca="1">IF(ISERROR(MATCH(E1274,Код_КЦСР,0)),"",INDIRECT(ADDRESS(MATCH(E1274,Код_КЦСР,0)+1,2,,,"КЦСР")))</f>
        <v>Муниципальная программа «Создание условий для развития физической культуры и спорта в городе Череповце» на 2013-2022 годы</v>
      </c>
      <c r="B1274" s="145">
        <v>809</v>
      </c>
      <c r="C1274" s="8" t="s">
        <v>224</v>
      </c>
      <c r="D1274" s="8" t="s">
        <v>221</v>
      </c>
      <c r="E1274" s="145" t="s">
        <v>524</v>
      </c>
      <c r="F1274" s="145"/>
      <c r="G1274" s="69">
        <f t="shared" ref="G1274:T1277" si="284">G1275</f>
        <v>3827.4</v>
      </c>
      <c r="H1274" s="69">
        <f t="shared" si="284"/>
        <v>0</v>
      </c>
      <c r="I1274" s="69">
        <f t="shared" si="283"/>
        <v>3827.4</v>
      </c>
      <c r="J1274" s="69">
        <f t="shared" si="284"/>
        <v>0</v>
      </c>
      <c r="K1274" s="85">
        <f t="shared" si="279"/>
        <v>3827.4</v>
      </c>
      <c r="L1274" s="13">
        <f t="shared" si="284"/>
        <v>0</v>
      </c>
      <c r="M1274" s="85">
        <f t="shared" si="277"/>
        <v>3827.4</v>
      </c>
      <c r="N1274" s="13">
        <f t="shared" si="284"/>
        <v>0</v>
      </c>
      <c r="O1274" s="85">
        <f t="shared" si="278"/>
        <v>3827.4</v>
      </c>
      <c r="P1274" s="13">
        <f t="shared" si="284"/>
        <v>0</v>
      </c>
      <c r="Q1274" s="85">
        <f t="shared" si="274"/>
        <v>3827.4</v>
      </c>
      <c r="R1274" s="13">
        <f t="shared" si="284"/>
        <v>0</v>
      </c>
      <c r="S1274" s="85">
        <f t="shared" si="273"/>
        <v>3827.4</v>
      </c>
      <c r="T1274" s="13">
        <f t="shared" si="284"/>
        <v>0</v>
      </c>
      <c r="U1274" s="85">
        <f t="shared" si="282"/>
        <v>3827.4</v>
      </c>
    </row>
    <row r="1275" spans="1:21">
      <c r="A1275" s="61" t="str">
        <f ca="1">IF(ISERROR(MATCH(E1275,Код_КЦСР,0)),"",INDIRECT(ADDRESS(MATCH(E1275,Код_КЦСР,0)+1,2,,,"КЦСР")))</f>
        <v>Организация и ведение бухгалтерского (бюджетного) учета и отчетности</v>
      </c>
      <c r="B1275" s="145">
        <v>809</v>
      </c>
      <c r="C1275" s="8" t="s">
        <v>224</v>
      </c>
      <c r="D1275" s="8" t="s">
        <v>221</v>
      </c>
      <c r="E1275" s="145" t="s">
        <v>530</v>
      </c>
      <c r="F1275" s="145"/>
      <c r="G1275" s="69">
        <f t="shared" si="284"/>
        <v>3827.4</v>
      </c>
      <c r="H1275" s="69">
        <f t="shared" si="284"/>
        <v>0</v>
      </c>
      <c r="I1275" s="69">
        <f t="shared" si="283"/>
        <v>3827.4</v>
      </c>
      <c r="J1275" s="69">
        <f t="shared" si="284"/>
        <v>0</v>
      </c>
      <c r="K1275" s="85">
        <f t="shared" si="279"/>
        <v>3827.4</v>
      </c>
      <c r="L1275" s="13">
        <f t="shared" si="284"/>
        <v>0</v>
      </c>
      <c r="M1275" s="85">
        <f t="shared" si="277"/>
        <v>3827.4</v>
      </c>
      <c r="N1275" s="13">
        <f t="shared" si="284"/>
        <v>0</v>
      </c>
      <c r="O1275" s="85">
        <f t="shared" si="278"/>
        <v>3827.4</v>
      </c>
      <c r="P1275" s="13">
        <f t="shared" si="284"/>
        <v>0</v>
      </c>
      <c r="Q1275" s="85">
        <f t="shared" si="274"/>
        <v>3827.4</v>
      </c>
      <c r="R1275" s="13">
        <f t="shared" si="284"/>
        <v>0</v>
      </c>
      <c r="S1275" s="85">
        <f t="shared" si="273"/>
        <v>3827.4</v>
      </c>
      <c r="T1275" s="13">
        <f t="shared" si="284"/>
        <v>0</v>
      </c>
      <c r="U1275" s="85">
        <f t="shared" si="282"/>
        <v>3827.4</v>
      </c>
    </row>
    <row r="1276" spans="1:21" ht="33">
      <c r="A1276" s="61" t="str">
        <f ca="1">IF(ISERROR(MATCH(F1276,Код_КВР,0)),"",INDIRECT(ADDRESS(MATCH(F1276,Код_КВР,0)+1,2,,,"КВР")))</f>
        <v>Предоставление субсидий бюджетным, автономным учреждениям и иным некоммерческим организациям</v>
      </c>
      <c r="B1276" s="145">
        <v>809</v>
      </c>
      <c r="C1276" s="8" t="s">
        <v>224</v>
      </c>
      <c r="D1276" s="8" t="s">
        <v>221</v>
      </c>
      <c r="E1276" s="145" t="s">
        <v>530</v>
      </c>
      <c r="F1276" s="145">
        <v>600</v>
      </c>
      <c r="G1276" s="69">
        <f t="shared" si="284"/>
        <v>3827.4</v>
      </c>
      <c r="H1276" s="69">
        <f t="shared" si="284"/>
        <v>0</v>
      </c>
      <c r="I1276" s="69">
        <f t="shared" si="283"/>
        <v>3827.4</v>
      </c>
      <c r="J1276" s="69">
        <f t="shared" si="284"/>
        <v>0</v>
      </c>
      <c r="K1276" s="85">
        <f t="shared" si="279"/>
        <v>3827.4</v>
      </c>
      <c r="L1276" s="13">
        <f t="shared" si="284"/>
        <v>0</v>
      </c>
      <c r="M1276" s="85">
        <f t="shared" si="277"/>
        <v>3827.4</v>
      </c>
      <c r="N1276" s="13">
        <f t="shared" si="284"/>
        <v>0</v>
      </c>
      <c r="O1276" s="85">
        <f t="shared" si="278"/>
        <v>3827.4</v>
      </c>
      <c r="P1276" s="13">
        <f t="shared" si="284"/>
        <v>0</v>
      </c>
      <c r="Q1276" s="85">
        <f t="shared" si="274"/>
        <v>3827.4</v>
      </c>
      <c r="R1276" s="13">
        <f t="shared" si="284"/>
        <v>0</v>
      </c>
      <c r="S1276" s="85">
        <f t="shared" si="273"/>
        <v>3827.4</v>
      </c>
      <c r="T1276" s="13">
        <f t="shared" si="284"/>
        <v>0</v>
      </c>
      <c r="U1276" s="85">
        <f t="shared" si="282"/>
        <v>3827.4</v>
      </c>
    </row>
    <row r="1277" spans="1:21">
      <c r="A1277" s="61" t="str">
        <f ca="1">IF(ISERROR(MATCH(F1277,Код_КВР,0)),"",INDIRECT(ADDRESS(MATCH(F1277,Код_КВР,0)+1,2,,,"КВР")))</f>
        <v>Субсидии бюджетным учреждениям</v>
      </c>
      <c r="B1277" s="145">
        <v>809</v>
      </c>
      <c r="C1277" s="8" t="s">
        <v>224</v>
      </c>
      <c r="D1277" s="8" t="s">
        <v>221</v>
      </c>
      <c r="E1277" s="145" t="s">
        <v>530</v>
      </c>
      <c r="F1277" s="145">
        <v>610</v>
      </c>
      <c r="G1277" s="69">
        <f t="shared" si="284"/>
        <v>3827.4</v>
      </c>
      <c r="H1277" s="69">
        <f t="shared" si="284"/>
        <v>0</v>
      </c>
      <c r="I1277" s="69">
        <f t="shared" si="283"/>
        <v>3827.4</v>
      </c>
      <c r="J1277" s="69">
        <f t="shared" si="284"/>
        <v>0</v>
      </c>
      <c r="K1277" s="85">
        <f t="shared" si="279"/>
        <v>3827.4</v>
      </c>
      <c r="L1277" s="13">
        <f t="shared" si="284"/>
        <v>0</v>
      </c>
      <c r="M1277" s="85">
        <f t="shared" si="277"/>
        <v>3827.4</v>
      </c>
      <c r="N1277" s="13">
        <f t="shared" si="284"/>
        <v>0</v>
      </c>
      <c r="O1277" s="85">
        <f t="shared" si="278"/>
        <v>3827.4</v>
      </c>
      <c r="P1277" s="13">
        <f t="shared" si="284"/>
        <v>0</v>
      </c>
      <c r="Q1277" s="85">
        <f t="shared" si="274"/>
        <v>3827.4</v>
      </c>
      <c r="R1277" s="13">
        <f t="shared" si="284"/>
        <v>0</v>
      </c>
      <c r="S1277" s="85">
        <f t="shared" si="273"/>
        <v>3827.4</v>
      </c>
      <c r="T1277" s="13">
        <f t="shared" si="284"/>
        <v>0</v>
      </c>
      <c r="U1277" s="85">
        <f t="shared" si="282"/>
        <v>3827.4</v>
      </c>
    </row>
    <row r="1278" spans="1:21" ht="49.5">
      <c r="A1278" s="61" t="str">
        <f ca="1">IF(ISERROR(MATCH(F1278,Код_КВР,0)),"",INDIRECT(ADDRESS(MATCH(F1278,Код_КВР,0)+1,2,,,"КВР")))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278" s="145">
        <v>809</v>
      </c>
      <c r="C1278" s="8" t="s">
        <v>224</v>
      </c>
      <c r="D1278" s="8" t="s">
        <v>221</v>
      </c>
      <c r="E1278" s="145" t="s">
        <v>530</v>
      </c>
      <c r="F1278" s="145">
        <v>611</v>
      </c>
      <c r="G1278" s="69">
        <v>3827.4</v>
      </c>
      <c r="H1278" s="69"/>
      <c r="I1278" s="69">
        <f t="shared" si="283"/>
        <v>3827.4</v>
      </c>
      <c r="J1278" s="69"/>
      <c r="K1278" s="85">
        <f t="shared" si="279"/>
        <v>3827.4</v>
      </c>
      <c r="L1278" s="13"/>
      <c r="M1278" s="85">
        <f t="shared" si="277"/>
        <v>3827.4</v>
      </c>
      <c r="N1278" s="13"/>
      <c r="O1278" s="85">
        <f t="shared" si="278"/>
        <v>3827.4</v>
      </c>
      <c r="P1278" s="13"/>
      <c r="Q1278" s="85">
        <f t="shared" si="274"/>
        <v>3827.4</v>
      </c>
      <c r="R1278" s="13"/>
      <c r="S1278" s="85">
        <f t="shared" si="273"/>
        <v>3827.4</v>
      </c>
      <c r="T1278" s="13"/>
      <c r="U1278" s="85">
        <f t="shared" si="282"/>
        <v>3827.4</v>
      </c>
    </row>
    <row r="1279" spans="1:21" ht="33">
      <c r="A1279" s="61" t="str">
        <f ca="1">IF(ISERROR(MATCH(E1279,Код_КЦСР,0)),"",INDIRECT(ADDRESS(MATCH(E1279,Код_КЦСР,0)+1,2,,,"КЦСР")))</f>
        <v>Непрограммные направления деятельности органов местного самоуправления</v>
      </c>
      <c r="B1279" s="145">
        <v>809</v>
      </c>
      <c r="C1279" s="8" t="s">
        <v>224</v>
      </c>
      <c r="D1279" s="8" t="s">
        <v>221</v>
      </c>
      <c r="E1279" s="145" t="s">
        <v>299</v>
      </c>
      <c r="F1279" s="145"/>
      <c r="G1279" s="69">
        <f t="shared" ref="G1279:T1281" si="285">G1280</f>
        <v>5855.8</v>
      </c>
      <c r="H1279" s="69">
        <f t="shared" si="285"/>
        <v>0</v>
      </c>
      <c r="I1279" s="69">
        <f t="shared" si="283"/>
        <v>5855.8</v>
      </c>
      <c r="J1279" s="69">
        <f t="shared" si="285"/>
        <v>0</v>
      </c>
      <c r="K1279" s="85">
        <f t="shared" si="279"/>
        <v>5855.8</v>
      </c>
      <c r="L1279" s="13">
        <f t="shared" si="285"/>
        <v>0</v>
      </c>
      <c r="M1279" s="85">
        <f t="shared" si="277"/>
        <v>5855.8</v>
      </c>
      <c r="N1279" s="13">
        <f t="shared" si="285"/>
        <v>0</v>
      </c>
      <c r="O1279" s="85">
        <f t="shared" si="278"/>
        <v>5855.8</v>
      </c>
      <c r="P1279" s="13">
        <f t="shared" si="285"/>
        <v>0</v>
      </c>
      <c r="Q1279" s="85">
        <f t="shared" si="274"/>
        <v>5855.8</v>
      </c>
      <c r="R1279" s="13">
        <f t="shared" si="285"/>
        <v>0</v>
      </c>
      <c r="S1279" s="85">
        <f t="shared" si="273"/>
        <v>5855.8</v>
      </c>
      <c r="T1279" s="13">
        <f t="shared" si="285"/>
        <v>0</v>
      </c>
      <c r="U1279" s="85">
        <f t="shared" si="282"/>
        <v>5855.8</v>
      </c>
    </row>
    <row r="1280" spans="1:21">
      <c r="A1280" s="61" t="str">
        <f ca="1">IF(ISERROR(MATCH(E1280,Код_КЦСР,0)),"",INDIRECT(ADDRESS(MATCH(E1280,Код_КЦСР,0)+1,2,,,"КЦСР")))</f>
        <v>Расходы, не включенные в муниципальные программы города Череповца</v>
      </c>
      <c r="B1280" s="145">
        <v>809</v>
      </c>
      <c r="C1280" s="8" t="s">
        <v>224</v>
      </c>
      <c r="D1280" s="8" t="s">
        <v>221</v>
      </c>
      <c r="E1280" s="145" t="s">
        <v>301</v>
      </c>
      <c r="F1280" s="145"/>
      <c r="G1280" s="69">
        <f t="shared" si="285"/>
        <v>5855.8</v>
      </c>
      <c r="H1280" s="69">
        <f t="shared" si="285"/>
        <v>0</v>
      </c>
      <c r="I1280" s="69">
        <f t="shared" si="283"/>
        <v>5855.8</v>
      </c>
      <c r="J1280" s="69">
        <f t="shared" si="285"/>
        <v>0</v>
      </c>
      <c r="K1280" s="85">
        <f t="shared" si="279"/>
        <v>5855.8</v>
      </c>
      <c r="L1280" s="13">
        <f t="shared" si="285"/>
        <v>0</v>
      </c>
      <c r="M1280" s="85">
        <f t="shared" si="277"/>
        <v>5855.8</v>
      </c>
      <c r="N1280" s="13">
        <f t="shared" si="285"/>
        <v>0</v>
      </c>
      <c r="O1280" s="85">
        <f t="shared" si="278"/>
        <v>5855.8</v>
      </c>
      <c r="P1280" s="13">
        <f t="shared" si="285"/>
        <v>0</v>
      </c>
      <c r="Q1280" s="85">
        <f t="shared" si="274"/>
        <v>5855.8</v>
      </c>
      <c r="R1280" s="13">
        <f t="shared" si="285"/>
        <v>0</v>
      </c>
      <c r="S1280" s="85">
        <f t="shared" si="273"/>
        <v>5855.8</v>
      </c>
      <c r="T1280" s="13">
        <f t="shared" si="285"/>
        <v>0</v>
      </c>
      <c r="U1280" s="85">
        <f t="shared" si="282"/>
        <v>5855.8</v>
      </c>
    </row>
    <row r="1281" spans="1:21" ht="33">
      <c r="A1281" s="61" t="str">
        <f ca="1">IF(ISERROR(MATCH(E1281,Код_КЦСР,0)),"",INDIRECT(ADDRESS(MATCH(E1281,Код_КЦСР,0)+1,2,,,"КЦСР")))</f>
        <v>Руководство и управление в сфере установленных функций органов местного самоуправления</v>
      </c>
      <c r="B1281" s="145">
        <v>809</v>
      </c>
      <c r="C1281" s="8" t="s">
        <v>224</v>
      </c>
      <c r="D1281" s="8" t="s">
        <v>221</v>
      </c>
      <c r="E1281" s="145" t="s">
        <v>303</v>
      </c>
      <c r="F1281" s="145"/>
      <c r="G1281" s="69">
        <f t="shared" si="285"/>
        <v>5855.8</v>
      </c>
      <c r="H1281" s="69">
        <f t="shared" si="285"/>
        <v>0</v>
      </c>
      <c r="I1281" s="69">
        <f t="shared" si="283"/>
        <v>5855.8</v>
      </c>
      <c r="J1281" s="69">
        <f t="shared" si="285"/>
        <v>0</v>
      </c>
      <c r="K1281" s="85">
        <f t="shared" si="279"/>
        <v>5855.8</v>
      </c>
      <c r="L1281" s="13">
        <f t="shared" si="285"/>
        <v>0</v>
      </c>
      <c r="M1281" s="85">
        <f t="shared" si="277"/>
        <v>5855.8</v>
      </c>
      <c r="N1281" s="13">
        <f t="shared" si="285"/>
        <v>0</v>
      </c>
      <c r="O1281" s="85">
        <f t="shared" si="278"/>
        <v>5855.8</v>
      </c>
      <c r="P1281" s="13">
        <f t="shared" si="285"/>
        <v>0</v>
      </c>
      <c r="Q1281" s="85">
        <f t="shared" si="274"/>
        <v>5855.8</v>
      </c>
      <c r="R1281" s="13">
        <f t="shared" si="285"/>
        <v>0</v>
      </c>
      <c r="S1281" s="85">
        <f t="shared" ref="S1281:S1368" si="286">Q1281+R1281</f>
        <v>5855.8</v>
      </c>
      <c r="T1281" s="13">
        <f t="shared" si="285"/>
        <v>0</v>
      </c>
      <c r="U1281" s="85">
        <f t="shared" si="282"/>
        <v>5855.8</v>
      </c>
    </row>
    <row r="1282" spans="1:21">
      <c r="A1282" s="61" t="str">
        <f ca="1">IF(ISERROR(MATCH(E1282,Код_КЦСР,0)),"",INDIRECT(ADDRESS(MATCH(E1282,Код_КЦСР,0)+1,2,,,"КЦСР")))</f>
        <v>Центральный аппарат</v>
      </c>
      <c r="B1282" s="145">
        <v>809</v>
      </c>
      <c r="C1282" s="8" t="s">
        <v>224</v>
      </c>
      <c r="D1282" s="8" t="s">
        <v>221</v>
      </c>
      <c r="E1282" s="145" t="s">
        <v>306</v>
      </c>
      <c r="F1282" s="145"/>
      <c r="G1282" s="69">
        <f>G1283+G1285</f>
        <v>5855.8</v>
      </c>
      <c r="H1282" s="69">
        <f>H1283+H1285</f>
        <v>0</v>
      </c>
      <c r="I1282" s="69">
        <f t="shared" si="283"/>
        <v>5855.8</v>
      </c>
      <c r="J1282" s="69">
        <f>J1283+J1285</f>
        <v>0</v>
      </c>
      <c r="K1282" s="85">
        <f t="shared" si="279"/>
        <v>5855.8</v>
      </c>
      <c r="L1282" s="13">
        <f>L1283+L1285</f>
        <v>0</v>
      </c>
      <c r="M1282" s="85">
        <f t="shared" si="277"/>
        <v>5855.8</v>
      </c>
      <c r="N1282" s="13">
        <f>N1283+N1285</f>
        <v>0</v>
      </c>
      <c r="O1282" s="85">
        <f t="shared" si="278"/>
        <v>5855.8</v>
      </c>
      <c r="P1282" s="13">
        <f>P1283+P1285</f>
        <v>0</v>
      </c>
      <c r="Q1282" s="85">
        <f t="shared" si="274"/>
        <v>5855.8</v>
      </c>
      <c r="R1282" s="13">
        <f>R1283+R1285</f>
        <v>0</v>
      </c>
      <c r="S1282" s="85">
        <f t="shared" si="286"/>
        <v>5855.8</v>
      </c>
      <c r="T1282" s="13">
        <f>T1283+T1285</f>
        <v>0</v>
      </c>
      <c r="U1282" s="85">
        <f t="shared" si="282"/>
        <v>5855.8</v>
      </c>
    </row>
    <row r="1283" spans="1:21" ht="33">
      <c r="A1283" s="61" t="str">
        <f ca="1">IF(ISERROR(MATCH(F1283,Код_КВР,0)),"",INDIRECT(ADDRESS(MATCH(F1283,Код_КВР,0)+1,2,,,"КВР")))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283" s="145">
        <v>809</v>
      </c>
      <c r="C1283" s="8" t="s">
        <v>224</v>
      </c>
      <c r="D1283" s="8" t="s">
        <v>221</v>
      </c>
      <c r="E1283" s="145" t="s">
        <v>306</v>
      </c>
      <c r="F1283" s="145">
        <v>100</v>
      </c>
      <c r="G1283" s="69">
        <f>G1284</f>
        <v>5841</v>
      </c>
      <c r="H1283" s="69">
        <f>H1284</f>
        <v>0</v>
      </c>
      <c r="I1283" s="69">
        <f t="shared" si="283"/>
        <v>5841</v>
      </c>
      <c r="J1283" s="69">
        <f>J1284</f>
        <v>0</v>
      </c>
      <c r="K1283" s="85">
        <f t="shared" si="279"/>
        <v>5841</v>
      </c>
      <c r="L1283" s="13">
        <f>L1284</f>
        <v>0</v>
      </c>
      <c r="M1283" s="85">
        <f t="shared" si="277"/>
        <v>5841</v>
      </c>
      <c r="N1283" s="13">
        <f>N1284</f>
        <v>0</v>
      </c>
      <c r="O1283" s="85">
        <f t="shared" si="278"/>
        <v>5841</v>
      </c>
      <c r="P1283" s="13">
        <f>P1284</f>
        <v>0</v>
      </c>
      <c r="Q1283" s="85">
        <f t="shared" si="274"/>
        <v>5841</v>
      </c>
      <c r="R1283" s="13">
        <f>R1284</f>
        <v>0</v>
      </c>
      <c r="S1283" s="85">
        <f t="shared" si="286"/>
        <v>5841</v>
      </c>
      <c r="T1283" s="13">
        <f>T1284</f>
        <v>0</v>
      </c>
      <c r="U1283" s="85">
        <f t="shared" si="282"/>
        <v>5841</v>
      </c>
    </row>
    <row r="1284" spans="1:21">
      <c r="A1284" s="61" t="str">
        <f ca="1">IF(ISERROR(MATCH(F1284,Код_КВР,0)),"",INDIRECT(ADDRESS(MATCH(F1284,Код_КВР,0)+1,2,,,"КВР")))</f>
        <v>Расходы на выплаты персоналу муниципальных органов</v>
      </c>
      <c r="B1284" s="145">
        <v>809</v>
      </c>
      <c r="C1284" s="8" t="s">
        <v>224</v>
      </c>
      <c r="D1284" s="8" t="s">
        <v>221</v>
      </c>
      <c r="E1284" s="145" t="s">
        <v>306</v>
      </c>
      <c r="F1284" s="145">
        <v>120</v>
      </c>
      <c r="G1284" s="69">
        <v>5841</v>
      </c>
      <c r="H1284" s="69"/>
      <c r="I1284" s="69">
        <f t="shared" si="283"/>
        <v>5841</v>
      </c>
      <c r="J1284" s="69"/>
      <c r="K1284" s="85">
        <f t="shared" si="279"/>
        <v>5841</v>
      </c>
      <c r="L1284" s="13"/>
      <c r="M1284" s="85">
        <f t="shared" si="277"/>
        <v>5841</v>
      </c>
      <c r="N1284" s="13"/>
      <c r="O1284" s="85">
        <f t="shared" si="278"/>
        <v>5841</v>
      </c>
      <c r="P1284" s="13"/>
      <c r="Q1284" s="85">
        <f t="shared" si="274"/>
        <v>5841</v>
      </c>
      <c r="R1284" s="13"/>
      <c r="S1284" s="85">
        <f t="shared" si="286"/>
        <v>5841</v>
      </c>
      <c r="T1284" s="13"/>
      <c r="U1284" s="85">
        <f t="shared" si="282"/>
        <v>5841</v>
      </c>
    </row>
    <row r="1285" spans="1:21">
      <c r="A1285" s="61" t="str">
        <f ca="1">IF(ISERROR(MATCH(F1285,Код_КВР,0)),"",INDIRECT(ADDRESS(MATCH(F1285,Код_КВР,0)+1,2,,,"КВР")))</f>
        <v>Закупка товаров, работ и услуг для муниципальных нужд</v>
      </c>
      <c r="B1285" s="145">
        <v>809</v>
      </c>
      <c r="C1285" s="8" t="s">
        <v>224</v>
      </c>
      <c r="D1285" s="8" t="s">
        <v>221</v>
      </c>
      <c r="E1285" s="145" t="s">
        <v>306</v>
      </c>
      <c r="F1285" s="145">
        <v>200</v>
      </c>
      <c r="G1285" s="69">
        <f>G1286</f>
        <v>14.8</v>
      </c>
      <c r="H1285" s="69">
        <f>H1286</f>
        <v>0</v>
      </c>
      <c r="I1285" s="69">
        <f t="shared" si="283"/>
        <v>14.8</v>
      </c>
      <c r="J1285" s="69">
        <f>J1286</f>
        <v>0</v>
      </c>
      <c r="K1285" s="85">
        <f t="shared" si="279"/>
        <v>14.8</v>
      </c>
      <c r="L1285" s="13">
        <f>L1286</f>
        <v>0</v>
      </c>
      <c r="M1285" s="85">
        <f t="shared" si="277"/>
        <v>14.8</v>
      </c>
      <c r="N1285" s="13">
        <f>N1286</f>
        <v>0</v>
      </c>
      <c r="O1285" s="85">
        <f t="shared" si="278"/>
        <v>14.8</v>
      </c>
      <c r="P1285" s="13">
        <f>P1286</f>
        <v>0</v>
      </c>
      <c r="Q1285" s="85">
        <f t="shared" si="274"/>
        <v>14.8</v>
      </c>
      <c r="R1285" s="13">
        <f>R1286</f>
        <v>0</v>
      </c>
      <c r="S1285" s="85">
        <f t="shared" si="286"/>
        <v>14.8</v>
      </c>
      <c r="T1285" s="13">
        <f>T1286</f>
        <v>0</v>
      </c>
      <c r="U1285" s="85">
        <f t="shared" si="282"/>
        <v>14.8</v>
      </c>
    </row>
    <row r="1286" spans="1:21" ht="33">
      <c r="A1286" s="61" t="str">
        <f ca="1">IF(ISERROR(MATCH(F1286,Код_КВР,0)),"",INDIRECT(ADDRESS(MATCH(F1286,Код_КВР,0)+1,2,,,"КВР")))</f>
        <v>Иные закупки товаров, работ и услуг для обеспечения муниципальных нужд</v>
      </c>
      <c r="B1286" s="145">
        <v>809</v>
      </c>
      <c r="C1286" s="8" t="s">
        <v>224</v>
      </c>
      <c r="D1286" s="8" t="s">
        <v>221</v>
      </c>
      <c r="E1286" s="145" t="s">
        <v>306</v>
      </c>
      <c r="F1286" s="145">
        <v>240</v>
      </c>
      <c r="G1286" s="69">
        <f>G1287</f>
        <v>14.8</v>
      </c>
      <c r="H1286" s="69">
        <f>H1287</f>
        <v>0</v>
      </c>
      <c r="I1286" s="69">
        <f t="shared" si="283"/>
        <v>14.8</v>
      </c>
      <c r="J1286" s="69">
        <f>J1287</f>
        <v>0</v>
      </c>
      <c r="K1286" s="85">
        <f t="shared" si="279"/>
        <v>14.8</v>
      </c>
      <c r="L1286" s="13">
        <f>L1287</f>
        <v>0</v>
      </c>
      <c r="M1286" s="85">
        <f t="shared" si="277"/>
        <v>14.8</v>
      </c>
      <c r="N1286" s="13">
        <f>N1287</f>
        <v>0</v>
      </c>
      <c r="O1286" s="85">
        <f t="shared" si="278"/>
        <v>14.8</v>
      </c>
      <c r="P1286" s="13">
        <f>P1287</f>
        <v>0</v>
      </c>
      <c r="Q1286" s="85">
        <f t="shared" si="274"/>
        <v>14.8</v>
      </c>
      <c r="R1286" s="13">
        <f>R1287</f>
        <v>0</v>
      </c>
      <c r="S1286" s="85">
        <f t="shared" si="286"/>
        <v>14.8</v>
      </c>
      <c r="T1286" s="13">
        <f>T1287</f>
        <v>0</v>
      </c>
      <c r="U1286" s="85">
        <f t="shared" si="282"/>
        <v>14.8</v>
      </c>
    </row>
    <row r="1287" spans="1:21" ht="33">
      <c r="A1287" s="61" t="str">
        <f ca="1">IF(ISERROR(MATCH(F1287,Код_КВР,0)),"",INDIRECT(ADDRESS(MATCH(F1287,Код_КВР,0)+1,2,,,"КВР")))</f>
        <v xml:space="preserve">Прочая закупка товаров, работ и услуг для обеспечения муниципальных нужд         </v>
      </c>
      <c r="B1287" s="145">
        <v>809</v>
      </c>
      <c r="C1287" s="8" t="s">
        <v>224</v>
      </c>
      <c r="D1287" s="8" t="s">
        <v>221</v>
      </c>
      <c r="E1287" s="145" t="s">
        <v>306</v>
      </c>
      <c r="F1287" s="145">
        <v>244</v>
      </c>
      <c r="G1287" s="69">
        <v>14.8</v>
      </c>
      <c r="H1287" s="69"/>
      <c r="I1287" s="69">
        <f t="shared" si="283"/>
        <v>14.8</v>
      </c>
      <c r="J1287" s="69"/>
      <c r="K1287" s="85">
        <f t="shared" si="279"/>
        <v>14.8</v>
      </c>
      <c r="L1287" s="13"/>
      <c r="M1287" s="85">
        <f t="shared" si="277"/>
        <v>14.8</v>
      </c>
      <c r="N1287" s="13"/>
      <c r="O1287" s="85">
        <f t="shared" si="278"/>
        <v>14.8</v>
      </c>
      <c r="P1287" s="13"/>
      <c r="Q1287" s="85">
        <f t="shared" ref="Q1287:Q1374" si="287">O1287+P1287</f>
        <v>14.8</v>
      </c>
      <c r="R1287" s="13"/>
      <c r="S1287" s="85">
        <f>Q1287+R1287</f>
        <v>14.8</v>
      </c>
      <c r="T1287" s="13"/>
      <c r="U1287" s="85">
        <f t="shared" si="282"/>
        <v>14.8</v>
      </c>
    </row>
    <row r="1288" spans="1:21">
      <c r="A1288" s="61" t="str">
        <f ca="1">IF(ISERROR(MATCH(B1288,Код_ППП,0)),"",INDIRECT(ADDRESS(MATCH(B1288,Код_ППП,0)+1,2,,,"ППП")))</f>
        <v>КОМИТЕТ СОЦИАЛЬНОЙ ЗАЩИТЫ НАСЕЛЕНИЯ ГОРОДА</v>
      </c>
      <c r="B1288" s="145">
        <v>810</v>
      </c>
      <c r="C1288" s="8"/>
      <c r="D1288" s="8"/>
      <c r="E1288" s="145"/>
      <c r="F1288" s="145"/>
      <c r="G1288" s="69">
        <f>G1296+G1317</f>
        <v>897141.3</v>
      </c>
      <c r="H1288" s="69">
        <f>H1296+H1317</f>
        <v>0</v>
      </c>
      <c r="I1288" s="69">
        <f t="shared" si="283"/>
        <v>897141.3</v>
      </c>
      <c r="J1288" s="69">
        <f>J1296+J1317</f>
        <v>-4015.3</v>
      </c>
      <c r="K1288" s="85">
        <f t="shared" si="279"/>
        <v>893126</v>
      </c>
      <c r="L1288" s="13">
        <f>L1296+L1317</f>
        <v>-3790.2</v>
      </c>
      <c r="M1288" s="85">
        <f t="shared" si="277"/>
        <v>889335.8</v>
      </c>
      <c r="N1288" s="13">
        <f>N1296+N1317</f>
        <v>432</v>
      </c>
      <c r="O1288" s="85">
        <f t="shared" si="278"/>
        <v>889767.8</v>
      </c>
      <c r="P1288" s="13">
        <f>P1296+P1317</f>
        <v>0</v>
      </c>
      <c r="Q1288" s="85">
        <f t="shared" si="287"/>
        <v>889767.8</v>
      </c>
      <c r="R1288" s="13">
        <f>R1296+R1317</f>
        <v>67232.499999999985</v>
      </c>
      <c r="S1288" s="85">
        <f t="shared" si="286"/>
        <v>957000.3</v>
      </c>
      <c r="T1288" s="13">
        <f>T1289+T1296+T1317</f>
        <v>46697.30000000001</v>
      </c>
      <c r="U1288" s="85">
        <f t="shared" si="282"/>
        <v>1003697.6000000001</v>
      </c>
    </row>
    <row r="1289" spans="1:21">
      <c r="A1289" s="61" t="str">
        <f ca="1">IF(ISERROR(MATCH(C1289,Код_Раздел,0)),"",INDIRECT(ADDRESS(MATCH(C1289,Код_Раздел,0)+1,2,,,"Раздел")))</f>
        <v>Общегосударственные  вопросы</v>
      </c>
      <c r="B1289" s="145">
        <v>810</v>
      </c>
      <c r="C1289" s="8" t="s">
        <v>213</v>
      </c>
      <c r="D1289" s="8"/>
      <c r="E1289" s="145"/>
      <c r="F1289" s="145"/>
      <c r="G1289" s="69"/>
      <c r="H1289" s="69"/>
      <c r="I1289" s="69"/>
      <c r="J1289" s="69"/>
      <c r="K1289" s="85"/>
      <c r="L1289" s="13"/>
      <c r="M1289" s="85"/>
      <c r="N1289" s="13"/>
      <c r="O1289" s="85"/>
      <c r="P1289" s="13"/>
      <c r="Q1289" s="85"/>
      <c r="R1289" s="13"/>
      <c r="S1289" s="85"/>
      <c r="T1289" s="13">
        <f t="shared" ref="T1289:T1294" si="288">T1290</f>
        <v>126.4</v>
      </c>
      <c r="U1289" s="85">
        <f t="shared" si="282"/>
        <v>126.4</v>
      </c>
    </row>
    <row r="1290" spans="1:21">
      <c r="A1290" s="12" t="s">
        <v>237</v>
      </c>
      <c r="B1290" s="145">
        <v>810</v>
      </c>
      <c r="C1290" s="8" t="s">
        <v>213</v>
      </c>
      <c r="D1290" s="8" t="s">
        <v>190</v>
      </c>
      <c r="E1290" s="145"/>
      <c r="F1290" s="145"/>
      <c r="G1290" s="69"/>
      <c r="H1290" s="69"/>
      <c r="I1290" s="69"/>
      <c r="J1290" s="69"/>
      <c r="K1290" s="85"/>
      <c r="L1290" s="13"/>
      <c r="M1290" s="85"/>
      <c r="N1290" s="13"/>
      <c r="O1290" s="85"/>
      <c r="P1290" s="13"/>
      <c r="Q1290" s="85"/>
      <c r="R1290" s="13"/>
      <c r="S1290" s="85"/>
      <c r="T1290" s="13">
        <f t="shared" si="288"/>
        <v>126.4</v>
      </c>
      <c r="U1290" s="85">
        <f t="shared" si="282"/>
        <v>126.4</v>
      </c>
    </row>
    <row r="1291" spans="1:21" ht="39.75" customHeight="1">
      <c r="A1291" s="61" t="str">
        <f ca="1">IF(ISERROR(MATCH(E1291,Код_КЦСР,0)),"",INDIRECT(ADDRESS(MATCH(E1291,Код_КЦСР,0)+1,2,,,"КЦСР")))</f>
        <v>Непрограммные направления деятельности органов местного самоуправления</v>
      </c>
      <c r="B1291" s="154">
        <v>810</v>
      </c>
      <c r="C1291" s="8" t="s">
        <v>213</v>
      </c>
      <c r="D1291" s="8" t="s">
        <v>190</v>
      </c>
      <c r="E1291" s="154" t="s">
        <v>299</v>
      </c>
      <c r="F1291" s="154"/>
      <c r="G1291" s="69"/>
      <c r="H1291" s="69"/>
      <c r="I1291" s="69"/>
      <c r="J1291" s="69"/>
      <c r="K1291" s="85"/>
      <c r="L1291" s="13"/>
      <c r="M1291" s="85"/>
      <c r="N1291" s="13"/>
      <c r="O1291" s="85"/>
      <c r="P1291" s="13"/>
      <c r="Q1291" s="85"/>
      <c r="R1291" s="13"/>
      <c r="S1291" s="85"/>
      <c r="T1291" s="13">
        <f t="shared" si="288"/>
        <v>126.4</v>
      </c>
      <c r="U1291" s="85">
        <f t="shared" si="282"/>
        <v>126.4</v>
      </c>
    </row>
    <row r="1292" spans="1:21">
      <c r="A1292" s="61" t="str">
        <f ca="1">IF(ISERROR(MATCH(E1292,Код_КЦСР,0)),"",INDIRECT(ADDRESS(MATCH(E1292,Код_КЦСР,0)+1,2,,,"КЦСР")))</f>
        <v>Расходы, не включенные в муниципальные программы города Череповца</v>
      </c>
      <c r="B1292" s="154">
        <v>810</v>
      </c>
      <c r="C1292" s="8" t="s">
        <v>213</v>
      </c>
      <c r="D1292" s="8" t="s">
        <v>190</v>
      </c>
      <c r="E1292" s="154" t="s">
        <v>301</v>
      </c>
      <c r="F1292" s="154"/>
      <c r="G1292" s="69"/>
      <c r="H1292" s="69"/>
      <c r="I1292" s="69"/>
      <c r="J1292" s="69"/>
      <c r="K1292" s="85"/>
      <c r="L1292" s="13"/>
      <c r="M1292" s="85"/>
      <c r="N1292" s="13"/>
      <c r="O1292" s="85"/>
      <c r="P1292" s="13"/>
      <c r="Q1292" s="85"/>
      <c r="R1292" s="13"/>
      <c r="S1292" s="85"/>
      <c r="T1292" s="13">
        <f t="shared" si="288"/>
        <v>126.4</v>
      </c>
      <c r="U1292" s="85">
        <f t="shared" si="282"/>
        <v>126.4</v>
      </c>
    </row>
    <row r="1293" spans="1:21" ht="73.5" customHeight="1">
      <c r="A1293" s="61" t="str">
        <f ca="1">IF(ISERROR(MATCH(E1293,Код_КЦСР,0)),"",INDIRECT(ADDRESS(MATCH(E1293,Код_КЦСР,0)+1,2,,,"КЦСР")))</f>
        <v>Финансовое обеспечение мероприятий по временному социально-бытовому обустройству лиц, вынужденно покинувших территорию Украины и находящихся в пунктах временного размещения за счет иных межбюджетных трансфертов из федерального бюджета</v>
      </c>
      <c r="B1293" s="145">
        <v>810</v>
      </c>
      <c r="C1293" s="8" t="s">
        <v>213</v>
      </c>
      <c r="D1293" s="8" t="s">
        <v>190</v>
      </c>
      <c r="E1293" s="145" t="s">
        <v>699</v>
      </c>
      <c r="F1293" s="145"/>
      <c r="G1293" s="69"/>
      <c r="H1293" s="69"/>
      <c r="I1293" s="69"/>
      <c r="J1293" s="69"/>
      <c r="K1293" s="85"/>
      <c r="L1293" s="13"/>
      <c r="M1293" s="85"/>
      <c r="N1293" s="13"/>
      <c r="O1293" s="85"/>
      <c r="P1293" s="13"/>
      <c r="Q1293" s="85"/>
      <c r="R1293" s="13"/>
      <c r="S1293" s="85"/>
      <c r="T1293" s="13">
        <f t="shared" si="288"/>
        <v>126.4</v>
      </c>
      <c r="U1293" s="85">
        <f t="shared" si="282"/>
        <v>126.4</v>
      </c>
    </row>
    <row r="1294" spans="1:21">
      <c r="A1294" s="61" t="str">
        <f ca="1">IF(ISERROR(MATCH(F1294,Код_КВР,0)),"",INDIRECT(ADDRESS(MATCH(F1294,Код_КВР,0)+1,2,,,"КВР")))</f>
        <v>Иные бюджетные ассигнования</v>
      </c>
      <c r="B1294" s="145">
        <v>810</v>
      </c>
      <c r="C1294" s="8" t="s">
        <v>213</v>
      </c>
      <c r="D1294" s="8" t="s">
        <v>190</v>
      </c>
      <c r="E1294" s="145" t="s">
        <v>699</v>
      </c>
      <c r="F1294" s="145">
        <v>800</v>
      </c>
      <c r="G1294" s="69"/>
      <c r="H1294" s="69"/>
      <c r="I1294" s="69"/>
      <c r="J1294" s="69"/>
      <c r="K1294" s="85"/>
      <c r="L1294" s="13"/>
      <c r="M1294" s="85"/>
      <c r="N1294" s="13"/>
      <c r="O1294" s="85"/>
      <c r="P1294" s="13"/>
      <c r="Q1294" s="85"/>
      <c r="R1294" s="13"/>
      <c r="S1294" s="85"/>
      <c r="T1294" s="13">
        <f t="shared" si="288"/>
        <v>126.4</v>
      </c>
      <c r="U1294" s="85">
        <f t="shared" ref="U1294" si="289">S1294+T1294</f>
        <v>126.4</v>
      </c>
    </row>
    <row r="1295" spans="1:21" ht="33">
      <c r="A1295" s="61" t="str">
        <f ca="1">IF(ISERROR(MATCH(F1295,Код_КВР,0)),"",INDIRECT(ADDRESS(MATCH(F1295,Код_КВР,0)+1,2,,,"КВР")))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295" s="145">
        <v>810</v>
      </c>
      <c r="C1295" s="8" t="s">
        <v>213</v>
      </c>
      <c r="D1295" s="8" t="s">
        <v>190</v>
      </c>
      <c r="E1295" s="145" t="s">
        <v>699</v>
      </c>
      <c r="F1295" s="145">
        <v>810</v>
      </c>
      <c r="G1295" s="69"/>
      <c r="H1295" s="69"/>
      <c r="I1295" s="69"/>
      <c r="J1295" s="69"/>
      <c r="K1295" s="85"/>
      <c r="L1295" s="13"/>
      <c r="M1295" s="85"/>
      <c r="N1295" s="13"/>
      <c r="O1295" s="85"/>
      <c r="P1295" s="13"/>
      <c r="Q1295" s="85"/>
      <c r="R1295" s="13"/>
      <c r="S1295" s="85"/>
      <c r="T1295" s="13">
        <v>126.4</v>
      </c>
      <c r="U1295" s="85">
        <f>S1295+T1295</f>
        <v>126.4</v>
      </c>
    </row>
    <row r="1296" spans="1:21">
      <c r="A1296" s="61" t="str">
        <f ca="1">IF(ISERROR(MATCH(C1296,Код_Раздел,0)),"",INDIRECT(ADDRESS(MATCH(C1296,Код_Раздел,0)+1,2,,,"Раздел")))</f>
        <v>Образование</v>
      </c>
      <c r="B1296" s="145">
        <v>810</v>
      </c>
      <c r="C1296" s="8" t="s">
        <v>195</v>
      </c>
      <c r="D1296" s="8"/>
      <c r="E1296" s="145"/>
      <c r="F1296" s="145"/>
      <c r="G1296" s="69">
        <f>G1297</f>
        <v>66536.100000000006</v>
      </c>
      <c r="H1296" s="69">
        <f>H1297</f>
        <v>0</v>
      </c>
      <c r="I1296" s="69">
        <f t="shared" si="283"/>
        <v>66536.100000000006</v>
      </c>
      <c r="J1296" s="69">
        <f>J1297</f>
        <v>-3297.1</v>
      </c>
      <c r="K1296" s="85">
        <f t="shared" si="279"/>
        <v>63239.000000000007</v>
      </c>
      <c r="L1296" s="13">
        <f>L1297</f>
        <v>-2965.2</v>
      </c>
      <c r="M1296" s="85">
        <f t="shared" si="277"/>
        <v>60273.80000000001</v>
      </c>
      <c r="N1296" s="13">
        <f>N1297</f>
        <v>0</v>
      </c>
      <c r="O1296" s="85">
        <f t="shared" si="278"/>
        <v>60273.80000000001</v>
      </c>
      <c r="P1296" s="13">
        <f>P1297</f>
        <v>0</v>
      </c>
      <c r="Q1296" s="85">
        <f t="shared" si="287"/>
        <v>60273.80000000001</v>
      </c>
      <c r="R1296" s="13">
        <f>R1297</f>
        <v>0</v>
      </c>
      <c r="S1296" s="85">
        <f t="shared" si="286"/>
        <v>60273.80000000001</v>
      </c>
      <c r="T1296" s="13">
        <f>T1297</f>
        <v>0</v>
      </c>
      <c r="U1296" s="85">
        <f t="shared" si="282"/>
        <v>60273.80000000001</v>
      </c>
    </row>
    <row r="1297" spans="1:22">
      <c r="A1297" s="12" t="s">
        <v>199</v>
      </c>
      <c r="B1297" s="145">
        <v>810</v>
      </c>
      <c r="C1297" s="8" t="s">
        <v>195</v>
      </c>
      <c r="D1297" s="8" t="s">
        <v>195</v>
      </c>
      <c r="E1297" s="145"/>
      <c r="F1297" s="145"/>
      <c r="G1297" s="69">
        <f>G1298</f>
        <v>66536.100000000006</v>
      </c>
      <c r="H1297" s="69">
        <f>H1298</f>
        <v>0</v>
      </c>
      <c r="I1297" s="69">
        <f t="shared" si="283"/>
        <v>66536.100000000006</v>
      </c>
      <c r="J1297" s="69">
        <f>J1298</f>
        <v>-3297.1</v>
      </c>
      <c r="K1297" s="85">
        <f t="shared" si="279"/>
        <v>63239.000000000007</v>
      </c>
      <c r="L1297" s="13">
        <f>L1298</f>
        <v>-2965.2</v>
      </c>
      <c r="M1297" s="85">
        <f t="shared" si="277"/>
        <v>60273.80000000001</v>
      </c>
      <c r="N1297" s="13">
        <f>N1298</f>
        <v>0</v>
      </c>
      <c r="O1297" s="85">
        <f t="shared" si="278"/>
        <v>60273.80000000001</v>
      </c>
      <c r="P1297" s="13">
        <f>P1298</f>
        <v>0</v>
      </c>
      <c r="Q1297" s="85">
        <f t="shared" si="287"/>
        <v>60273.80000000001</v>
      </c>
      <c r="R1297" s="13">
        <f>R1298</f>
        <v>0</v>
      </c>
      <c r="S1297" s="85">
        <f t="shared" si="286"/>
        <v>60273.80000000001</v>
      </c>
      <c r="T1297" s="13">
        <f>T1298</f>
        <v>0</v>
      </c>
      <c r="U1297" s="85">
        <f t="shared" si="282"/>
        <v>60273.80000000001</v>
      </c>
    </row>
    <row r="1298" spans="1:22" ht="33">
      <c r="A1298" s="61" t="str">
        <f ca="1">IF(ISERROR(MATCH(E1298,Код_КЦСР,0)),"",INDIRECT(ADDRESS(MATCH(E1298,Код_КЦСР,0)+1,2,,,"КЦСР")))</f>
        <v>Муниципальная программа «Социальная поддержка граждан» на 2014-2018 годы</v>
      </c>
      <c r="B1298" s="145">
        <v>810</v>
      </c>
      <c r="C1298" s="8" t="s">
        <v>195</v>
      </c>
      <c r="D1298" s="8" t="s">
        <v>195</v>
      </c>
      <c r="E1298" s="145" t="s">
        <v>5</v>
      </c>
      <c r="F1298" s="145"/>
      <c r="G1298" s="69">
        <f>G1299+G1303+G1309+G1313</f>
        <v>66536.100000000006</v>
      </c>
      <c r="H1298" s="69">
        <f>H1299+H1303+H1309+H1313</f>
        <v>0</v>
      </c>
      <c r="I1298" s="69">
        <f t="shared" si="283"/>
        <v>66536.100000000006</v>
      </c>
      <c r="J1298" s="69">
        <f>J1299+J1303+J1309+J1313</f>
        <v>-3297.1</v>
      </c>
      <c r="K1298" s="85">
        <f t="shared" si="279"/>
        <v>63239.000000000007</v>
      </c>
      <c r="L1298" s="13">
        <f>L1299+L1303+L1309+L1313</f>
        <v>-2965.2</v>
      </c>
      <c r="M1298" s="85">
        <f t="shared" si="277"/>
        <v>60273.80000000001</v>
      </c>
      <c r="N1298" s="13">
        <f>N1299+N1303+N1309+N1313</f>
        <v>0</v>
      </c>
      <c r="O1298" s="85">
        <f t="shared" si="278"/>
        <v>60273.80000000001</v>
      </c>
      <c r="P1298" s="13">
        <f>P1299+P1303+P1309+P1313</f>
        <v>0</v>
      </c>
      <c r="Q1298" s="85">
        <f t="shared" si="287"/>
        <v>60273.80000000001</v>
      </c>
      <c r="R1298" s="13">
        <f>R1299+R1303+R1309+R1313</f>
        <v>0</v>
      </c>
      <c r="S1298" s="85">
        <f t="shared" si="286"/>
        <v>60273.80000000001</v>
      </c>
      <c r="T1298" s="13">
        <f>T1299+T1303+T1309+T1313</f>
        <v>0</v>
      </c>
      <c r="U1298" s="85">
        <f t="shared" si="282"/>
        <v>60273.80000000001</v>
      </c>
    </row>
    <row r="1299" spans="1:22" ht="49.5">
      <c r="A1299" s="61" t="str">
        <f ca="1">IF(ISERROR(MATCH(E1299,Код_КЦСР,0)),"",INDIRECT(ADDRESS(MATCH(E1299,Код_КЦСР,0)+1,2,,,"КЦСР")))</f>
        <v>Частичная оплата стоимости путевок в оздоровительные учреждения для детей работников органов городского самоуправления и муниципальных учреждений города</v>
      </c>
      <c r="B1299" s="145">
        <v>810</v>
      </c>
      <c r="C1299" s="8" t="s">
        <v>195</v>
      </c>
      <c r="D1299" s="8" t="s">
        <v>195</v>
      </c>
      <c r="E1299" s="145" t="s">
        <v>6</v>
      </c>
      <c r="F1299" s="145"/>
      <c r="G1299" s="69">
        <f t="shared" ref="G1299:T1301" si="290">G1300</f>
        <v>962.5</v>
      </c>
      <c r="H1299" s="69">
        <f t="shared" si="290"/>
        <v>0</v>
      </c>
      <c r="I1299" s="69">
        <f t="shared" si="283"/>
        <v>962.5</v>
      </c>
      <c r="J1299" s="69">
        <f t="shared" si="290"/>
        <v>0</v>
      </c>
      <c r="K1299" s="85">
        <f t="shared" si="279"/>
        <v>962.5</v>
      </c>
      <c r="L1299" s="13">
        <f t="shared" si="290"/>
        <v>0</v>
      </c>
      <c r="M1299" s="85">
        <f t="shared" si="277"/>
        <v>962.5</v>
      </c>
      <c r="N1299" s="13">
        <f t="shared" si="290"/>
        <v>0</v>
      </c>
      <c r="O1299" s="85">
        <f t="shared" si="278"/>
        <v>962.5</v>
      </c>
      <c r="P1299" s="13">
        <f t="shared" si="290"/>
        <v>0</v>
      </c>
      <c r="Q1299" s="85">
        <f t="shared" si="287"/>
        <v>962.5</v>
      </c>
      <c r="R1299" s="13">
        <f t="shared" si="290"/>
        <v>0</v>
      </c>
      <c r="S1299" s="85">
        <f t="shared" si="286"/>
        <v>962.5</v>
      </c>
      <c r="T1299" s="13">
        <f>T1300</f>
        <v>0</v>
      </c>
      <c r="U1299" s="85">
        <f t="shared" si="282"/>
        <v>962.5</v>
      </c>
    </row>
    <row r="1300" spans="1:22">
      <c r="A1300" s="61" t="str">
        <f ca="1">IF(ISERROR(MATCH(F1300,Код_КВР,0)),"",INDIRECT(ADDRESS(MATCH(F1300,Код_КВР,0)+1,2,,,"КВР")))</f>
        <v>Социальное обеспечение и иные выплаты населению</v>
      </c>
      <c r="B1300" s="145">
        <v>810</v>
      </c>
      <c r="C1300" s="8" t="s">
        <v>195</v>
      </c>
      <c r="D1300" s="8" t="s">
        <v>195</v>
      </c>
      <c r="E1300" s="145" t="s">
        <v>6</v>
      </c>
      <c r="F1300" s="145">
        <v>300</v>
      </c>
      <c r="G1300" s="69">
        <f t="shared" si="290"/>
        <v>962.5</v>
      </c>
      <c r="H1300" s="69">
        <f t="shared" si="290"/>
        <v>0</v>
      </c>
      <c r="I1300" s="69">
        <f t="shared" si="283"/>
        <v>962.5</v>
      </c>
      <c r="J1300" s="69">
        <f t="shared" si="290"/>
        <v>0</v>
      </c>
      <c r="K1300" s="85">
        <f t="shared" si="279"/>
        <v>962.5</v>
      </c>
      <c r="L1300" s="13">
        <f t="shared" si="290"/>
        <v>0</v>
      </c>
      <c r="M1300" s="85">
        <f t="shared" si="277"/>
        <v>962.5</v>
      </c>
      <c r="N1300" s="13">
        <f t="shared" si="290"/>
        <v>0</v>
      </c>
      <c r="O1300" s="85">
        <f t="shared" si="278"/>
        <v>962.5</v>
      </c>
      <c r="P1300" s="13">
        <f t="shared" si="290"/>
        <v>0</v>
      </c>
      <c r="Q1300" s="85">
        <f t="shared" si="287"/>
        <v>962.5</v>
      </c>
      <c r="R1300" s="13">
        <f t="shared" si="290"/>
        <v>0</v>
      </c>
      <c r="S1300" s="85">
        <f t="shared" si="286"/>
        <v>962.5</v>
      </c>
      <c r="T1300" s="13">
        <f t="shared" si="290"/>
        <v>0</v>
      </c>
      <c r="U1300" s="85">
        <f t="shared" si="282"/>
        <v>962.5</v>
      </c>
    </row>
    <row r="1301" spans="1:22" ht="33">
      <c r="A1301" s="61" t="str">
        <f ca="1">IF(ISERROR(MATCH(F1301,Код_КВР,0)),"",INDIRECT(ADDRESS(MATCH(F1301,Код_КВР,0)+1,2,,,"КВР")))</f>
        <v>Социальные выплаты гражданам, кроме публичных нормативных социальных выплат</v>
      </c>
      <c r="B1301" s="145">
        <v>810</v>
      </c>
      <c r="C1301" s="8" t="s">
        <v>195</v>
      </c>
      <c r="D1301" s="8" t="s">
        <v>195</v>
      </c>
      <c r="E1301" s="145" t="s">
        <v>6</v>
      </c>
      <c r="F1301" s="145">
        <v>320</v>
      </c>
      <c r="G1301" s="69">
        <f t="shared" si="290"/>
        <v>962.5</v>
      </c>
      <c r="H1301" s="69">
        <f t="shared" si="290"/>
        <v>0</v>
      </c>
      <c r="I1301" s="69">
        <f t="shared" si="283"/>
        <v>962.5</v>
      </c>
      <c r="J1301" s="69">
        <f t="shared" si="290"/>
        <v>0</v>
      </c>
      <c r="K1301" s="85">
        <f t="shared" si="279"/>
        <v>962.5</v>
      </c>
      <c r="L1301" s="13">
        <f t="shared" si="290"/>
        <v>0</v>
      </c>
      <c r="M1301" s="85">
        <f t="shared" si="277"/>
        <v>962.5</v>
      </c>
      <c r="N1301" s="13">
        <f t="shared" si="290"/>
        <v>0</v>
      </c>
      <c r="O1301" s="85">
        <f t="shared" si="278"/>
        <v>962.5</v>
      </c>
      <c r="P1301" s="13">
        <f t="shared" si="290"/>
        <v>0</v>
      </c>
      <c r="Q1301" s="85">
        <f t="shared" si="287"/>
        <v>962.5</v>
      </c>
      <c r="R1301" s="13">
        <f t="shared" si="290"/>
        <v>0</v>
      </c>
      <c r="S1301" s="85">
        <f t="shared" si="286"/>
        <v>962.5</v>
      </c>
      <c r="T1301" s="13">
        <f t="shared" si="290"/>
        <v>0</v>
      </c>
      <c r="U1301" s="85">
        <f t="shared" si="282"/>
        <v>962.5</v>
      </c>
    </row>
    <row r="1302" spans="1:22" ht="33">
      <c r="A1302" s="61" t="str">
        <f ca="1">IF(ISERROR(MATCH(F1302,Код_КВР,0)),"",INDIRECT(ADDRESS(MATCH(F1302,Код_КВР,0)+1,2,,,"КВР")))</f>
        <v>Приобретение товаров, работ, услуг в пользу граждан в целях их социального обеспечения</v>
      </c>
      <c r="B1302" s="145">
        <v>810</v>
      </c>
      <c r="C1302" s="8" t="s">
        <v>195</v>
      </c>
      <c r="D1302" s="8" t="s">
        <v>195</v>
      </c>
      <c r="E1302" s="145" t="s">
        <v>6</v>
      </c>
      <c r="F1302" s="145">
        <v>323</v>
      </c>
      <c r="G1302" s="69">
        <v>962.5</v>
      </c>
      <c r="H1302" s="69"/>
      <c r="I1302" s="69">
        <f t="shared" si="283"/>
        <v>962.5</v>
      </c>
      <c r="J1302" s="69"/>
      <c r="K1302" s="85">
        <f t="shared" si="279"/>
        <v>962.5</v>
      </c>
      <c r="L1302" s="13"/>
      <c r="M1302" s="85">
        <f t="shared" si="277"/>
        <v>962.5</v>
      </c>
      <c r="N1302" s="13"/>
      <c r="O1302" s="85">
        <f t="shared" si="278"/>
        <v>962.5</v>
      </c>
      <c r="P1302" s="13"/>
      <c r="Q1302" s="85">
        <f t="shared" si="287"/>
        <v>962.5</v>
      </c>
      <c r="R1302" s="13"/>
      <c r="S1302" s="85">
        <f t="shared" si="286"/>
        <v>962.5</v>
      </c>
      <c r="T1302" s="13"/>
      <c r="U1302" s="85">
        <f t="shared" si="282"/>
        <v>962.5</v>
      </c>
    </row>
    <row r="1303" spans="1:22" ht="65.25" customHeight="1">
      <c r="A1303" s="61" t="str">
        <f ca="1">IF(ISERROR(MATCH(E1303,Код_КЦСР,0)),"",INDIRECT(ADDRESS(MATCH(E1303,Код_КЦСР,0)+1,2,,,"КЦСР")))</f>
        <v>Субсидии на возмещение затрат, связанных с потреблением: энергетических ресурсов, водоснабжения и водоотведения юридическим лицам, осуществляющим свою деятельность в сфере организации отдыха детей</v>
      </c>
      <c r="B1303" s="145">
        <v>810</v>
      </c>
      <c r="C1303" s="8" t="s">
        <v>195</v>
      </c>
      <c r="D1303" s="8" t="s">
        <v>195</v>
      </c>
      <c r="E1303" s="145" t="s">
        <v>365</v>
      </c>
      <c r="F1303" s="145"/>
      <c r="G1303" s="69">
        <f t="shared" ref="G1303:T1305" si="291">G1304</f>
        <v>26528.400000000001</v>
      </c>
      <c r="H1303" s="69">
        <f t="shared" si="291"/>
        <v>0</v>
      </c>
      <c r="I1303" s="69">
        <f t="shared" si="283"/>
        <v>26528.400000000001</v>
      </c>
      <c r="J1303" s="69">
        <f>J1304+J1307</f>
        <v>0</v>
      </c>
      <c r="K1303" s="85">
        <f t="shared" si="279"/>
        <v>26528.400000000001</v>
      </c>
      <c r="L1303" s="13">
        <f>L1304+L1307</f>
        <v>-2965.2</v>
      </c>
      <c r="M1303" s="85">
        <f t="shared" si="277"/>
        <v>23563.200000000001</v>
      </c>
      <c r="N1303" s="13">
        <f>N1304+N1307</f>
        <v>0</v>
      </c>
      <c r="O1303" s="85">
        <f t="shared" si="278"/>
        <v>23563.200000000001</v>
      </c>
      <c r="P1303" s="13">
        <f>P1304+P1307</f>
        <v>0</v>
      </c>
      <c r="Q1303" s="85">
        <f t="shared" si="287"/>
        <v>23563.200000000001</v>
      </c>
      <c r="R1303" s="13">
        <f>R1304+R1307</f>
        <v>0</v>
      </c>
      <c r="S1303" s="85">
        <f t="shared" si="286"/>
        <v>23563.200000000001</v>
      </c>
      <c r="T1303" s="13">
        <f>T1304+T1307</f>
        <v>0</v>
      </c>
      <c r="U1303" s="85">
        <f t="shared" si="282"/>
        <v>23563.200000000001</v>
      </c>
    </row>
    <row r="1304" spans="1:22" hidden="1">
      <c r="A1304" s="61" t="str">
        <f ca="1">IF(ISERROR(MATCH(F1304,Код_КВР,0)),"",INDIRECT(ADDRESS(MATCH(F1304,Код_КВР,0)+1,2,,,"КВР")))</f>
        <v>Социальное обеспечение и иные выплаты населению</v>
      </c>
      <c r="B1304" s="145">
        <v>810</v>
      </c>
      <c r="C1304" s="8" t="s">
        <v>195</v>
      </c>
      <c r="D1304" s="8" t="s">
        <v>195</v>
      </c>
      <c r="E1304" s="145" t="s">
        <v>365</v>
      </c>
      <c r="F1304" s="145">
        <v>300</v>
      </c>
      <c r="G1304" s="69">
        <f t="shared" si="291"/>
        <v>26528.400000000001</v>
      </c>
      <c r="H1304" s="69">
        <f t="shared" si="291"/>
        <v>0</v>
      </c>
      <c r="I1304" s="69">
        <f t="shared" si="283"/>
        <v>26528.400000000001</v>
      </c>
      <c r="J1304" s="69">
        <f t="shared" si="291"/>
        <v>-26528.400000000001</v>
      </c>
      <c r="K1304" s="85">
        <f t="shared" si="279"/>
        <v>0</v>
      </c>
      <c r="L1304" s="13">
        <f t="shared" si="291"/>
        <v>0</v>
      </c>
      <c r="M1304" s="85">
        <f t="shared" si="277"/>
        <v>0</v>
      </c>
      <c r="N1304" s="13">
        <f t="shared" si="291"/>
        <v>0</v>
      </c>
      <c r="O1304" s="85">
        <f t="shared" si="278"/>
        <v>0</v>
      </c>
      <c r="P1304" s="13">
        <f t="shared" si="291"/>
        <v>0</v>
      </c>
      <c r="Q1304" s="85">
        <f t="shared" si="287"/>
        <v>0</v>
      </c>
      <c r="R1304" s="13">
        <f t="shared" si="291"/>
        <v>0</v>
      </c>
      <c r="S1304" s="85">
        <f t="shared" si="286"/>
        <v>0</v>
      </c>
      <c r="T1304" s="13">
        <f t="shared" si="291"/>
        <v>0</v>
      </c>
      <c r="U1304" s="85">
        <f t="shared" si="282"/>
        <v>0</v>
      </c>
      <c r="V1304" s="155" t="s">
        <v>715</v>
      </c>
    </row>
    <row r="1305" spans="1:22" ht="33" hidden="1">
      <c r="A1305" s="61" t="str">
        <f ca="1">IF(ISERROR(MATCH(F1305,Код_КВР,0)),"",INDIRECT(ADDRESS(MATCH(F1305,Код_КВР,0)+1,2,,,"КВР")))</f>
        <v>Социальные выплаты гражданам, кроме публичных нормативных социальных выплат</v>
      </c>
      <c r="B1305" s="145">
        <v>810</v>
      </c>
      <c r="C1305" s="8" t="s">
        <v>195</v>
      </c>
      <c r="D1305" s="8" t="s">
        <v>195</v>
      </c>
      <c r="E1305" s="145" t="s">
        <v>365</v>
      </c>
      <c r="F1305" s="145">
        <v>320</v>
      </c>
      <c r="G1305" s="69">
        <f t="shared" si="291"/>
        <v>26528.400000000001</v>
      </c>
      <c r="H1305" s="69">
        <f t="shared" si="291"/>
        <v>0</v>
      </c>
      <c r="I1305" s="69">
        <f t="shared" si="283"/>
        <v>26528.400000000001</v>
      </c>
      <c r="J1305" s="69">
        <f t="shared" si="291"/>
        <v>-26528.400000000001</v>
      </c>
      <c r="K1305" s="85">
        <f t="shared" si="279"/>
        <v>0</v>
      </c>
      <c r="L1305" s="13">
        <f t="shared" si="291"/>
        <v>0</v>
      </c>
      <c r="M1305" s="85">
        <f t="shared" si="277"/>
        <v>0</v>
      </c>
      <c r="N1305" s="13">
        <f t="shared" si="291"/>
        <v>0</v>
      </c>
      <c r="O1305" s="85">
        <f t="shared" si="278"/>
        <v>0</v>
      </c>
      <c r="P1305" s="13">
        <f t="shared" si="291"/>
        <v>0</v>
      </c>
      <c r="Q1305" s="85">
        <f t="shared" si="287"/>
        <v>0</v>
      </c>
      <c r="R1305" s="13">
        <f t="shared" si="291"/>
        <v>0</v>
      </c>
      <c r="S1305" s="85">
        <f t="shared" si="286"/>
        <v>0</v>
      </c>
      <c r="T1305" s="13">
        <f t="shared" si="291"/>
        <v>0</v>
      </c>
      <c r="U1305" s="85">
        <f t="shared" si="282"/>
        <v>0</v>
      </c>
      <c r="V1305" s="155" t="s">
        <v>715</v>
      </c>
    </row>
    <row r="1306" spans="1:22" ht="33" hidden="1">
      <c r="A1306" s="61" t="str">
        <f ca="1">IF(ISERROR(MATCH(F1306,Код_КВР,0)),"",INDIRECT(ADDRESS(MATCH(F1306,Код_КВР,0)+1,2,,,"КВР")))</f>
        <v>Приобретение товаров, работ, услуг в пользу граждан в целях их социального обеспечения</v>
      </c>
      <c r="B1306" s="145">
        <v>810</v>
      </c>
      <c r="C1306" s="8" t="s">
        <v>195</v>
      </c>
      <c r="D1306" s="8" t="s">
        <v>195</v>
      </c>
      <c r="E1306" s="145" t="s">
        <v>365</v>
      </c>
      <c r="F1306" s="145">
        <v>323</v>
      </c>
      <c r="G1306" s="69">
        <v>26528.400000000001</v>
      </c>
      <c r="H1306" s="69"/>
      <c r="I1306" s="69">
        <f t="shared" si="283"/>
        <v>26528.400000000001</v>
      </c>
      <c r="J1306" s="69">
        <v>-26528.400000000001</v>
      </c>
      <c r="K1306" s="85">
        <f t="shared" si="279"/>
        <v>0</v>
      </c>
      <c r="L1306" s="13"/>
      <c r="M1306" s="85">
        <f t="shared" si="277"/>
        <v>0</v>
      </c>
      <c r="N1306" s="13"/>
      <c r="O1306" s="85">
        <f t="shared" si="278"/>
        <v>0</v>
      </c>
      <c r="P1306" s="13"/>
      <c r="Q1306" s="85">
        <f t="shared" si="287"/>
        <v>0</v>
      </c>
      <c r="R1306" s="13"/>
      <c r="S1306" s="85">
        <f t="shared" si="286"/>
        <v>0</v>
      </c>
      <c r="T1306" s="13"/>
      <c r="U1306" s="85">
        <f t="shared" si="282"/>
        <v>0</v>
      </c>
      <c r="V1306" s="155" t="s">
        <v>715</v>
      </c>
    </row>
    <row r="1307" spans="1:22">
      <c r="A1307" s="61" t="str">
        <f ca="1">IF(ISERROR(MATCH(F1307,Код_КВР,0)),"",INDIRECT(ADDRESS(MATCH(F1307,Код_КВР,0)+1,2,,,"КВР")))</f>
        <v>Иные бюджетные ассигнования</v>
      </c>
      <c r="B1307" s="145">
        <v>810</v>
      </c>
      <c r="C1307" s="8" t="s">
        <v>195</v>
      </c>
      <c r="D1307" s="8" t="s">
        <v>195</v>
      </c>
      <c r="E1307" s="145" t="s">
        <v>365</v>
      </c>
      <c r="F1307" s="145">
        <v>800</v>
      </c>
      <c r="G1307" s="69"/>
      <c r="H1307" s="69"/>
      <c r="I1307" s="69"/>
      <c r="J1307" s="69">
        <f>J1308</f>
        <v>26528.400000000001</v>
      </c>
      <c r="K1307" s="85">
        <f t="shared" si="279"/>
        <v>26528.400000000001</v>
      </c>
      <c r="L1307" s="13">
        <f>L1308</f>
        <v>-2965.2</v>
      </c>
      <c r="M1307" s="85">
        <f t="shared" si="277"/>
        <v>23563.200000000001</v>
      </c>
      <c r="N1307" s="13">
        <f>N1308</f>
        <v>0</v>
      </c>
      <c r="O1307" s="85">
        <f t="shared" si="278"/>
        <v>23563.200000000001</v>
      </c>
      <c r="P1307" s="13">
        <f>P1308</f>
        <v>0</v>
      </c>
      <c r="Q1307" s="85">
        <f t="shared" si="287"/>
        <v>23563.200000000001</v>
      </c>
      <c r="R1307" s="13">
        <f>R1308</f>
        <v>0</v>
      </c>
      <c r="S1307" s="85">
        <f t="shared" si="286"/>
        <v>23563.200000000001</v>
      </c>
      <c r="T1307" s="13">
        <f>T1308</f>
        <v>0</v>
      </c>
      <c r="U1307" s="85">
        <f t="shared" si="282"/>
        <v>23563.200000000001</v>
      </c>
    </row>
    <row r="1308" spans="1:22" ht="33">
      <c r="A1308" s="61" t="str">
        <f ca="1">IF(ISERROR(MATCH(F1308,Код_КВР,0)),"",INDIRECT(ADDRESS(MATCH(F1308,Код_КВР,0)+1,2,,,"КВР")))</f>
        <v>Субсидии юридическим лицам (кроме некоммерческих организаций), индивидуальным предпринимателям, физическим лицам</v>
      </c>
      <c r="B1308" s="145">
        <v>810</v>
      </c>
      <c r="C1308" s="8" t="s">
        <v>195</v>
      </c>
      <c r="D1308" s="8" t="s">
        <v>195</v>
      </c>
      <c r="E1308" s="145" t="s">
        <v>365</v>
      </c>
      <c r="F1308" s="145">
        <v>810</v>
      </c>
      <c r="G1308" s="69"/>
      <c r="H1308" s="69"/>
      <c r="I1308" s="69"/>
      <c r="J1308" s="69">
        <v>26528.400000000001</v>
      </c>
      <c r="K1308" s="85">
        <f t="shared" si="279"/>
        <v>26528.400000000001</v>
      </c>
      <c r="L1308" s="13">
        <f>-2965.2</f>
        <v>-2965.2</v>
      </c>
      <c r="M1308" s="85">
        <f t="shared" si="277"/>
        <v>23563.200000000001</v>
      </c>
      <c r="N1308" s="13"/>
      <c r="O1308" s="85">
        <f t="shared" si="278"/>
        <v>23563.200000000001</v>
      </c>
      <c r="P1308" s="13"/>
      <c r="Q1308" s="85">
        <f t="shared" si="287"/>
        <v>23563.200000000001</v>
      </c>
      <c r="R1308" s="13"/>
      <c r="S1308" s="85">
        <f t="shared" si="286"/>
        <v>23563.200000000001</v>
      </c>
      <c r="T1308" s="13"/>
      <c r="U1308" s="85">
        <f>S1308+T1308</f>
        <v>23563.200000000001</v>
      </c>
    </row>
    <row r="1309" spans="1:22" ht="33">
      <c r="A1309" s="61" t="str">
        <f ca="1">IF(ISERROR(MATCH(E1309,Код_КЦСР,0)),"",INDIRECT(ADDRESS(MATCH(E1309,Код_КЦСР,0)+1,2,,,"КЦСР")))</f>
        <v>Мероприятия по проведению оздоровительной кампании детей за счет субвенций из федерального бюджета</v>
      </c>
      <c r="B1309" s="145">
        <v>810</v>
      </c>
      <c r="C1309" s="8" t="s">
        <v>195</v>
      </c>
      <c r="D1309" s="8" t="s">
        <v>195</v>
      </c>
      <c r="E1309" s="145" t="s">
        <v>423</v>
      </c>
      <c r="F1309" s="145"/>
      <c r="G1309" s="69">
        <f t="shared" ref="G1309:T1311" si="292">G1310</f>
        <v>4806</v>
      </c>
      <c r="H1309" s="69">
        <f t="shared" si="292"/>
        <v>0</v>
      </c>
      <c r="I1309" s="69">
        <f t="shared" si="283"/>
        <v>4806</v>
      </c>
      <c r="J1309" s="69">
        <f t="shared" si="292"/>
        <v>0</v>
      </c>
      <c r="K1309" s="85">
        <f t="shared" si="279"/>
        <v>4806</v>
      </c>
      <c r="L1309" s="13">
        <f t="shared" si="292"/>
        <v>0</v>
      </c>
      <c r="M1309" s="85">
        <f t="shared" si="277"/>
        <v>4806</v>
      </c>
      <c r="N1309" s="13">
        <f t="shared" si="292"/>
        <v>0</v>
      </c>
      <c r="O1309" s="85">
        <f t="shared" si="278"/>
        <v>4806</v>
      </c>
      <c r="P1309" s="13">
        <f t="shared" si="292"/>
        <v>0</v>
      </c>
      <c r="Q1309" s="85">
        <f t="shared" si="287"/>
        <v>4806</v>
      </c>
      <c r="R1309" s="13">
        <f t="shared" si="292"/>
        <v>0</v>
      </c>
      <c r="S1309" s="85">
        <f t="shared" si="286"/>
        <v>4806</v>
      </c>
      <c r="T1309" s="13">
        <f t="shared" si="292"/>
        <v>0</v>
      </c>
      <c r="U1309" s="85">
        <f t="shared" si="282"/>
        <v>4806</v>
      </c>
    </row>
    <row r="1310" spans="1:22">
      <c r="A1310" s="61" t="str">
        <f ca="1">IF(ISERROR(MATCH(F1310,Код_КВР,0)),"",INDIRECT(ADDRESS(MATCH(F1310,Код_КВР,0)+1,2,,,"КВР")))</f>
        <v>Социальное обеспечение и иные выплаты населению</v>
      </c>
      <c r="B1310" s="145">
        <v>810</v>
      </c>
      <c r="C1310" s="8" t="s">
        <v>195</v>
      </c>
      <c r="D1310" s="8" t="s">
        <v>195</v>
      </c>
      <c r="E1310" s="145" t="s">
        <v>423</v>
      </c>
      <c r="F1310" s="145">
        <v>300</v>
      </c>
      <c r="G1310" s="69">
        <f t="shared" si="292"/>
        <v>4806</v>
      </c>
      <c r="H1310" s="69">
        <f t="shared" si="292"/>
        <v>0</v>
      </c>
      <c r="I1310" s="69">
        <f t="shared" si="283"/>
        <v>4806</v>
      </c>
      <c r="J1310" s="69">
        <f t="shared" si="292"/>
        <v>0</v>
      </c>
      <c r="K1310" s="85">
        <f t="shared" si="279"/>
        <v>4806</v>
      </c>
      <c r="L1310" s="13">
        <f t="shared" si="292"/>
        <v>0</v>
      </c>
      <c r="M1310" s="85">
        <f t="shared" si="277"/>
        <v>4806</v>
      </c>
      <c r="N1310" s="13">
        <f t="shared" si="292"/>
        <v>0</v>
      </c>
      <c r="O1310" s="85">
        <f t="shared" si="278"/>
        <v>4806</v>
      </c>
      <c r="P1310" s="13">
        <f t="shared" si="292"/>
        <v>0</v>
      </c>
      <c r="Q1310" s="85">
        <f t="shared" si="287"/>
        <v>4806</v>
      </c>
      <c r="R1310" s="13">
        <f t="shared" si="292"/>
        <v>0</v>
      </c>
      <c r="S1310" s="85">
        <f t="shared" si="286"/>
        <v>4806</v>
      </c>
      <c r="T1310" s="13">
        <f t="shared" si="292"/>
        <v>0</v>
      </c>
      <c r="U1310" s="85">
        <f t="shared" si="282"/>
        <v>4806</v>
      </c>
    </row>
    <row r="1311" spans="1:22" ht="33">
      <c r="A1311" s="61" t="str">
        <f ca="1">IF(ISERROR(MATCH(F1311,Код_КВР,0)),"",INDIRECT(ADDRESS(MATCH(F1311,Код_КВР,0)+1,2,,,"КВР")))</f>
        <v>Социальные выплаты гражданам, кроме публичных нормативных социальных выплат</v>
      </c>
      <c r="B1311" s="145">
        <v>810</v>
      </c>
      <c r="C1311" s="8" t="s">
        <v>195</v>
      </c>
      <c r="D1311" s="8" t="s">
        <v>195</v>
      </c>
      <c r="E1311" s="145" t="s">
        <v>423</v>
      </c>
      <c r="F1311" s="145">
        <v>320</v>
      </c>
      <c r="G1311" s="69">
        <f t="shared" si="292"/>
        <v>4806</v>
      </c>
      <c r="H1311" s="69">
        <f t="shared" si="292"/>
        <v>0</v>
      </c>
      <c r="I1311" s="69">
        <f t="shared" si="283"/>
        <v>4806</v>
      </c>
      <c r="J1311" s="69">
        <f t="shared" si="292"/>
        <v>0</v>
      </c>
      <c r="K1311" s="85">
        <f t="shared" si="279"/>
        <v>4806</v>
      </c>
      <c r="L1311" s="13">
        <f t="shared" si="292"/>
        <v>0</v>
      </c>
      <c r="M1311" s="85">
        <f t="shared" si="277"/>
        <v>4806</v>
      </c>
      <c r="N1311" s="13">
        <f t="shared" si="292"/>
        <v>0</v>
      </c>
      <c r="O1311" s="85">
        <f t="shared" si="278"/>
        <v>4806</v>
      </c>
      <c r="P1311" s="13">
        <f t="shared" si="292"/>
        <v>0</v>
      </c>
      <c r="Q1311" s="85">
        <f t="shared" si="287"/>
        <v>4806</v>
      </c>
      <c r="R1311" s="13">
        <f t="shared" si="292"/>
        <v>0</v>
      </c>
      <c r="S1311" s="85">
        <f t="shared" si="286"/>
        <v>4806</v>
      </c>
      <c r="T1311" s="13">
        <f t="shared" si="292"/>
        <v>0</v>
      </c>
      <c r="U1311" s="85">
        <f t="shared" si="282"/>
        <v>4806</v>
      </c>
    </row>
    <row r="1312" spans="1:22" ht="33">
      <c r="A1312" s="61" t="str">
        <f ca="1">IF(ISERROR(MATCH(F1312,Код_КВР,0)),"",INDIRECT(ADDRESS(MATCH(F1312,Код_КВР,0)+1,2,,,"КВР")))</f>
        <v>Приобретение товаров, работ, услуг в пользу граждан в целях их социального обеспечения</v>
      </c>
      <c r="B1312" s="145">
        <v>810</v>
      </c>
      <c r="C1312" s="8" t="s">
        <v>195</v>
      </c>
      <c r="D1312" s="8" t="s">
        <v>195</v>
      </c>
      <c r="E1312" s="145" t="s">
        <v>423</v>
      </c>
      <c r="F1312" s="145">
        <v>323</v>
      </c>
      <c r="G1312" s="69">
        <v>4806</v>
      </c>
      <c r="H1312" s="69"/>
      <c r="I1312" s="69">
        <f t="shared" si="283"/>
        <v>4806</v>
      </c>
      <c r="J1312" s="69"/>
      <c r="K1312" s="85">
        <f t="shared" si="279"/>
        <v>4806</v>
      </c>
      <c r="L1312" s="13"/>
      <c r="M1312" s="85">
        <f t="shared" si="277"/>
        <v>4806</v>
      </c>
      <c r="N1312" s="13"/>
      <c r="O1312" s="85">
        <f t="shared" si="278"/>
        <v>4806</v>
      </c>
      <c r="P1312" s="13"/>
      <c r="Q1312" s="85">
        <f t="shared" si="287"/>
        <v>4806</v>
      </c>
      <c r="R1312" s="13"/>
      <c r="S1312" s="85">
        <f t="shared" si="286"/>
        <v>4806</v>
      </c>
      <c r="T1312" s="13"/>
      <c r="U1312" s="85">
        <f t="shared" si="282"/>
        <v>4806</v>
      </c>
    </row>
    <row r="1313" spans="1:21" ht="82.5">
      <c r="A1313" s="61" t="str">
        <f ca="1">IF(ISERROR(MATCH(E1313,Код_КЦСР,0)),"",INDIRECT(ADDRESS(MATCH(E1313,Код_КЦСР,0)+1,2,,,"КЦСР")))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313" s="145">
        <v>810</v>
      </c>
      <c r="C1313" s="8" t="s">
        <v>195</v>
      </c>
      <c r="D1313" s="8" t="s">
        <v>195</v>
      </c>
      <c r="E1313" s="145" t="s">
        <v>406</v>
      </c>
      <c r="F1313" s="145"/>
      <c r="G1313" s="69">
        <f t="shared" ref="G1313:T1315" si="293">G1314</f>
        <v>34239.200000000004</v>
      </c>
      <c r="H1313" s="69">
        <f t="shared" si="293"/>
        <v>0</v>
      </c>
      <c r="I1313" s="69">
        <f t="shared" si="283"/>
        <v>34239.200000000004</v>
      </c>
      <c r="J1313" s="69">
        <f t="shared" si="293"/>
        <v>-3297.1</v>
      </c>
      <c r="K1313" s="85">
        <f t="shared" si="279"/>
        <v>30942.100000000006</v>
      </c>
      <c r="L1313" s="13">
        <f t="shared" si="293"/>
        <v>0</v>
      </c>
      <c r="M1313" s="85">
        <f t="shared" si="277"/>
        <v>30942.100000000006</v>
      </c>
      <c r="N1313" s="13">
        <f t="shared" si="293"/>
        <v>0</v>
      </c>
      <c r="O1313" s="85">
        <f t="shared" si="278"/>
        <v>30942.100000000006</v>
      </c>
      <c r="P1313" s="13">
        <f t="shared" si="293"/>
        <v>0</v>
      </c>
      <c r="Q1313" s="85">
        <f t="shared" si="287"/>
        <v>30942.100000000006</v>
      </c>
      <c r="R1313" s="13">
        <f t="shared" si="293"/>
        <v>0</v>
      </c>
      <c r="S1313" s="85">
        <f t="shared" si="286"/>
        <v>30942.100000000006</v>
      </c>
      <c r="T1313" s="13">
        <f t="shared" si="293"/>
        <v>0</v>
      </c>
      <c r="U1313" s="85">
        <f t="shared" si="282"/>
        <v>30942.100000000006</v>
      </c>
    </row>
    <row r="1314" spans="1:21">
      <c r="A1314" s="61" t="str">
        <f ca="1">IF(ISERROR(MATCH(F1314,Код_КВР,0)),"",INDIRECT(ADDRESS(MATCH(F1314,Код_КВР,0)+1,2,,,"КВР")))</f>
        <v>Социальное обеспечение и иные выплаты населению</v>
      </c>
      <c r="B1314" s="145">
        <v>810</v>
      </c>
      <c r="C1314" s="8" t="s">
        <v>195</v>
      </c>
      <c r="D1314" s="8" t="s">
        <v>195</v>
      </c>
      <c r="E1314" s="145" t="s">
        <v>406</v>
      </c>
      <c r="F1314" s="145">
        <v>300</v>
      </c>
      <c r="G1314" s="69">
        <f t="shared" si="293"/>
        <v>34239.200000000004</v>
      </c>
      <c r="H1314" s="69">
        <f t="shared" si="293"/>
        <v>0</v>
      </c>
      <c r="I1314" s="69">
        <f t="shared" si="283"/>
        <v>34239.200000000004</v>
      </c>
      <c r="J1314" s="69">
        <f t="shared" si="293"/>
        <v>-3297.1</v>
      </c>
      <c r="K1314" s="85">
        <f t="shared" si="279"/>
        <v>30942.100000000006</v>
      </c>
      <c r="L1314" s="13">
        <f t="shared" si="293"/>
        <v>0</v>
      </c>
      <c r="M1314" s="85">
        <f t="shared" si="277"/>
        <v>30942.100000000006</v>
      </c>
      <c r="N1314" s="13">
        <f t="shared" si="293"/>
        <v>0</v>
      </c>
      <c r="O1314" s="85">
        <f t="shared" si="278"/>
        <v>30942.100000000006</v>
      </c>
      <c r="P1314" s="13">
        <f t="shared" si="293"/>
        <v>0</v>
      </c>
      <c r="Q1314" s="85">
        <f t="shared" si="287"/>
        <v>30942.100000000006</v>
      </c>
      <c r="R1314" s="13">
        <f t="shared" si="293"/>
        <v>0</v>
      </c>
      <c r="S1314" s="85">
        <f t="shared" si="286"/>
        <v>30942.100000000006</v>
      </c>
      <c r="T1314" s="13">
        <f t="shared" si="293"/>
        <v>0</v>
      </c>
      <c r="U1314" s="85">
        <f t="shared" si="282"/>
        <v>30942.100000000006</v>
      </c>
    </row>
    <row r="1315" spans="1:21" ht="33">
      <c r="A1315" s="61" t="str">
        <f ca="1">IF(ISERROR(MATCH(F1315,Код_КВР,0)),"",INDIRECT(ADDRESS(MATCH(F1315,Код_КВР,0)+1,2,,,"КВР")))</f>
        <v>Социальные выплаты гражданам, кроме публичных нормативных социальных выплат</v>
      </c>
      <c r="B1315" s="145">
        <v>810</v>
      </c>
      <c r="C1315" s="8" t="s">
        <v>195</v>
      </c>
      <c r="D1315" s="8" t="s">
        <v>195</v>
      </c>
      <c r="E1315" s="145" t="s">
        <v>406</v>
      </c>
      <c r="F1315" s="145">
        <v>320</v>
      </c>
      <c r="G1315" s="69">
        <f t="shared" si="293"/>
        <v>34239.200000000004</v>
      </c>
      <c r="H1315" s="69">
        <f t="shared" si="293"/>
        <v>0</v>
      </c>
      <c r="I1315" s="69">
        <f t="shared" si="283"/>
        <v>34239.200000000004</v>
      </c>
      <c r="J1315" s="69">
        <f t="shared" si="293"/>
        <v>-3297.1</v>
      </c>
      <c r="K1315" s="85">
        <f t="shared" si="279"/>
        <v>30942.100000000006</v>
      </c>
      <c r="L1315" s="13">
        <f t="shared" si="293"/>
        <v>0</v>
      </c>
      <c r="M1315" s="85">
        <f t="shared" si="277"/>
        <v>30942.100000000006</v>
      </c>
      <c r="N1315" s="13">
        <f t="shared" si="293"/>
        <v>0</v>
      </c>
      <c r="O1315" s="85">
        <f t="shared" si="278"/>
        <v>30942.100000000006</v>
      </c>
      <c r="P1315" s="13">
        <f t="shared" si="293"/>
        <v>0</v>
      </c>
      <c r="Q1315" s="85">
        <f t="shared" si="287"/>
        <v>30942.100000000006</v>
      </c>
      <c r="R1315" s="13">
        <f t="shared" si="293"/>
        <v>0</v>
      </c>
      <c r="S1315" s="85">
        <f t="shared" si="286"/>
        <v>30942.100000000006</v>
      </c>
      <c r="T1315" s="13">
        <f t="shared" si="293"/>
        <v>0</v>
      </c>
      <c r="U1315" s="85">
        <f t="shared" si="282"/>
        <v>30942.100000000006</v>
      </c>
    </row>
    <row r="1316" spans="1:21" ht="33">
      <c r="A1316" s="61" t="str">
        <f ca="1">IF(ISERROR(MATCH(F1316,Код_КВР,0)),"",INDIRECT(ADDRESS(MATCH(F1316,Код_КВР,0)+1,2,,,"КВР")))</f>
        <v>Приобретение товаров, работ, услуг в пользу граждан в целях их социального обеспечения</v>
      </c>
      <c r="B1316" s="145">
        <v>810</v>
      </c>
      <c r="C1316" s="8" t="s">
        <v>195</v>
      </c>
      <c r="D1316" s="8" t="s">
        <v>195</v>
      </c>
      <c r="E1316" s="145" t="s">
        <v>406</v>
      </c>
      <c r="F1316" s="145">
        <v>323</v>
      </c>
      <c r="G1316" s="69">
        <f>33765.8+473.4</f>
        <v>34239.200000000004</v>
      </c>
      <c r="H1316" s="69"/>
      <c r="I1316" s="69">
        <f t="shared" si="283"/>
        <v>34239.200000000004</v>
      </c>
      <c r="J1316" s="69">
        <v>-3297.1</v>
      </c>
      <c r="K1316" s="85">
        <f t="shared" si="279"/>
        <v>30942.100000000006</v>
      </c>
      <c r="L1316" s="13"/>
      <c r="M1316" s="85">
        <f t="shared" si="277"/>
        <v>30942.100000000006</v>
      </c>
      <c r="N1316" s="13"/>
      <c r="O1316" s="85">
        <f t="shared" si="278"/>
        <v>30942.100000000006</v>
      </c>
      <c r="P1316" s="13"/>
      <c r="Q1316" s="85">
        <f t="shared" si="287"/>
        <v>30942.100000000006</v>
      </c>
      <c r="R1316" s="13"/>
      <c r="S1316" s="85">
        <f t="shared" si="286"/>
        <v>30942.100000000006</v>
      </c>
      <c r="T1316" s="13"/>
      <c r="U1316" s="85">
        <f t="shared" si="282"/>
        <v>30942.100000000006</v>
      </c>
    </row>
    <row r="1317" spans="1:21">
      <c r="A1317" s="61" t="str">
        <f ca="1">IF(ISERROR(MATCH(C1317,Код_Раздел,0)),"",INDIRECT(ADDRESS(MATCH(C1317,Код_Раздел,0)+1,2,,,"Раздел")))</f>
        <v>Социальная политика</v>
      </c>
      <c r="B1317" s="145">
        <v>810</v>
      </c>
      <c r="C1317" s="8" t="s">
        <v>188</v>
      </c>
      <c r="D1317" s="8"/>
      <c r="E1317" s="145"/>
      <c r="F1317" s="145"/>
      <c r="G1317" s="69">
        <f>G1318+G1329+G1407</f>
        <v>830605.20000000007</v>
      </c>
      <c r="H1317" s="69">
        <f>H1318+H1329+H1407</f>
        <v>0</v>
      </c>
      <c r="I1317" s="69">
        <f t="shared" si="283"/>
        <v>830605.20000000007</v>
      </c>
      <c r="J1317" s="69">
        <f>J1318+J1329+J1407</f>
        <v>-718.2</v>
      </c>
      <c r="K1317" s="85">
        <f t="shared" si="279"/>
        <v>829887.00000000012</v>
      </c>
      <c r="L1317" s="13">
        <f>L1318+L1329+L1407</f>
        <v>-825</v>
      </c>
      <c r="M1317" s="85">
        <f t="shared" si="277"/>
        <v>829062.00000000012</v>
      </c>
      <c r="N1317" s="13">
        <f>N1318+N1329+N1407</f>
        <v>432</v>
      </c>
      <c r="O1317" s="85">
        <f t="shared" si="278"/>
        <v>829494.00000000012</v>
      </c>
      <c r="P1317" s="13">
        <f>P1318+P1329+P1407</f>
        <v>0</v>
      </c>
      <c r="Q1317" s="85">
        <f t="shared" si="287"/>
        <v>829494.00000000012</v>
      </c>
      <c r="R1317" s="13">
        <f>R1318+R1329+R1407</f>
        <v>67232.499999999985</v>
      </c>
      <c r="S1317" s="85">
        <f t="shared" si="286"/>
        <v>896726.50000000012</v>
      </c>
      <c r="T1317" s="13">
        <f>T1318+T1329+T1407</f>
        <v>46570.900000000009</v>
      </c>
      <c r="U1317" s="85">
        <f t="shared" si="282"/>
        <v>943297.40000000014</v>
      </c>
    </row>
    <row r="1318" spans="1:21">
      <c r="A1318" s="12" t="s">
        <v>259</v>
      </c>
      <c r="B1318" s="145">
        <v>810</v>
      </c>
      <c r="C1318" s="8" t="s">
        <v>188</v>
      </c>
      <c r="D1318" s="8" t="s">
        <v>214</v>
      </c>
      <c r="E1318" s="145"/>
      <c r="F1318" s="145"/>
      <c r="G1318" s="69">
        <f t="shared" ref="G1318:T1325" si="294">G1319</f>
        <v>114241.1</v>
      </c>
      <c r="H1318" s="69">
        <f t="shared" si="294"/>
        <v>0</v>
      </c>
      <c r="I1318" s="69">
        <f t="shared" si="283"/>
        <v>114241.1</v>
      </c>
      <c r="J1318" s="69">
        <f t="shared" si="294"/>
        <v>0</v>
      </c>
      <c r="K1318" s="85">
        <f t="shared" si="279"/>
        <v>114241.1</v>
      </c>
      <c r="L1318" s="13">
        <f t="shared" si="294"/>
        <v>0</v>
      </c>
      <c r="M1318" s="85">
        <f t="shared" si="277"/>
        <v>114241.1</v>
      </c>
      <c r="N1318" s="13">
        <f t="shared" si="294"/>
        <v>0</v>
      </c>
      <c r="O1318" s="85">
        <f t="shared" si="278"/>
        <v>114241.1</v>
      </c>
      <c r="P1318" s="13">
        <f t="shared" si="294"/>
        <v>365.3</v>
      </c>
      <c r="Q1318" s="85">
        <f t="shared" si="287"/>
        <v>114606.40000000001</v>
      </c>
      <c r="R1318" s="13">
        <f t="shared" si="294"/>
        <v>-22258.799999999999</v>
      </c>
      <c r="S1318" s="85">
        <f t="shared" si="286"/>
        <v>92347.6</v>
      </c>
      <c r="T1318" s="13">
        <f>T1319</f>
        <v>1426.2</v>
      </c>
      <c r="U1318" s="85">
        <f t="shared" si="282"/>
        <v>93773.8</v>
      </c>
    </row>
    <row r="1319" spans="1:21" ht="33">
      <c r="A1319" s="61" t="str">
        <f ca="1">IF(ISERROR(MATCH(E1319,Код_КЦСР,0)),"",INDIRECT(ADDRESS(MATCH(E1319,Код_КЦСР,0)+1,2,,,"КЦСР")))</f>
        <v>Муниципальная программа «Социальная поддержка граждан» на 2014-2018 годы</v>
      </c>
      <c r="B1319" s="145">
        <v>810</v>
      </c>
      <c r="C1319" s="8" t="s">
        <v>188</v>
      </c>
      <c r="D1319" s="8" t="s">
        <v>214</v>
      </c>
      <c r="E1319" s="145" t="s">
        <v>5</v>
      </c>
      <c r="F1319" s="145"/>
      <c r="G1319" s="69">
        <f>G1324</f>
        <v>114241.1</v>
      </c>
      <c r="H1319" s="69">
        <f>H1324</f>
        <v>0</v>
      </c>
      <c r="I1319" s="69">
        <f t="shared" si="283"/>
        <v>114241.1</v>
      </c>
      <c r="J1319" s="69">
        <f>J1324</f>
        <v>0</v>
      </c>
      <c r="K1319" s="85">
        <f t="shared" si="279"/>
        <v>114241.1</v>
      </c>
      <c r="L1319" s="13">
        <f>L1324</f>
        <v>0</v>
      </c>
      <c r="M1319" s="85">
        <f t="shared" si="277"/>
        <v>114241.1</v>
      </c>
      <c r="N1319" s="13">
        <f>N1324</f>
        <v>0</v>
      </c>
      <c r="O1319" s="85">
        <f t="shared" si="278"/>
        <v>114241.1</v>
      </c>
      <c r="P1319" s="13">
        <f>P1324</f>
        <v>365.3</v>
      </c>
      <c r="Q1319" s="85">
        <f t="shared" si="287"/>
        <v>114606.40000000001</v>
      </c>
      <c r="R1319" s="13">
        <f>R1324+R1320</f>
        <v>-22258.799999999999</v>
      </c>
      <c r="S1319" s="85">
        <f t="shared" si="286"/>
        <v>92347.6</v>
      </c>
      <c r="T1319" s="13">
        <f>T1324+T1320</f>
        <v>1426.2</v>
      </c>
      <c r="U1319" s="85">
        <f t="shared" si="282"/>
        <v>93773.8</v>
      </c>
    </row>
    <row r="1320" spans="1:21" ht="54.75" customHeight="1">
      <c r="A1320" s="61" t="str">
        <f ca="1">IF(ISERROR(MATCH(E1320,Код_КЦСР,0)),"",INDIRECT(ADDRESS(MATCH(E1320,Код_КЦСР,0)+1,2,,,"КЦСР")))</f>
        <v>Мероприятия государственной программы Российской Федерации «Доступная среда» на 2011-2015 годы за счет средств федерального бюджета</v>
      </c>
      <c r="B1320" s="145">
        <v>810</v>
      </c>
      <c r="C1320" s="8" t="s">
        <v>188</v>
      </c>
      <c r="D1320" s="8" t="s">
        <v>214</v>
      </c>
      <c r="E1320" s="145" t="s">
        <v>642</v>
      </c>
      <c r="F1320" s="145"/>
      <c r="G1320" s="69"/>
      <c r="H1320" s="69"/>
      <c r="I1320" s="69"/>
      <c r="J1320" s="69"/>
      <c r="K1320" s="85"/>
      <c r="L1320" s="13"/>
      <c r="M1320" s="85"/>
      <c r="N1320" s="13"/>
      <c r="O1320" s="85"/>
      <c r="P1320" s="13"/>
      <c r="Q1320" s="85"/>
      <c r="R1320" s="13">
        <f>R1321</f>
        <v>290</v>
      </c>
      <c r="S1320" s="85">
        <f t="shared" si="286"/>
        <v>290</v>
      </c>
      <c r="T1320" s="13">
        <f>T1321</f>
        <v>0</v>
      </c>
      <c r="U1320" s="85">
        <f t="shared" si="282"/>
        <v>290</v>
      </c>
    </row>
    <row r="1321" spans="1:21" ht="33">
      <c r="A1321" s="61" t="str">
        <f ca="1">IF(ISERROR(MATCH(F1321,Код_КВР,0)),"",INDIRECT(ADDRESS(MATCH(F1321,Код_КВР,0)+1,2,,,"КВР")))</f>
        <v>Предоставление субсидий бюджетным, автономным учреждениям и иным некоммерческим организациям</v>
      </c>
      <c r="B1321" s="145">
        <v>810</v>
      </c>
      <c r="C1321" s="8" t="s">
        <v>188</v>
      </c>
      <c r="D1321" s="8" t="s">
        <v>214</v>
      </c>
      <c r="E1321" s="145" t="s">
        <v>642</v>
      </c>
      <c r="F1321" s="145">
        <v>600</v>
      </c>
      <c r="G1321" s="69"/>
      <c r="H1321" s="69"/>
      <c r="I1321" s="69"/>
      <c r="J1321" s="69"/>
      <c r="K1321" s="85"/>
      <c r="L1321" s="13"/>
      <c r="M1321" s="85"/>
      <c r="N1321" s="13"/>
      <c r="O1321" s="85"/>
      <c r="P1321" s="13"/>
      <c r="Q1321" s="85"/>
      <c r="R1321" s="13">
        <f>R1322</f>
        <v>290</v>
      </c>
      <c r="S1321" s="85">
        <f t="shared" si="286"/>
        <v>290</v>
      </c>
      <c r="T1321" s="13">
        <f>T1322</f>
        <v>0</v>
      </c>
      <c r="U1321" s="85">
        <f t="shared" si="282"/>
        <v>290</v>
      </c>
    </row>
    <row r="1322" spans="1:21" ht="27.2" customHeight="1">
      <c r="A1322" s="61" t="str">
        <f ca="1">IF(ISERROR(MATCH(F1322,Код_КВР,0)),"",INDIRECT(ADDRESS(MATCH(F1322,Код_КВР,0)+1,2,,,"КВР")))</f>
        <v>Субсидии бюджетным учреждениям</v>
      </c>
      <c r="B1322" s="145">
        <v>810</v>
      </c>
      <c r="C1322" s="8" t="s">
        <v>188</v>
      </c>
      <c r="D1322" s="8" t="s">
        <v>214</v>
      </c>
      <c r="E1322" s="145" t="s">
        <v>642</v>
      </c>
      <c r="F1322" s="145">
        <v>610</v>
      </c>
      <c r="G1322" s="69"/>
      <c r="H1322" s="69"/>
      <c r="I1322" s="69"/>
      <c r="J1322" s="69"/>
      <c r="K1322" s="85"/>
      <c r="L1322" s="13"/>
      <c r="M1322" s="85"/>
      <c r="N1322" s="13"/>
      <c r="O1322" s="85"/>
      <c r="P1322" s="13"/>
      <c r="Q1322" s="85"/>
      <c r="R1322" s="13">
        <f>R1323</f>
        <v>290</v>
      </c>
      <c r="S1322" s="85">
        <f t="shared" si="286"/>
        <v>290</v>
      </c>
      <c r="T1322" s="13">
        <f>T1323</f>
        <v>0</v>
      </c>
      <c r="U1322" s="85">
        <f t="shared" si="282"/>
        <v>290</v>
      </c>
    </row>
    <row r="1323" spans="1:21" ht="23.25" customHeight="1">
      <c r="A1323" s="61" t="str">
        <f ca="1">IF(ISERROR(MATCH(F1323,Код_КВР,0)),"",INDIRECT(ADDRESS(MATCH(F1323,Код_КВР,0)+1,2,,,"КВР")))</f>
        <v>Субсидии бюджетным учреждениям на иные цели</v>
      </c>
      <c r="B1323" s="145">
        <v>810</v>
      </c>
      <c r="C1323" s="8" t="s">
        <v>188</v>
      </c>
      <c r="D1323" s="8" t="s">
        <v>214</v>
      </c>
      <c r="E1323" s="145" t="s">
        <v>642</v>
      </c>
      <c r="F1323" s="145">
        <v>612</v>
      </c>
      <c r="G1323" s="69"/>
      <c r="H1323" s="69"/>
      <c r="I1323" s="69"/>
      <c r="J1323" s="69"/>
      <c r="K1323" s="85"/>
      <c r="L1323" s="13"/>
      <c r="M1323" s="85"/>
      <c r="N1323" s="13"/>
      <c r="O1323" s="85"/>
      <c r="P1323" s="13"/>
      <c r="Q1323" s="85"/>
      <c r="R1323" s="13">
        <f>290</f>
        <v>290</v>
      </c>
      <c r="S1323" s="85">
        <f t="shared" si="286"/>
        <v>290</v>
      </c>
      <c r="T1323" s="13"/>
      <c r="U1323" s="85">
        <f t="shared" si="282"/>
        <v>290</v>
      </c>
    </row>
    <row r="1324" spans="1:21" ht="82.5">
      <c r="A1324" s="61" t="str">
        <f ca="1">IF(ISERROR(MATCH(E1324,Код_КЦСР,0)),"",INDIRECT(ADDRESS(MATCH(E1324,Код_КЦСР,0)+1,2,,,"КЦСР")))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324" s="145">
        <v>810</v>
      </c>
      <c r="C1324" s="8" t="s">
        <v>188</v>
      </c>
      <c r="D1324" s="8" t="s">
        <v>214</v>
      </c>
      <c r="E1324" s="145" t="s">
        <v>406</v>
      </c>
      <c r="F1324" s="145"/>
      <c r="G1324" s="69">
        <f t="shared" si="294"/>
        <v>114241.1</v>
      </c>
      <c r="H1324" s="69">
        <f t="shared" si="294"/>
        <v>0</v>
      </c>
      <c r="I1324" s="69">
        <f t="shared" si="283"/>
        <v>114241.1</v>
      </c>
      <c r="J1324" s="69">
        <f t="shared" si="294"/>
        <v>0</v>
      </c>
      <c r="K1324" s="85">
        <f t="shared" si="279"/>
        <v>114241.1</v>
      </c>
      <c r="L1324" s="13">
        <f t="shared" si="294"/>
        <v>0</v>
      </c>
      <c r="M1324" s="85">
        <f t="shared" ref="M1324:M1427" si="295">K1324+L1324</f>
        <v>114241.1</v>
      </c>
      <c r="N1324" s="13">
        <f t="shared" si="294"/>
        <v>0</v>
      </c>
      <c r="O1324" s="85">
        <f t="shared" ref="O1324:O1427" si="296">M1324+N1324</f>
        <v>114241.1</v>
      </c>
      <c r="P1324" s="13">
        <f t="shared" si="294"/>
        <v>365.3</v>
      </c>
      <c r="Q1324" s="85">
        <f t="shared" si="287"/>
        <v>114606.40000000001</v>
      </c>
      <c r="R1324" s="13">
        <f t="shared" si="294"/>
        <v>-22548.799999999999</v>
      </c>
      <c r="S1324" s="85">
        <f t="shared" si="286"/>
        <v>92057.600000000006</v>
      </c>
      <c r="T1324" s="13">
        <f t="shared" si="294"/>
        <v>1426.2</v>
      </c>
      <c r="U1324" s="85">
        <f t="shared" si="282"/>
        <v>93483.8</v>
      </c>
    </row>
    <row r="1325" spans="1:21" ht="33">
      <c r="A1325" s="61" t="str">
        <f ca="1">IF(ISERROR(MATCH(F1325,Код_КВР,0)),"",INDIRECT(ADDRESS(MATCH(F1325,Код_КВР,0)+1,2,,,"КВР")))</f>
        <v>Предоставление субсидий бюджетным, автономным учреждениям и иным некоммерческим организациям</v>
      </c>
      <c r="B1325" s="145">
        <v>810</v>
      </c>
      <c r="C1325" s="8" t="s">
        <v>188</v>
      </c>
      <c r="D1325" s="8" t="s">
        <v>214</v>
      </c>
      <c r="E1325" s="145" t="s">
        <v>406</v>
      </c>
      <c r="F1325" s="145">
        <v>600</v>
      </c>
      <c r="G1325" s="69">
        <f t="shared" si="294"/>
        <v>114241.1</v>
      </c>
      <c r="H1325" s="69">
        <f t="shared" si="294"/>
        <v>0</v>
      </c>
      <c r="I1325" s="69">
        <f t="shared" si="283"/>
        <v>114241.1</v>
      </c>
      <c r="J1325" s="69">
        <f t="shared" si="294"/>
        <v>0</v>
      </c>
      <c r="K1325" s="85">
        <f t="shared" si="279"/>
        <v>114241.1</v>
      </c>
      <c r="L1325" s="13">
        <f t="shared" si="294"/>
        <v>0</v>
      </c>
      <c r="M1325" s="85">
        <f t="shared" si="295"/>
        <v>114241.1</v>
      </c>
      <c r="N1325" s="13">
        <f t="shared" si="294"/>
        <v>0</v>
      </c>
      <c r="O1325" s="85">
        <f t="shared" si="296"/>
        <v>114241.1</v>
      </c>
      <c r="P1325" s="13">
        <f t="shared" si="294"/>
        <v>365.3</v>
      </c>
      <c r="Q1325" s="85">
        <f t="shared" si="287"/>
        <v>114606.40000000001</v>
      </c>
      <c r="R1325" s="13">
        <f t="shared" si="294"/>
        <v>-22548.799999999999</v>
      </c>
      <c r="S1325" s="85">
        <f t="shared" si="286"/>
        <v>92057.600000000006</v>
      </c>
      <c r="T1325" s="13">
        <f t="shared" si="294"/>
        <v>1426.2</v>
      </c>
      <c r="U1325" s="85">
        <f t="shared" si="282"/>
        <v>93483.8</v>
      </c>
    </row>
    <row r="1326" spans="1:21">
      <c r="A1326" s="61" t="str">
        <f ca="1">IF(ISERROR(MATCH(F1326,Код_КВР,0)),"",INDIRECT(ADDRESS(MATCH(F1326,Код_КВР,0)+1,2,,,"КВР")))</f>
        <v>Субсидии бюджетным учреждениям</v>
      </c>
      <c r="B1326" s="145">
        <v>810</v>
      </c>
      <c r="C1326" s="8" t="s">
        <v>188</v>
      </c>
      <c r="D1326" s="8" t="s">
        <v>214</v>
      </c>
      <c r="E1326" s="145" t="s">
        <v>406</v>
      </c>
      <c r="F1326" s="145">
        <v>610</v>
      </c>
      <c r="G1326" s="69">
        <f>G1327+G1328</f>
        <v>114241.1</v>
      </c>
      <c r="H1326" s="69">
        <f>H1327+H1328</f>
        <v>0</v>
      </c>
      <c r="I1326" s="69">
        <f t="shared" si="283"/>
        <v>114241.1</v>
      </c>
      <c r="J1326" s="69">
        <f>J1327+J1328</f>
        <v>0</v>
      </c>
      <c r="K1326" s="85">
        <f t="shared" si="279"/>
        <v>114241.1</v>
      </c>
      <c r="L1326" s="13">
        <f>L1327+L1328</f>
        <v>0</v>
      </c>
      <c r="M1326" s="85">
        <f t="shared" si="295"/>
        <v>114241.1</v>
      </c>
      <c r="N1326" s="13">
        <f>N1327+N1328</f>
        <v>0</v>
      </c>
      <c r="O1326" s="85">
        <f t="shared" si="296"/>
        <v>114241.1</v>
      </c>
      <c r="P1326" s="13">
        <f>P1327+P1328</f>
        <v>365.3</v>
      </c>
      <c r="Q1326" s="85">
        <f t="shared" si="287"/>
        <v>114606.40000000001</v>
      </c>
      <c r="R1326" s="13">
        <f>R1327+R1328</f>
        <v>-22548.799999999999</v>
      </c>
      <c r="S1326" s="85">
        <f t="shared" si="286"/>
        <v>92057.600000000006</v>
      </c>
      <c r="T1326" s="13">
        <f>T1327+T1328</f>
        <v>1426.2</v>
      </c>
      <c r="U1326" s="85">
        <f t="shared" si="282"/>
        <v>93483.8</v>
      </c>
    </row>
    <row r="1327" spans="1:21" ht="49.5">
      <c r="A1327" s="61" t="str">
        <f ca="1">IF(ISERROR(MATCH(F1327,Код_КВР,0)),"",INDIRECT(ADDRESS(MATCH(F1327,Код_КВР,0)+1,2,,,"КВР")))</f>
        <v>Субсидии бюджетным учреждениям на финансовое обеспечение муниципального задания на оказание муниципальных услуг (выполнение работ)</v>
      </c>
      <c r="B1327" s="145">
        <v>810</v>
      </c>
      <c r="C1327" s="8" t="s">
        <v>188</v>
      </c>
      <c r="D1327" s="8" t="s">
        <v>214</v>
      </c>
      <c r="E1327" s="145" t="s">
        <v>406</v>
      </c>
      <c r="F1327" s="145">
        <v>611</v>
      </c>
      <c r="G1327" s="69">
        <v>110548.1</v>
      </c>
      <c r="H1327" s="69"/>
      <c r="I1327" s="69">
        <f t="shared" si="283"/>
        <v>110548.1</v>
      </c>
      <c r="J1327" s="69"/>
      <c r="K1327" s="85">
        <f t="shared" si="279"/>
        <v>110548.1</v>
      </c>
      <c r="L1327" s="13"/>
      <c r="M1327" s="85">
        <f t="shared" si="295"/>
        <v>110548.1</v>
      </c>
      <c r="N1327" s="13"/>
      <c r="O1327" s="85">
        <f t="shared" si="296"/>
        <v>110548.1</v>
      </c>
      <c r="P1327" s="13"/>
      <c r="Q1327" s="85">
        <f t="shared" si="287"/>
        <v>110548.1</v>
      </c>
      <c r="R1327" s="13">
        <f>-13614-8298.7</f>
        <v>-21912.7</v>
      </c>
      <c r="S1327" s="85">
        <f t="shared" si="286"/>
        <v>88635.400000000009</v>
      </c>
      <c r="T1327" s="13">
        <v>1481</v>
      </c>
      <c r="U1327" s="85">
        <f t="shared" si="282"/>
        <v>90116.400000000009</v>
      </c>
    </row>
    <row r="1328" spans="1:21">
      <c r="A1328" s="61" t="str">
        <f ca="1">IF(ISERROR(MATCH(F1328,Код_КВР,0)),"",INDIRECT(ADDRESS(MATCH(F1328,Код_КВР,0)+1,2,,,"КВР")))</f>
        <v>Субсидии бюджетным учреждениям на иные цели</v>
      </c>
      <c r="B1328" s="145">
        <v>810</v>
      </c>
      <c r="C1328" s="8" t="s">
        <v>188</v>
      </c>
      <c r="D1328" s="8" t="s">
        <v>214</v>
      </c>
      <c r="E1328" s="145" t="s">
        <v>406</v>
      </c>
      <c r="F1328" s="145">
        <v>612</v>
      </c>
      <c r="G1328" s="69">
        <f>1491.7+811.6+1389.7</f>
        <v>3693</v>
      </c>
      <c r="H1328" s="69"/>
      <c r="I1328" s="69">
        <f t="shared" si="283"/>
        <v>3693</v>
      </c>
      <c r="J1328" s="69"/>
      <c r="K1328" s="85">
        <f t="shared" si="279"/>
        <v>3693</v>
      </c>
      <c r="L1328" s="13"/>
      <c r="M1328" s="85">
        <f t="shared" si="295"/>
        <v>3693</v>
      </c>
      <c r="N1328" s="13"/>
      <c r="O1328" s="85">
        <f t="shared" si="296"/>
        <v>3693</v>
      </c>
      <c r="P1328" s="13">
        <v>365.3</v>
      </c>
      <c r="Q1328" s="85">
        <f t="shared" si="287"/>
        <v>4058.3</v>
      </c>
      <c r="R1328" s="13">
        <v>-636.1</v>
      </c>
      <c r="S1328" s="85">
        <f t="shared" si="286"/>
        <v>3422.2000000000003</v>
      </c>
      <c r="T1328" s="13">
        <v>-54.8</v>
      </c>
      <c r="U1328" s="85">
        <f t="shared" si="282"/>
        <v>3367.4</v>
      </c>
    </row>
    <row r="1329" spans="1:21">
      <c r="A1329" s="12" t="s">
        <v>179</v>
      </c>
      <c r="B1329" s="145">
        <v>810</v>
      </c>
      <c r="C1329" s="8" t="s">
        <v>188</v>
      </c>
      <c r="D1329" s="8" t="s">
        <v>215</v>
      </c>
      <c r="E1329" s="145"/>
      <c r="F1329" s="145"/>
      <c r="G1329" s="69">
        <f>G1330+G1337</f>
        <v>661473.20000000007</v>
      </c>
      <c r="H1329" s="69">
        <f>H1330+H1337</f>
        <v>0</v>
      </c>
      <c r="I1329" s="69">
        <f t="shared" si="283"/>
        <v>661473.20000000007</v>
      </c>
      <c r="J1329" s="69">
        <f>J1330+J1337</f>
        <v>0</v>
      </c>
      <c r="K1329" s="85">
        <f t="shared" si="279"/>
        <v>661473.20000000007</v>
      </c>
      <c r="L1329" s="13">
        <f>L1330+L1337</f>
        <v>-825</v>
      </c>
      <c r="M1329" s="85">
        <f t="shared" si="295"/>
        <v>660648.20000000007</v>
      </c>
      <c r="N1329" s="13">
        <f>N1330+N1337</f>
        <v>432</v>
      </c>
      <c r="O1329" s="85">
        <f t="shared" si="296"/>
        <v>661080.20000000007</v>
      </c>
      <c r="P1329" s="13">
        <f>P1330+P1337+P1370</f>
        <v>-365.3</v>
      </c>
      <c r="Q1329" s="85">
        <f t="shared" si="287"/>
        <v>660714.9</v>
      </c>
      <c r="R1329" s="13">
        <f>R1330+R1337+R1370</f>
        <v>86173.9</v>
      </c>
      <c r="S1329" s="85">
        <f t="shared" si="286"/>
        <v>746888.8</v>
      </c>
      <c r="T1329" s="13">
        <f>T1330+T1337+T1370</f>
        <v>45579.900000000009</v>
      </c>
      <c r="U1329" s="85">
        <f t="shared" si="282"/>
        <v>792468.70000000007</v>
      </c>
    </row>
    <row r="1330" spans="1:21">
      <c r="A1330" s="61" t="str">
        <f ca="1">IF(ISERROR(MATCH(E1330,Код_КЦСР,0)),"",INDIRECT(ADDRESS(MATCH(E1330,Код_КЦСР,0)+1,2,,,"КЦСР")))</f>
        <v>Муниципальная программа «Развитие образования» на 2013-2022 годы</v>
      </c>
      <c r="B1330" s="145">
        <v>810</v>
      </c>
      <c r="C1330" s="8" t="s">
        <v>188</v>
      </c>
      <c r="D1330" s="8" t="s">
        <v>215</v>
      </c>
      <c r="E1330" s="145" t="s">
        <v>271</v>
      </c>
      <c r="F1330" s="145"/>
      <c r="G1330" s="69">
        <f t="shared" ref="G1330:T1334" si="297">G1331</f>
        <v>593.9</v>
      </c>
      <c r="H1330" s="69">
        <f t="shared" si="297"/>
        <v>0</v>
      </c>
      <c r="I1330" s="69">
        <f t="shared" si="283"/>
        <v>593.9</v>
      </c>
      <c r="J1330" s="69">
        <f t="shared" si="297"/>
        <v>0</v>
      </c>
      <c r="K1330" s="85">
        <f t="shared" si="279"/>
        <v>593.9</v>
      </c>
      <c r="L1330" s="13">
        <f t="shared" si="297"/>
        <v>0</v>
      </c>
      <c r="M1330" s="85">
        <f t="shared" si="295"/>
        <v>593.9</v>
      </c>
      <c r="N1330" s="13">
        <f t="shared" si="297"/>
        <v>0</v>
      </c>
      <c r="O1330" s="85">
        <f t="shared" si="296"/>
        <v>593.9</v>
      </c>
      <c r="P1330" s="13">
        <f t="shared" si="297"/>
        <v>0</v>
      </c>
      <c r="Q1330" s="85">
        <f t="shared" si="287"/>
        <v>593.9</v>
      </c>
      <c r="R1330" s="13">
        <f t="shared" si="297"/>
        <v>0</v>
      </c>
      <c r="S1330" s="85">
        <f t="shared" si="286"/>
        <v>593.9</v>
      </c>
      <c r="T1330" s="13">
        <f t="shared" si="297"/>
        <v>0</v>
      </c>
      <c r="U1330" s="85">
        <f t="shared" si="282"/>
        <v>593.9</v>
      </c>
    </row>
    <row r="1331" spans="1:21" ht="33">
      <c r="A1331" s="61" t="str">
        <f ca="1">IF(ISERROR(MATCH(E1331,Код_КЦСР,0)),"",INDIRECT(ADDRESS(MATCH(E1331,Код_КЦСР,0)+1,2,,,"КЦСР")))</f>
        <v>Социально-педагогическая поддержка детей-сирот и детей, оставшихся без попечения родителей</v>
      </c>
      <c r="B1331" s="145">
        <v>810</v>
      </c>
      <c r="C1331" s="8" t="s">
        <v>188</v>
      </c>
      <c r="D1331" s="8" t="s">
        <v>215</v>
      </c>
      <c r="E1331" s="145" t="s">
        <v>412</v>
      </c>
      <c r="F1331" s="145"/>
      <c r="G1331" s="69">
        <f t="shared" si="297"/>
        <v>593.9</v>
      </c>
      <c r="H1331" s="69">
        <f t="shared" si="297"/>
        <v>0</v>
      </c>
      <c r="I1331" s="69">
        <f t="shared" si="283"/>
        <v>593.9</v>
      </c>
      <c r="J1331" s="69">
        <f t="shared" si="297"/>
        <v>0</v>
      </c>
      <c r="K1331" s="85">
        <f t="shared" si="279"/>
        <v>593.9</v>
      </c>
      <c r="L1331" s="13">
        <f t="shared" si="297"/>
        <v>0</v>
      </c>
      <c r="M1331" s="85">
        <f t="shared" si="295"/>
        <v>593.9</v>
      </c>
      <c r="N1331" s="13">
        <f t="shared" si="297"/>
        <v>0</v>
      </c>
      <c r="O1331" s="85">
        <f t="shared" si="296"/>
        <v>593.9</v>
      </c>
      <c r="P1331" s="13">
        <f t="shared" si="297"/>
        <v>0</v>
      </c>
      <c r="Q1331" s="85">
        <f t="shared" si="287"/>
        <v>593.9</v>
      </c>
      <c r="R1331" s="13">
        <f t="shared" si="297"/>
        <v>0</v>
      </c>
      <c r="S1331" s="85">
        <f t="shared" si="286"/>
        <v>593.9</v>
      </c>
      <c r="T1331" s="13">
        <f t="shared" si="297"/>
        <v>0</v>
      </c>
      <c r="U1331" s="85">
        <f t="shared" si="282"/>
        <v>593.9</v>
      </c>
    </row>
    <row r="1332" spans="1:21" ht="69.75" customHeight="1">
      <c r="A1332" s="61" t="str">
        <f ca="1">IF(ISERROR(MATCH(E1332,Код_КЦСР,0)),"",INDIRECT(ADDRESS(MATCH(E1332,Код_КЦСР,0)+1,2,,,"КЦСР")))</f>
        <v>Обеспечение содержания детей-сирот и детей, оставшихся без попечения родителей, за время пребывания их в соответствующем муниципальном образовательном учреждении для детей-сирот и детей, оставшихся без попечения родителей за счет субвенций из областного бюджета</v>
      </c>
      <c r="B1332" s="145">
        <v>810</v>
      </c>
      <c r="C1332" s="8" t="s">
        <v>188</v>
      </c>
      <c r="D1332" s="8" t="s">
        <v>215</v>
      </c>
      <c r="E1332" s="145" t="s">
        <v>414</v>
      </c>
      <c r="F1332" s="145"/>
      <c r="G1332" s="69">
        <f t="shared" si="297"/>
        <v>593.9</v>
      </c>
      <c r="H1332" s="69">
        <f t="shared" si="297"/>
        <v>0</v>
      </c>
      <c r="I1332" s="69">
        <f t="shared" si="283"/>
        <v>593.9</v>
      </c>
      <c r="J1332" s="69">
        <f t="shared" si="297"/>
        <v>0</v>
      </c>
      <c r="K1332" s="85">
        <f t="shared" si="279"/>
        <v>593.9</v>
      </c>
      <c r="L1332" s="13">
        <f t="shared" si="297"/>
        <v>0</v>
      </c>
      <c r="M1332" s="85">
        <f t="shared" si="295"/>
        <v>593.9</v>
      </c>
      <c r="N1332" s="13">
        <f t="shared" si="297"/>
        <v>0</v>
      </c>
      <c r="O1332" s="85">
        <f t="shared" si="296"/>
        <v>593.9</v>
      </c>
      <c r="P1332" s="13">
        <f t="shared" si="297"/>
        <v>0</v>
      </c>
      <c r="Q1332" s="85">
        <f t="shared" si="287"/>
        <v>593.9</v>
      </c>
      <c r="R1332" s="13">
        <f t="shared" si="297"/>
        <v>0</v>
      </c>
      <c r="S1332" s="85">
        <f t="shared" si="286"/>
        <v>593.9</v>
      </c>
      <c r="T1332" s="13">
        <f>T1333</f>
        <v>0</v>
      </c>
      <c r="U1332" s="85">
        <f t="shared" si="282"/>
        <v>593.9</v>
      </c>
    </row>
    <row r="1333" spans="1:21">
      <c r="A1333" s="61" t="str">
        <f ca="1">IF(ISERROR(MATCH(F1333,Код_КВР,0)),"",INDIRECT(ADDRESS(MATCH(F1333,Код_КВР,0)+1,2,,,"КВР")))</f>
        <v>Социальное обеспечение и иные выплаты населению</v>
      </c>
      <c r="B1333" s="145">
        <v>810</v>
      </c>
      <c r="C1333" s="8" t="s">
        <v>188</v>
      </c>
      <c r="D1333" s="8" t="s">
        <v>215</v>
      </c>
      <c r="E1333" s="145" t="s">
        <v>414</v>
      </c>
      <c r="F1333" s="145">
        <v>300</v>
      </c>
      <c r="G1333" s="69">
        <f t="shared" si="297"/>
        <v>593.9</v>
      </c>
      <c r="H1333" s="69">
        <f t="shared" si="297"/>
        <v>0</v>
      </c>
      <c r="I1333" s="69">
        <f t="shared" si="283"/>
        <v>593.9</v>
      </c>
      <c r="J1333" s="69">
        <f t="shared" si="297"/>
        <v>0</v>
      </c>
      <c r="K1333" s="85">
        <f t="shared" si="279"/>
        <v>593.9</v>
      </c>
      <c r="L1333" s="13">
        <f t="shared" si="297"/>
        <v>0</v>
      </c>
      <c r="M1333" s="85">
        <f t="shared" si="295"/>
        <v>593.9</v>
      </c>
      <c r="N1333" s="13">
        <f t="shared" si="297"/>
        <v>0</v>
      </c>
      <c r="O1333" s="85">
        <f t="shared" si="296"/>
        <v>593.9</v>
      </c>
      <c r="P1333" s="13">
        <f t="shared" si="297"/>
        <v>0</v>
      </c>
      <c r="Q1333" s="85">
        <f t="shared" si="287"/>
        <v>593.9</v>
      </c>
      <c r="R1333" s="13">
        <f t="shared" si="297"/>
        <v>0</v>
      </c>
      <c r="S1333" s="85">
        <f t="shared" si="286"/>
        <v>593.9</v>
      </c>
      <c r="T1333" s="13">
        <f>T1334</f>
        <v>0</v>
      </c>
      <c r="U1333" s="85">
        <f t="shared" si="282"/>
        <v>593.9</v>
      </c>
    </row>
    <row r="1334" spans="1:21" ht="33">
      <c r="A1334" s="61" t="str">
        <f ca="1">IF(ISERROR(MATCH(F1334,Код_КВР,0)),"",INDIRECT(ADDRESS(MATCH(F1334,Код_КВР,0)+1,2,,,"КВР")))</f>
        <v>Социальные выплаты гражданам, кроме публичных нормативных социальных выплат</v>
      </c>
      <c r="B1334" s="145">
        <v>810</v>
      </c>
      <c r="C1334" s="8" t="s">
        <v>188</v>
      </c>
      <c r="D1334" s="8" t="s">
        <v>215</v>
      </c>
      <c r="E1334" s="145" t="s">
        <v>414</v>
      </c>
      <c r="F1334" s="145">
        <v>320</v>
      </c>
      <c r="G1334" s="69">
        <f t="shared" si="297"/>
        <v>593.9</v>
      </c>
      <c r="H1334" s="69">
        <f t="shared" si="297"/>
        <v>0</v>
      </c>
      <c r="I1334" s="69">
        <f t="shared" si="283"/>
        <v>593.9</v>
      </c>
      <c r="J1334" s="69">
        <f t="shared" si="297"/>
        <v>0</v>
      </c>
      <c r="K1334" s="85">
        <f t="shared" si="279"/>
        <v>593.9</v>
      </c>
      <c r="L1334" s="13">
        <f t="shared" si="297"/>
        <v>0</v>
      </c>
      <c r="M1334" s="85">
        <f t="shared" si="295"/>
        <v>593.9</v>
      </c>
      <c r="N1334" s="13">
        <f t="shared" si="297"/>
        <v>0</v>
      </c>
      <c r="O1334" s="85">
        <f t="shared" si="296"/>
        <v>593.9</v>
      </c>
      <c r="P1334" s="13">
        <f t="shared" si="297"/>
        <v>0</v>
      </c>
      <c r="Q1334" s="85">
        <f t="shared" si="287"/>
        <v>593.9</v>
      </c>
      <c r="R1334" s="13">
        <f t="shared" si="297"/>
        <v>0</v>
      </c>
      <c r="S1334" s="85">
        <f t="shared" si="286"/>
        <v>593.9</v>
      </c>
      <c r="T1334" s="13">
        <f>T1335+T1336</f>
        <v>0</v>
      </c>
      <c r="U1334" s="85">
        <f t="shared" si="282"/>
        <v>593.9</v>
      </c>
    </row>
    <row r="1335" spans="1:21" ht="33">
      <c r="A1335" s="61" t="str">
        <f ca="1">IF(ISERROR(MATCH(F1335,Код_КВР,0)),"",INDIRECT(ADDRESS(MATCH(F1335,Код_КВР,0)+1,2,,,"КВР")))</f>
        <v>Пособия, компенсации и иные социальные выплаты гражданам, кроме публичных нормативных обязательств</v>
      </c>
      <c r="B1335" s="145">
        <v>810</v>
      </c>
      <c r="C1335" s="8" t="s">
        <v>188</v>
      </c>
      <c r="D1335" s="8" t="s">
        <v>215</v>
      </c>
      <c r="E1335" s="145" t="s">
        <v>414</v>
      </c>
      <c r="F1335" s="145">
        <v>321</v>
      </c>
      <c r="G1335" s="69">
        <v>593.9</v>
      </c>
      <c r="H1335" s="69"/>
      <c r="I1335" s="69">
        <f t="shared" si="283"/>
        <v>593.9</v>
      </c>
      <c r="J1335" s="69"/>
      <c r="K1335" s="85">
        <f t="shared" ref="K1335:K1450" si="298">I1335+J1335</f>
        <v>593.9</v>
      </c>
      <c r="L1335" s="13"/>
      <c r="M1335" s="85">
        <f t="shared" si="295"/>
        <v>593.9</v>
      </c>
      <c r="N1335" s="13"/>
      <c r="O1335" s="85">
        <f t="shared" si="296"/>
        <v>593.9</v>
      </c>
      <c r="P1335" s="13"/>
      <c r="Q1335" s="85">
        <f t="shared" si="287"/>
        <v>593.9</v>
      </c>
      <c r="R1335" s="13"/>
      <c r="S1335" s="85">
        <f t="shared" si="286"/>
        <v>593.9</v>
      </c>
      <c r="T1335" s="13">
        <v>-593.9</v>
      </c>
      <c r="U1335" s="85">
        <f t="shared" si="282"/>
        <v>0</v>
      </c>
    </row>
    <row r="1336" spans="1:21" ht="33">
      <c r="A1336" s="61" t="str">
        <f ca="1">IF(ISERROR(MATCH(F1336,Код_КВР,0)),"",INDIRECT(ADDRESS(MATCH(F1336,Код_КВР,0)+1,2,,,"КВР")))</f>
        <v>Приобретение товаров, работ, услуг в пользу граждан в целях их социального обеспечения</v>
      </c>
      <c r="B1336" s="145">
        <v>810</v>
      </c>
      <c r="C1336" s="8" t="s">
        <v>188</v>
      </c>
      <c r="D1336" s="8" t="s">
        <v>215</v>
      </c>
      <c r="E1336" s="145" t="s">
        <v>414</v>
      </c>
      <c r="F1336" s="145">
        <v>323</v>
      </c>
      <c r="G1336" s="69"/>
      <c r="H1336" s="69"/>
      <c r="I1336" s="69"/>
      <c r="J1336" s="69"/>
      <c r="K1336" s="85"/>
      <c r="L1336" s="13"/>
      <c r="M1336" s="85"/>
      <c r="N1336" s="13"/>
      <c r="O1336" s="85"/>
      <c r="P1336" s="13"/>
      <c r="Q1336" s="85"/>
      <c r="R1336" s="13"/>
      <c r="S1336" s="85"/>
      <c r="T1336" s="13">
        <v>593.9</v>
      </c>
      <c r="U1336" s="85">
        <f>S1336+T1336</f>
        <v>593.9</v>
      </c>
    </row>
    <row r="1337" spans="1:21" ht="33">
      <c r="A1337" s="61" t="str">
        <f ca="1">IF(ISERROR(MATCH(E1337,Код_КЦСР,0)),"",INDIRECT(ADDRESS(MATCH(E1337,Код_КЦСР,0)+1,2,,,"КЦСР")))</f>
        <v>Муниципальная программа «Социальная поддержка граждан» на 2014-2018 годы</v>
      </c>
      <c r="B1337" s="145">
        <v>810</v>
      </c>
      <c r="C1337" s="8" t="s">
        <v>188</v>
      </c>
      <c r="D1337" s="8" t="s">
        <v>215</v>
      </c>
      <c r="E1337" s="145" t="s">
        <v>5</v>
      </c>
      <c r="F1337" s="145"/>
      <c r="G1337" s="69">
        <f>G1338+G1346+G1354+G1362+G1384+G1392+G1399</f>
        <v>660879.30000000005</v>
      </c>
      <c r="H1337" s="69">
        <f>H1338+H1346+H1354+H1362+H1384+H1392+H1399</f>
        <v>0</v>
      </c>
      <c r="I1337" s="69">
        <f t="shared" si="283"/>
        <v>660879.30000000005</v>
      </c>
      <c r="J1337" s="69">
        <f>J1338+J1346+J1354+J1362+J1384+J1392+J1399</f>
        <v>0</v>
      </c>
      <c r="K1337" s="85">
        <f t="shared" si="298"/>
        <v>660879.30000000005</v>
      </c>
      <c r="L1337" s="13">
        <f>L1338+L1346+L1354+L1362+L1384+L1392+L1399</f>
        <v>-825</v>
      </c>
      <c r="M1337" s="85">
        <f t="shared" si="295"/>
        <v>660054.30000000005</v>
      </c>
      <c r="N1337" s="13">
        <f>N1338+N1346+N1354+N1362+N1384+N1392+N1399+N1370</f>
        <v>432</v>
      </c>
      <c r="O1337" s="85">
        <f t="shared" si="296"/>
        <v>660486.30000000005</v>
      </c>
      <c r="P1337" s="13">
        <f>P1338+P1346+P1354+P1362+P1384+P1392+P1399</f>
        <v>-365.3</v>
      </c>
      <c r="Q1337" s="85">
        <f t="shared" si="287"/>
        <v>660121</v>
      </c>
      <c r="R1337" s="13">
        <f>R1338+R1346+R1354+R1362+R1384+R1392+R1399+R1375+R1370</f>
        <v>86173.9</v>
      </c>
      <c r="S1337" s="85">
        <f t="shared" si="286"/>
        <v>746294.9</v>
      </c>
      <c r="T1337" s="13">
        <f>T1338+T1346+T1354+T1362+T1384+T1392+T1399+T1375+T1370</f>
        <v>45579.900000000009</v>
      </c>
      <c r="U1337" s="85">
        <f t="shared" si="282"/>
        <v>791874.8</v>
      </c>
    </row>
    <row r="1338" spans="1:21" ht="33">
      <c r="A1338" s="61" t="str">
        <f ca="1">IF(ISERROR(MATCH(E1338,Код_КЦСР,0)),"",INDIRECT(ADDRESS(MATCH(E1338,Код_КЦСР,0)+1,2,,,"КЦСР")))</f>
        <v>Выплата ежемесячного социального пособия на оздоровление работникам учреждений здравоохранения</v>
      </c>
      <c r="B1338" s="145">
        <v>810</v>
      </c>
      <c r="C1338" s="8" t="s">
        <v>188</v>
      </c>
      <c r="D1338" s="8" t="s">
        <v>215</v>
      </c>
      <c r="E1338" s="145" t="s">
        <v>9</v>
      </c>
      <c r="F1338" s="145"/>
      <c r="G1338" s="69">
        <f t="shared" ref="G1338:T1344" si="299">G1339</f>
        <v>27293</v>
      </c>
      <c r="H1338" s="69">
        <f t="shared" si="299"/>
        <v>0</v>
      </c>
      <c r="I1338" s="69">
        <f t="shared" si="283"/>
        <v>27293</v>
      </c>
      <c r="J1338" s="69">
        <f t="shared" si="299"/>
        <v>0</v>
      </c>
      <c r="K1338" s="85">
        <f t="shared" si="298"/>
        <v>27293</v>
      </c>
      <c r="L1338" s="13">
        <f t="shared" si="299"/>
        <v>-825</v>
      </c>
      <c r="M1338" s="85">
        <f t="shared" si="295"/>
        <v>26468</v>
      </c>
      <c r="N1338" s="13">
        <f t="shared" si="299"/>
        <v>0</v>
      </c>
      <c r="O1338" s="85">
        <f t="shared" si="296"/>
        <v>26468</v>
      </c>
      <c r="P1338" s="13">
        <f t="shared" si="299"/>
        <v>0</v>
      </c>
      <c r="Q1338" s="85">
        <f t="shared" si="287"/>
        <v>26468</v>
      </c>
      <c r="R1338" s="13">
        <f t="shared" si="299"/>
        <v>0</v>
      </c>
      <c r="S1338" s="85">
        <f t="shared" si="286"/>
        <v>26468</v>
      </c>
      <c r="T1338" s="13">
        <f t="shared" si="299"/>
        <v>0</v>
      </c>
      <c r="U1338" s="85">
        <f t="shared" si="282"/>
        <v>26468</v>
      </c>
    </row>
    <row r="1339" spans="1:21" ht="51.75" customHeight="1">
      <c r="A1339" s="61" t="str">
        <f ca="1">IF(ISERROR(MATCH(E1339,Код_КЦСР,0)),"",INDIRECT(ADDRESS(MATCH(E1339,Код_КЦСР,0)+1,2,,,"КЦСР")))</f>
        <v>Ежемесячное социальное пособие на оздоровление отдельным категориям работников учреждений здравоохранения в соответствии с решением Череповецкой городской Думы от 29.05.2012 № 93</v>
      </c>
      <c r="B1339" s="145">
        <v>810</v>
      </c>
      <c r="C1339" s="8" t="s">
        <v>188</v>
      </c>
      <c r="D1339" s="8" t="s">
        <v>215</v>
      </c>
      <c r="E1339" s="145" t="s">
        <v>11</v>
      </c>
      <c r="F1339" s="145"/>
      <c r="G1339" s="69">
        <f>G1343</f>
        <v>27293</v>
      </c>
      <c r="H1339" s="69">
        <f>H1343</f>
        <v>0</v>
      </c>
      <c r="I1339" s="69">
        <f t="shared" si="283"/>
        <v>27293</v>
      </c>
      <c r="J1339" s="69">
        <f>J1343</f>
        <v>0</v>
      </c>
      <c r="K1339" s="85">
        <f t="shared" si="298"/>
        <v>27293</v>
      </c>
      <c r="L1339" s="13">
        <f>L1343</f>
        <v>-825</v>
      </c>
      <c r="M1339" s="85">
        <f t="shared" si="295"/>
        <v>26468</v>
      </c>
      <c r="N1339" s="13">
        <f>N1343</f>
        <v>0</v>
      </c>
      <c r="O1339" s="85">
        <f t="shared" si="296"/>
        <v>26468</v>
      </c>
      <c r="P1339" s="13">
        <f>P1343</f>
        <v>0</v>
      </c>
      <c r="Q1339" s="85">
        <f t="shared" si="287"/>
        <v>26468</v>
      </c>
      <c r="R1339" s="13">
        <f>R1343</f>
        <v>0</v>
      </c>
      <c r="S1339" s="85">
        <f t="shared" si="286"/>
        <v>26468</v>
      </c>
      <c r="T1339" s="13">
        <f>T1340+T1343</f>
        <v>0</v>
      </c>
      <c r="U1339" s="85">
        <f t="shared" si="282"/>
        <v>26468</v>
      </c>
    </row>
    <row r="1340" spans="1:21">
      <c r="A1340" s="61" t="str">
        <f t="shared" ref="A1340:A1345" ca="1" si="300">IF(ISERROR(MATCH(F1340,Код_КВР,0)),"",INDIRECT(ADDRESS(MATCH(F1340,Код_КВР,0)+1,2,,,"КВР")))</f>
        <v>Закупка товаров, работ и услуг для муниципальных нужд</v>
      </c>
      <c r="B1340" s="145">
        <v>810</v>
      </c>
      <c r="C1340" s="8" t="s">
        <v>188</v>
      </c>
      <c r="D1340" s="8" t="s">
        <v>215</v>
      </c>
      <c r="E1340" s="145" t="s">
        <v>11</v>
      </c>
      <c r="F1340" s="145">
        <v>200</v>
      </c>
      <c r="G1340" s="69"/>
      <c r="H1340" s="69"/>
      <c r="I1340" s="69"/>
      <c r="J1340" s="69"/>
      <c r="K1340" s="85"/>
      <c r="L1340" s="13"/>
      <c r="M1340" s="85"/>
      <c r="N1340" s="13"/>
      <c r="O1340" s="85"/>
      <c r="P1340" s="13"/>
      <c r="Q1340" s="85"/>
      <c r="R1340" s="13"/>
      <c r="S1340" s="85"/>
      <c r="T1340" s="13">
        <f>T1341</f>
        <v>212.5</v>
      </c>
      <c r="U1340" s="85">
        <f t="shared" si="282"/>
        <v>212.5</v>
      </c>
    </row>
    <row r="1341" spans="1:21" ht="33">
      <c r="A1341" s="61" t="str">
        <f t="shared" ca="1" si="300"/>
        <v>Иные закупки товаров, работ и услуг для обеспечения муниципальных нужд</v>
      </c>
      <c r="B1341" s="145">
        <v>810</v>
      </c>
      <c r="C1341" s="8" t="s">
        <v>188</v>
      </c>
      <c r="D1341" s="8" t="s">
        <v>215</v>
      </c>
      <c r="E1341" s="145" t="s">
        <v>11</v>
      </c>
      <c r="F1341" s="145">
        <v>240</v>
      </c>
      <c r="G1341" s="69"/>
      <c r="H1341" s="69"/>
      <c r="I1341" s="69"/>
      <c r="J1341" s="69"/>
      <c r="K1341" s="85"/>
      <c r="L1341" s="13"/>
      <c r="M1341" s="85"/>
      <c r="N1341" s="13"/>
      <c r="O1341" s="85"/>
      <c r="P1341" s="13"/>
      <c r="Q1341" s="85"/>
      <c r="R1341" s="13"/>
      <c r="S1341" s="85"/>
      <c r="T1341" s="13">
        <f>T1342</f>
        <v>212.5</v>
      </c>
      <c r="U1341" s="85">
        <f t="shared" si="282"/>
        <v>212.5</v>
      </c>
    </row>
    <row r="1342" spans="1:21" ht="33">
      <c r="A1342" s="61" t="str">
        <f t="shared" ca="1" si="300"/>
        <v xml:space="preserve">Прочая закупка товаров, работ и услуг для обеспечения муниципальных нужд         </v>
      </c>
      <c r="B1342" s="145">
        <v>810</v>
      </c>
      <c r="C1342" s="8" t="s">
        <v>188</v>
      </c>
      <c r="D1342" s="8" t="s">
        <v>215</v>
      </c>
      <c r="E1342" s="145" t="s">
        <v>11</v>
      </c>
      <c r="F1342" s="145">
        <v>244</v>
      </c>
      <c r="G1342" s="69"/>
      <c r="H1342" s="69"/>
      <c r="I1342" s="69"/>
      <c r="J1342" s="69"/>
      <c r="K1342" s="85"/>
      <c r="L1342" s="13"/>
      <c r="M1342" s="85"/>
      <c r="N1342" s="13"/>
      <c r="O1342" s="85"/>
      <c r="P1342" s="13"/>
      <c r="Q1342" s="85"/>
      <c r="R1342" s="13"/>
      <c r="S1342" s="85"/>
      <c r="T1342" s="13">
        <v>212.5</v>
      </c>
      <c r="U1342" s="85">
        <f t="shared" si="282"/>
        <v>212.5</v>
      </c>
    </row>
    <row r="1343" spans="1:21">
      <c r="A1343" s="61" t="str">
        <f t="shared" ca="1" si="300"/>
        <v>Социальное обеспечение и иные выплаты населению</v>
      </c>
      <c r="B1343" s="145">
        <v>810</v>
      </c>
      <c r="C1343" s="8" t="s">
        <v>188</v>
      </c>
      <c r="D1343" s="8" t="s">
        <v>215</v>
      </c>
      <c r="E1343" s="145" t="s">
        <v>11</v>
      </c>
      <c r="F1343" s="145">
        <v>300</v>
      </c>
      <c r="G1343" s="69">
        <f t="shared" si="299"/>
        <v>27293</v>
      </c>
      <c r="H1343" s="69">
        <f t="shared" si="299"/>
        <v>0</v>
      </c>
      <c r="I1343" s="69">
        <f t="shared" si="283"/>
        <v>27293</v>
      </c>
      <c r="J1343" s="69">
        <f t="shared" si="299"/>
        <v>0</v>
      </c>
      <c r="K1343" s="85">
        <f t="shared" si="298"/>
        <v>27293</v>
      </c>
      <c r="L1343" s="13">
        <f t="shared" si="299"/>
        <v>-825</v>
      </c>
      <c r="M1343" s="85">
        <f t="shared" si="295"/>
        <v>26468</v>
      </c>
      <c r="N1343" s="13">
        <f t="shared" si="299"/>
        <v>0</v>
      </c>
      <c r="O1343" s="85">
        <f t="shared" si="296"/>
        <v>26468</v>
      </c>
      <c r="P1343" s="13">
        <f t="shared" si="299"/>
        <v>0</v>
      </c>
      <c r="Q1343" s="85">
        <f t="shared" si="287"/>
        <v>26468</v>
      </c>
      <c r="R1343" s="13">
        <f t="shared" si="299"/>
        <v>0</v>
      </c>
      <c r="S1343" s="85">
        <f t="shared" si="286"/>
        <v>26468</v>
      </c>
      <c r="T1343" s="13">
        <f t="shared" si="299"/>
        <v>-212.5</v>
      </c>
      <c r="U1343" s="85">
        <f t="shared" si="282"/>
        <v>26255.5</v>
      </c>
    </row>
    <row r="1344" spans="1:21">
      <c r="A1344" s="61" t="str">
        <f t="shared" ca="1" si="300"/>
        <v>Публичные нормативные социальные выплаты гражданам</v>
      </c>
      <c r="B1344" s="145">
        <v>810</v>
      </c>
      <c r="C1344" s="8" t="s">
        <v>188</v>
      </c>
      <c r="D1344" s="8" t="s">
        <v>215</v>
      </c>
      <c r="E1344" s="145" t="s">
        <v>11</v>
      </c>
      <c r="F1344" s="145">
        <v>310</v>
      </c>
      <c r="G1344" s="69">
        <f t="shared" si="299"/>
        <v>27293</v>
      </c>
      <c r="H1344" s="69">
        <f t="shared" si="299"/>
        <v>0</v>
      </c>
      <c r="I1344" s="69">
        <f t="shared" si="283"/>
        <v>27293</v>
      </c>
      <c r="J1344" s="69">
        <f t="shared" si="299"/>
        <v>0</v>
      </c>
      <c r="K1344" s="85">
        <f t="shared" si="298"/>
        <v>27293</v>
      </c>
      <c r="L1344" s="13">
        <f t="shared" si="299"/>
        <v>-825</v>
      </c>
      <c r="M1344" s="85">
        <f t="shared" si="295"/>
        <v>26468</v>
      </c>
      <c r="N1344" s="13">
        <f t="shared" si="299"/>
        <v>0</v>
      </c>
      <c r="O1344" s="85">
        <f t="shared" si="296"/>
        <v>26468</v>
      </c>
      <c r="P1344" s="13">
        <f t="shared" si="299"/>
        <v>0</v>
      </c>
      <c r="Q1344" s="85">
        <f t="shared" si="287"/>
        <v>26468</v>
      </c>
      <c r="R1344" s="13">
        <f t="shared" si="299"/>
        <v>0</v>
      </c>
      <c r="S1344" s="85">
        <f t="shared" si="286"/>
        <v>26468</v>
      </c>
      <c r="T1344" s="13">
        <f t="shared" si="299"/>
        <v>-212.5</v>
      </c>
      <c r="U1344" s="85">
        <f t="shared" si="282"/>
        <v>26255.5</v>
      </c>
    </row>
    <row r="1345" spans="1:21" ht="33">
      <c r="A1345" s="61" t="str">
        <f t="shared" ca="1" si="300"/>
        <v>Пособия, компенсации, меры социальной поддержки по публичным нормативным обязательствам</v>
      </c>
      <c r="B1345" s="145">
        <v>810</v>
      </c>
      <c r="C1345" s="8" t="s">
        <v>188</v>
      </c>
      <c r="D1345" s="8" t="s">
        <v>215</v>
      </c>
      <c r="E1345" s="145" t="s">
        <v>11</v>
      </c>
      <c r="F1345" s="145">
        <v>313</v>
      </c>
      <c r="G1345" s="69">
        <v>27293</v>
      </c>
      <c r="H1345" s="69"/>
      <c r="I1345" s="69">
        <f t="shared" si="283"/>
        <v>27293</v>
      </c>
      <c r="J1345" s="69"/>
      <c r="K1345" s="85">
        <f t="shared" si="298"/>
        <v>27293</v>
      </c>
      <c r="L1345" s="13">
        <v>-825</v>
      </c>
      <c r="M1345" s="85">
        <f t="shared" si="295"/>
        <v>26468</v>
      </c>
      <c r="N1345" s="13"/>
      <c r="O1345" s="85">
        <f t="shared" si="296"/>
        <v>26468</v>
      </c>
      <c r="P1345" s="13"/>
      <c r="Q1345" s="85">
        <f t="shared" si="287"/>
        <v>26468</v>
      </c>
      <c r="R1345" s="13"/>
      <c r="S1345" s="85">
        <f t="shared" si="286"/>
        <v>26468</v>
      </c>
      <c r="T1345" s="13">
        <f>-212.5</f>
        <v>-212.5</v>
      </c>
      <c r="U1345" s="85">
        <f t="shared" si="282"/>
        <v>26255.5</v>
      </c>
    </row>
    <row r="1346" spans="1:21" ht="33">
      <c r="A1346" s="61" t="str">
        <f ca="1">IF(ISERROR(MATCH(E1346,Код_КЦСР,0)),"",INDIRECT(ADDRESS(MATCH(E1346,Код_КЦСР,0)+1,2,,,"КЦСР")))</f>
        <v>Выплата ежемесячного социального пособия за найм (поднайм) жилых помещений специалистам учреждений здравоохранения</v>
      </c>
      <c r="B1346" s="145">
        <v>810</v>
      </c>
      <c r="C1346" s="8" t="s">
        <v>188</v>
      </c>
      <c r="D1346" s="8" t="s">
        <v>215</v>
      </c>
      <c r="E1346" s="145" t="s">
        <v>12</v>
      </c>
      <c r="F1346" s="145"/>
      <c r="G1346" s="69">
        <f t="shared" ref="G1346:T1352" si="301">G1347</f>
        <v>3888</v>
      </c>
      <c r="H1346" s="69">
        <f t="shared" si="301"/>
        <v>0</v>
      </c>
      <c r="I1346" s="69">
        <f t="shared" si="283"/>
        <v>3888</v>
      </c>
      <c r="J1346" s="69">
        <f t="shared" si="301"/>
        <v>0</v>
      </c>
      <c r="K1346" s="85">
        <f t="shared" si="298"/>
        <v>3888</v>
      </c>
      <c r="L1346" s="13">
        <f t="shared" si="301"/>
        <v>0</v>
      </c>
      <c r="M1346" s="85">
        <f t="shared" si="295"/>
        <v>3888</v>
      </c>
      <c r="N1346" s="13">
        <f t="shared" si="301"/>
        <v>0</v>
      </c>
      <c r="O1346" s="85">
        <f t="shared" si="296"/>
        <v>3888</v>
      </c>
      <c r="P1346" s="13">
        <f t="shared" si="301"/>
        <v>0</v>
      </c>
      <c r="Q1346" s="85">
        <f t="shared" si="287"/>
        <v>3888</v>
      </c>
      <c r="R1346" s="13">
        <f t="shared" si="301"/>
        <v>0</v>
      </c>
      <c r="S1346" s="85">
        <f t="shared" si="286"/>
        <v>3888</v>
      </c>
      <c r="T1346" s="13">
        <f t="shared" si="301"/>
        <v>0</v>
      </c>
      <c r="U1346" s="85">
        <f t="shared" si="282"/>
        <v>3888</v>
      </c>
    </row>
    <row r="1347" spans="1:21" ht="50.25" customHeight="1">
      <c r="A1347" s="61" t="str">
        <f ca="1">IF(ISERROR(MATCH(E1347,Код_КЦСР,0)),"",INDIRECT(ADDRESS(MATCH(E1347,Код_КЦСР,0)+1,2,,,"КЦСР")))</f>
        <v>Ежемесячное социальное пособие за найм (поднайм) жилых помещений специалистам учреждений здравоохранения в соответствии с решением Череповецкой городской Думы от 29.05.2012 № 98</v>
      </c>
      <c r="B1347" s="145">
        <v>810</v>
      </c>
      <c r="C1347" s="8" t="s">
        <v>188</v>
      </c>
      <c r="D1347" s="8" t="s">
        <v>215</v>
      </c>
      <c r="E1347" s="145" t="s">
        <v>13</v>
      </c>
      <c r="F1347" s="145"/>
      <c r="G1347" s="69">
        <f>G1351</f>
        <v>3888</v>
      </c>
      <c r="H1347" s="69">
        <f>H1351</f>
        <v>0</v>
      </c>
      <c r="I1347" s="69">
        <f t="shared" si="283"/>
        <v>3888</v>
      </c>
      <c r="J1347" s="69">
        <f>J1351</f>
        <v>0</v>
      </c>
      <c r="K1347" s="85">
        <f t="shared" si="298"/>
        <v>3888</v>
      </c>
      <c r="L1347" s="13">
        <f>L1351</f>
        <v>0</v>
      </c>
      <c r="M1347" s="85">
        <f t="shared" si="295"/>
        <v>3888</v>
      </c>
      <c r="N1347" s="13">
        <f>N1351</f>
        <v>0</v>
      </c>
      <c r="O1347" s="85">
        <f t="shared" si="296"/>
        <v>3888</v>
      </c>
      <c r="P1347" s="13">
        <f>P1351</f>
        <v>0</v>
      </c>
      <c r="Q1347" s="85">
        <f t="shared" si="287"/>
        <v>3888</v>
      </c>
      <c r="R1347" s="13">
        <f>R1351</f>
        <v>0</v>
      </c>
      <c r="S1347" s="85">
        <f t="shared" si="286"/>
        <v>3888</v>
      </c>
      <c r="T1347" s="13">
        <f>T1348+T1351</f>
        <v>0</v>
      </c>
      <c r="U1347" s="85">
        <f t="shared" ref="U1347:U1435" si="302">S1347+T1347</f>
        <v>3888</v>
      </c>
    </row>
    <row r="1348" spans="1:21">
      <c r="A1348" s="61" t="str">
        <f t="shared" ref="A1348:A1353" ca="1" si="303">IF(ISERROR(MATCH(F1348,Код_КВР,0)),"",INDIRECT(ADDRESS(MATCH(F1348,Код_КВР,0)+1,2,,,"КВР")))</f>
        <v>Закупка товаров, работ и услуг для муниципальных нужд</v>
      </c>
      <c r="B1348" s="145">
        <v>810</v>
      </c>
      <c r="C1348" s="8" t="s">
        <v>188</v>
      </c>
      <c r="D1348" s="8" t="s">
        <v>215</v>
      </c>
      <c r="E1348" s="145" t="s">
        <v>13</v>
      </c>
      <c r="F1348" s="145">
        <v>200</v>
      </c>
      <c r="G1348" s="69"/>
      <c r="H1348" s="69"/>
      <c r="I1348" s="69"/>
      <c r="J1348" s="69"/>
      <c r="K1348" s="85"/>
      <c r="L1348" s="13"/>
      <c r="M1348" s="85"/>
      <c r="N1348" s="13"/>
      <c r="O1348" s="85"/>
      <c r="P1348" s="13"/>
      <c r="Q1348" s="85"/>
      <c r="R1348" s="13"/>
      <c r="S1348" s="85"/>
      <c r="T1348" s="13">
        <f>T1350</f>
        <v>23.5</v>
      </c>
      <c r="U1348" s="85">
        <f t="shared" si="302"/>
        <v>23.5</v>
      </c>
    </row>
    <row r="1349" spans="1:21" ht="33">
      <c r="A1349" s="61" t="str">
        <f t="shared" ca="1" si="303"/>
        <v>Иные закупки товаров, работ и услуг для обеспечения муниципальных нужд</v>
      </c>
      <c r="B1349" s="145">
        <v>810</v>
      </c>
      <c r="C1349" s="8" t="s">
        <v>188</v>
      </c>
      <c r="D1349" s="8" t="s">
        <v>215</v>
      </c>
      <c r="E1349" s="145" t="s">
        <v>13</v>
      </c>
      <c r="F1349" s="145">
        <v>240</v>
      </c>
      <c r="G1349" s="69"/>
      <c r="H1349" s="69"/>
      <c r="I1349" s="69"/>
      <c r="J1349" s="69"/>
      <c r="K1349" s="85"/>
      <c r="L1349" s="13"/>
      <c r="M1349" s="85"/>
      <c r="N1349" s="13"/>
      <c r="O1349" s="85"/>
      <c r="P1349" s="13"/>
      <c r="Q1349" s="85"/>
      <c r="R1349" s="13"/>
      <c r="S1349" s="85"/>
      <c r="T1349" s="13">
        <f>T1350</f>
        <v>23.5</v>
      </c>
      <c r="U1349" s="85">
        <f t="shared" si="302"/>
        <v>23.5</v>
      </c>
    </row>
    <row r="1350" spans="1:21" ht="33">
      <c r="A1350" s="61" t="str">
        <f t="shared" ca="1" si="303"/>
        <v xml:space="preserve">Прочая закупка товаров, работ и услуг для обеспечения муниципальных нужд         </v>
      </c>
      <c r="B1350" s="145">
        <v>810</v>
      </c>
      <c r="C1350" s="8" t="s">
        <v>188</v>
      </c>
      <c r="D1350" s="8" t="s">
        <v>215</v>
      </c>
      <c r="E1350" s="145" t="s">
        <v>13</v>
      </c>
      <c r="F1350" s="145">
        <v>244</v>
      </c>
      <c r="G1350" s="69"/>
      <c r="H1350" s="69"/>
      <c r="I1350" s="69"/>
      <c r="J1350" s="69"/>
      <c r="K1350" s="85"/>
      <c r="L1350" s="13"/>
      <c r="M1350" s="85"/>
      <c r="N1350" s="13"/>
      <c r="O1350" s="85"/>
      <c r="P1350" s="13"/>
      <c r="Q1350" s="85"/>
      <c r="R1350" s="13"/>
      <c r="S1350" s="85"/>
      <c r="T1350" s="13">
        <v>23.5</v>
      </c>
      <c r="U1350" s="85">
        <f t="shared" si="302"/>
        <v>23.5</v>
      </c>
    </row>
    <row r="1351" spans="1:21">
      <c r="A1351" s="61" t="str">
        <f t="shared" ca="1" si="303"/>
        <v>Социальное обеспечение и иные выплаты населению</v>
      </c>
      <c r="B1351" s="145">
        <v>810</v>
      </c>
      <c r="C1351" s="8" t="s">
        <v>188</v>
      </c>
      <c r="D1351" s="8" t="s">
        <v>215</v>
      </c>
      <c r="E1351" s="145" t="s">
        <v>13</v>
      </c>
      <c r="F1351" s="145">
        <v>300</v>
      </c>
      <c r="G1351" s="69">
        <f t="shared" si="301"/>
        <v>3888</v>
      </c>
      <c r="H1351" s="69">
        <f t="shared" si="301"/>
        <v>0</v>
      </c>
      <c r="I1351" s="69">
        <f t="shared" si="283"/>
        <v>3888</v>
      </c>
      <c r="J1351" s="69">
        <f t="shared" si="301"/>
        <v>0</v>
      </c>
      <c r="K1351" s="85">
        <f t="shared" si="298"/>
        <v>3888</v>
      </c>
      <c r="L1351" s="13">
        <f t="shared" si="301"/>
        <v>0</v>
      </c>
      <c r="M1351" s="85">
        <f t="shared" si="295"/>
        <v>3888</v>
      </c>
      <c r="N1351" s="13">
        <f t="shared" si="301"/>
        <v>0</v>
      </c>
      <c r="O1351" s="85">
        <f t="shared" si="296"/>
        <v>3888</v>
      </c>
      <c r="P1351" s="13">
        <f t="shared" si="301"/>
        <v>0</v>
      </c>
      <c r="Q1351" s="85">
        <f t="shared" si="287"/>
        <v>3888</v>
      </c>
      <c r="R1351" s="13">
        <f t="shared" si="301"/>
        <v>0</v>
      </c>
      <c r="S1351" s="85">
        <f t="shared" si="286"/>
        <v>3888</v>
      </c>
      <c r="T1351" s="13">
        <f t="shared" si="301"/>
        <v>-23.5</v>
      </c>
      <c r="U1351" s="85">
        <f t="shared" si="302"/>
        <v>3864.5</v>
      </c>
    </row>
    <row r="1352" spans="1:21">
      <c r="A1352" s="61" t="str">
        <f t="shared" ca="1" si="303"/>
        <v>Публичные нормативные социальные выплаты гражданам</v>
      </c>
      <c r="B1352" s="145">
        <v>810</v>
      </c>
      <c r="C1352" s="8" t="s">
        <v>188</v>
      </c>
      <c r="D1352" s="8" t="s">
        <v>215</v>
      </c>
      <c r="E1352" s="145" t="s">
        <v>13</v>
      </c>
      <c r="F1352" s="145">
        <v>310</v>
      </c>
      <c r="G1352" s="69">
        <f t="shared" si="301"/>
        <v>3888</v>
      </c>
      <c r="H1352" s="69">
        <f t="shared" si="301"/>
        <v>0</v>
      </c>
      <c r="I1352" s="69">
        <f t="shared" si="283"/>
        <v>3888</v>
      </c>
      <c r="J1352" s="69">
        <f t="shared" si="301"/>
        <v>0</v>
      </c>
      <c r="K1352" s="85">
        <f t="shared" si="298"/>
        <v>3888</v>
      </c>
      <c r="L1352" s="13">
        <f t="shared" si="301"/>
        <v>0</v>
      </c>
      <c r="M1352" s="85">
        <f t="shared" si="295"/>
        <v>3888</v>
      </c>
      <c r="N1352" s="13">
        <f t="shared" si="301"/>
        <v>0</v>
      </c>
      <c r="O1352" s="85">
        <f t="shared" si="296"/>
        <v>3888</v>
      </c>
      <c r="P1352" s="13">
        <f t="shared" si="301"/>
        <v>0</v>
      </c>
      <c r="Q1352" s="85">
        <f t="shared" si="287"/>
        <v>3888</v>
      </c>
      <c r="R1352" s="13">
        <f t="shared" si="301"/>
        <v>0</v>
      </c>
      <c r="S1352" s="85">
        <f t="shared" si="286"/>
        <v>3888</v>
      </c>
      <c r="T1352" s="13">
        <f t="shared" si="301"/>
        <v>-23.5</v>
      </c>
      <c r="U1352" s="85">
        <f t="shared" si="302"/>
        <v>3864.5</v>
      </c>
    </row>
    <row r="1353" spans="1:21" ht="33">
      <c r="A1353" s="61" t="str">
        <f t="shared" ca="1" si="303"/>
        <v>Пособия, компенсации, меры социальной поддержки по публичным нормативным обязательствам</v>
      </c>
      <c r="B1353" s="145">
        <v>810</v>
      </c>
      <c r="C1353" s="8" t="s">
        <v>188</v>
      </c>
      <c r="D1353" s="8" t="s">
        <v>215</v>
      </c>
      <c r="E1353" s="145" t="s">
        <v>13</v>
      </c>
      <c r="F1353" s="145">
        <v>313</v>
      </c>
      <c r="G1353" s="69">
        <v>3888</v>
      </c>
      <c r="H1353" s="69"/>
      <c r="I1353" s="69">
        <f t="shared" si="283"/>
        <v>3888</v>
      </c>
      <c r="J1353" s="69"/>
      <c r="K1353" s="85">
        <f t="shared" si="298"/>
        <v>3888</v>
      </c>
      <c r="L1353" s="13"/>
      <c r="M1353" s="85">
        <f t="shared" si="295"/>
        <v>3888</v>
      </c>
      <c r="N1353" s="13"/>
      <c r="O1353" s="85">
        <f t="shared" si="296"/>
        <v>3888</v>
      </c>
      <c r="P1353" s="13"/>
      <c r="Q1353" s="85">
        <f t="shared" si="287"/>
        <v>3888</v>
      </c>
      <c r="R1353" s="13"/>
      <c r="S1353" s="85">
        <f t="shared" si="286"/>
        <v>3888</v>
      </c>
      <c r="T1353" s="13">
        <f>-23.5</f>
        <v>-23.5</v>
      </c>
      <c r="U1353" s="85">
        <f t="shared" si="302"/>
        <v>3864.5</v>
      </c>
    </row>
    <row r="1354" spans="1:21" ht="33">
      <c r="A1354" s="61" t="str">
        <f ca="1">IF(ISERROR(MATCH(E1354,Код_КЦСР,0)),"",INDIRECT(ADDRESS(MATCH(E1354,Код_КЦСР,0)+1,2,,,"КЦСР")))</f>
        <v>Выплата вознаграждений лицам, имеющим знак «За особые заслуги перед городом Череповцом»</v>
      </c>
      <c r="B1354" s="145">
        <v>810</v>
      </c>
      <c r="C1354" s="8" t="s">
        <v>188</v>
      </c>
      <c r="D1354" s="8" t="s">
        <v>215</v>
      </c>
      <c r="E1354" s="145" t="s">
        <v>14</v>
      </c>
      <c r="F1354" s="145"/>
      <c r="G1354" s="69">
        <f t="shared" ref="G1354:T1360" si="304">G1355</f>
        <v>421.2</v>
      </c>
      <c r="H1354" s="69">
        <f t="shared" si="304"/>
        <v>0</v>
      </c>
      <c r="I1354" s="69">
        <f t="shared" si="283"/>
        <v>421.2</v>
      </c>
      <c r="J1354" s="69">
        <f t="shared" si="304"/>
        <v>0</v>
      </c>
      <c r="K1354" s="85">
        <f t="shared" si="298"/>
        <v>421.2</v>
      </c>
      <c r="L1354" s="13">
        <f t="shared" si="304"/>
        <v>0</v>
      </c>
      <c r="M1354" s="85">
        <f t="shared" si="295"/>
        <v>421.2</v>
      </c>
      <c r="N1354" s="13">
        <f t="shared" si="304"/>
        <v>0</v>
      </c>
      <c r="O1354" s="85">
        <f t="shared" si="296"/>
        <v>421.2</v>
      </c>
      <c r="P1354" s="13">
        <f t="shared" si="304"/>
        <v>0</v>
      </c>
      <c r="Q1354" s="85">
        <f t="shared" si="287"/>
        <v>421.2</v>
      </c>
      <c r="R1354" s="13">
        <f t="shared" si="304"/>
        <v>0</v>
      </c>
      <c r="S1354" s="85">
        <f t="shared" si="286"/>
        <v>421.2</v>
      </c>
      <c r="T1354" s="13">
        <f t="shared" si="304"/>
        <v>0</v>
      </c>
      <c r="U1354" s="85">
        <f t="shared" si="302"/>
        <v>421.2</v>
      </c>
    </row>
    <row r="1355" spans="1:21" ht="49.5">
      <c r="A1355" s="61" t="str">
        <f ca="1">IF(ISERROR(MATCH(E1355,Код_КЦСР,0)),"",INDIRECT(ADDRESS(MATCH(E1355,Код_КЦСР,0)+1,2,,,"КЦСР")))</f>
        <v>Выплата вознаграждений лицам, имеющим знак «За особые заслуги перед городом Череповцом» в соответствии с постановлением Череповецкой городской Думы от 27.09.2005 № 88</v>
      </c>
      <c r="B1355" s="145">
        <v>810</v>
      </c>
      <c r="C1355" s="8" t="s">
        <v>188</v>
      </c>
      <c r="D1355" s="8" t="s">
        <v>215</v>
      </c>
      <c r="E1355" s="145" t="s">
        <v>16</v>
      </c>
      <c r="F1355" s="145"/>
      <c r="G1355" s="69">
        <f>G1359</f>
        <v>421.2</v>
      </c>
      <c r="H1355" s="69">
        <f>H1359</f>
        <v>0</v>
      </c>
      <c r="I1355" s="69">
        <f t="shared" si="283"/>
        <v>421.2</v>
      </c>
      <c r="J1355" s="69">
        <f>J1359</f>
        <v>0</v>
      </c>
      <c r="K1355" s="85">
        <f t="shared" si="298"/>
        <v>421.2</v>
      </c>
      <c r="L1355" s="13">
        <f>L1359</f>
        <v>0</v>
      </c>
      <c r="M1355" s="85">
        <f t="shared" si="295"/>
        <v>421.2</v>
      </c>
      <c r="N1355" s="13">
        <f>N1359</f>
        <v>0</v>
      </c>
      <c r="O1355" s="85">
        <f t="shared" si="296"/>
        <v>421.2</v>
      </c>
      <c r="P1355" s="13">
        <f>P1359</f>
        <v>0</v>
      </c>
      <c r="Q1355" s="85">
        <f t="shared" si="287"/>
        <v>421.2</v>
      </c>
      <c r="R1355" s="13">
        <f>R1359</f>
        <v>0</v>
      </c>
      <c r="S1355" s="85">
        <f t="shared" si="286"/>
        <v>421.2</v>
      </c>
      <c r="T1355" s="13">
        <f>T1356+T1359</f>
        <v>0</v>
      </c>
      <c r="U1355" s="85">
        <f t="shared" si="302"/>
        <v>421.2</v>
      </c>
    </row>
    <row r="1356" spans="1:21">
      <c r="A1356" s="61" t="str">
        <f t="shared" ref="A1356:A1361" ca="1" si="305">IF(ISERROR(MATCH(F1356,Код_КВР,0)),"",INDIRECT(ADDRESS(MATCH(F1356,Код_КВР,0)+1,2,,,"КВР")))</f>
        <v>Закупка товаров, работ и услуг для муниципальных нужд</v>
      </c>
      <c r="B1356" s="149">
        <v>810</v>
      </c>
      <c r="C1356" s="8" t="s">
        <v>188</v>
      </c>
      <c r="D1356" s="8" t="s">
        <v>215</v>
      </c>
      <c r="E1356" s="149" t="s">
        <v>16</v>
      </c>
      <c r="F1356" s="149">
        <v>200</v>
      </c>
      <c r="G1356" s="69"/>
      <c r="H1356" s="69"/>
      <c r="I1356" s="69"/>
      <c r="J1356" s="69"/>
      <c r="K1356" s="85"/>
      <c r="L1356" s="13"/>
      <c r="M1356" s="85"/>
      <c r="N1356" s="13"/>
      <c r="O1356" s="85"/>
      <c r="P1356" s="13"/>
      <c r="Q1356" s="85"/>
      <c r="R1356" s="13"/>
      <c r="S1356" s="85"/>
      <c r="T1356" s="13">
        <f t="shared" si="304"/>
        <v>4.2</v>
      </c>
      <c r="U1356" s="85">
        <f t="shared" si="302"/>
        <v>4.2</v>
      </c>
    </row>
    <row r="1357" spans="1:21" ht="33">
      <c r="A1357" s="61" t="str">
        <f t="shared" ca="1" si="305"/>
        <v>Иные закупки товаров, работ и услуг для обеспечения муниципальных нужд</v>
      </c>
      <c r="B1357" s="149">
        <v>810</v>
      </c>
      <c r="C1357" s="8" t="s">
        <v>188</v>
      </c>
      <c r="D1357" s="8" t="s">
        <v>215</v>
      </c>
      <c r="E1357" s="149" t="s">
        <v>16</v>
      </c>
      <c r="F1357" s="149">
        <v>240</v>
      </c>
      <c r="G1357" s="69"/>
      <c r="H1357" s="69"/>
      <c r="I1357" s="69"/>
      <c r="J1357" s="69"/>
      <c r="K1357" s="85"/>
      <c r="L1357" s="13"/>
      <c r="M1357" s="85"/>
      <c r="N1357" s="13"/>
      <c r="O1357" s="85"/>
      <c r="P1357" s="13"/>
      <c r="Q1357" s="85"/>
      <c r="R1357" s="13"/>
      <c r="S1357" s="85"/>
      <c r="T1357" s="13">
        <f t="shared" si="304"/>
        <v>4.2</v>
      </c>
      <c r="U1357" s="85">
        <f t="shared" si="302"/>
        <v>4.2</v>
      </c>
    </row>
    <row r="1358" spans="1:21" ht="33">
      <c r="A1358" s="61" t="str">
        <f t="shared" ca="1" si="305"/>
        <v xml:space="preserve">Прочая закупка товаров, работ и услуг для обеспечения муниципальных нужд         </v>
      </c>
      <c r="B1358" s="149">
        <v>810</v>
      </c>
      <c r="C1358" s="8" t="s">
        <v>188</v>
      </c>
      <c r="D1358" s="8" t="s">
        <v>215</v>
      </c>
      <c r="E1358" s="149" t="s">
        <v>16</v>
      </c>
      <c r="F1358" s="149">
        <v>244</v>
      </c>
      <c r="G1358" s="69"/>
      <c r="H1358" s="69"/>
      <c r="I1358" s="69"/>
      <c r="J1358" s="69"/>
      <c r="K1358" s="85"/>
      <c r="L1358" s="13"/>
      <c r="M1358" s="85"/>
      <c r="N1358" s="13"/>
      <c r="O1358" s="85"/>
      <c r="P1358" s="13"/>
      <c r="Q1358" s="85"/>
      <c r="R1358" s="13"/>
      <c r="S1358" s="85"/>
      <c r="T1358" s="13">
        <v>4.2</v>
      </c>
      <c r="U1358" s="85">
        <f t="shared" si="302"/>
        <v>4.2</v>
      </c>
    </row>
    <row r="1359" spans="1:21">
      <c r="A1359" s="61" t="str">
        <f t="shared" ca="1" si="305"/>
        <v>Социальное обеспечение и иные выплаты населению</v>
      </c>
      <c r="B1359" s="145">
        <v>810</v>
      </c>
      <c r="C1359" s="8" t="s">
        <v>188</v>
      </c>
      <c r="D1359" s="8" t="s">
        <v>215</v>
      </c>
      <c r="E1359" s="145" t="s">
        <v>16</v>
      </c>
      <c r="F1359" s="145">
        <v>300</v>
      </c>
      <c r="G1359" s="69">
        <f t="shared" si="304"/>
        <v>421.2</v>
      </c>
      <c r="H1359" s="69">
        <f t="shared" si="304"/>
        <v>0</v>
      </c>
      <c r="I1359" s="69">
        <f t="shared" si="283"/>
        <v>421.2</v>
      </c>
      <c r="J1359" s="69">
        <f t="shared" si="304"/>
        <v>0</v>
      </c>
      <c r="K1359" s="85">
        <f t="shared" si="298"/>
        <v>421.2</v>
      </c>
      <c r="L1359" s="13">
        <f t="shared" si="304"/>
        <v>0</v>
      </c>
      <c r="M1359" s="85">
        <f t="shared" si="295"/>
        <v>421.2</v>
      </c>
      <c r="N1359" s="13">
        <f t="shared" si="304"/>
        <v>0</v>
      </c>
      <c r="O1359" s="85">
        <f t="shared" si="296"/>
        <v>421.2</v>
      </c>
      <c r="P1359" s="13">
        <f t="shared" si="304"/>
        <v>0</v>
      </c>
      <c r="Q1359" s="85">
        <f t="shared" si="287"/>
        <v>421.2</v>
      </c>
      <c r="R1359" s="13">
        <f t="shared" si="304"/>
        <v>0</v>
      </c>
      <c r="S1359" s="85">
        <f t="shared" si="286"/>
        <v>421.2</v>
      </c>
      <c r="T1359" s="13">
        <f t="shared" si="304"/>
        <v>-4.2</v>
      </c>
      <c r="U1359" s="85">
        <f t="shared" si="302"/>
        <v>417</v>
      </c>
    </row>
    <row r="1360" spans="1:21">
      <c r="A1360" s="61" t="str">
        <f t="shared" ca="1" si="305"/>
        <v>Публичные нормативные социальные выплаты гражданам</v>
      </c>
      <c r="B1360" s="145">
        <v>810</v>
      </c>
      <c r="C1360" s="8" t="s">
        <v>188</v>
      </c>
      <c r="D1360" s="8" t="s">
        <v>215</v>
      </c>
      <c r="E1360" s="145" t="s">
        <v>16</v>
      </c>
      <c r="F1360" s="145">
        <v>310</v>
      </c>
      <c r="G1360" s="69">
        <f t="shared" si="304"/>
        <v>421.2</v>
      </c>
      <c r="H1360" s="69">
        <f t="shared" si="304"/>
        <v>0</v>
      </c>
      <c r="I1360" s="69">
        <f t="shared" ref="I1360:I1474" si="306">G1360+H1360</f>
        <v>421.2</v>
      </c>
      <c r="J1360" s="69">
        <f t="shared" si="304"/>
        <v>0</v>
      </c>
      <c r="K1360" s="85">
        <f t="shared" si="298"/>
        <v>421.2</v>
      </c>
      <c r="L1360" s="13">
        <f t="shared" si="304"/>
        <v>0</v>
      </c>
      <c r="M1360" s="85">
        <f t="shared" si="295"/>
        <v>421.2</v>
      </c>
      <c r="N1360" s="13">
        <f t="shared" si="304"/>
        <v>0</v>
      </c>
      <c r="O1360" s="85">
        <f t="shared" si="296"/>
        <v>421.2</v>
      </c>
      <c r="P1360" s="13">
        <f t="shared" si="304"/>
        <v>0</v>
      </c>
      <c r="Q1360" s="85">
        <f t="shared" si="287"/>
        <v>421.2</v>
      </c>
      <c r="R1360" s="13">
        <f t="shared" si="304"/>
        <v>0</v>
      </c>
      <c r="S1360" s="85">
        <f t="shared" si="286"/>
        <v>421.2</v>
      </c>
      <c r="T1360" s="13">
        <f t="shared" si="304"/>
        <v>-4.2</v>
      </c>
      <c r="U1360" s="85">
        <f t="shared" si="302"/>
        <v>417</v>
      </c>
    </row>
    <row r="1361" spans="1:21" ht="33">
      <c r="A1361" s="61" t="str">
        <f t="shared" ca="1" si="305"/>
        <v>Пособия, компенсации, меры социальной поддержки по публичным нормативным обязательствам</v>
      </c>
      <c r="B1361" s="145">
        <v>810</v>
      </c>
      <c r="C1361" s="8" t="s">
        <v>188</v>
      </c>
      <c r="D1361" s="8" t="s">
        <v>215</v>
      </c>
      <c r="E1361" s="145" t="s">
        <v>16</v>
      </c>
      <c r="F1361" s="145">
        <v>313</v>
      </c>
      <c r="G1361" s="69">
        <v>421.2</v>
      </c>
      <c r="H1361" s="69"/>
      <c r="I1361" s="69">
        <f t="shared" si="306"/>
        <v>421.2</v>
      </c>
      <c r="J1361" s="69"/>
      <c r="K1361" s="85">
        <f t="shared" si="298"/>
        <v>421.2</v>
      </c>
      <c r="L1361" s="13"/>
      <c r="M1361" s="85">
        <f t="shared" si="295"/>
        <v>421.2</v>
      </c>
      <c r="N1361" s="13"/>
      <c r="O1361" s="85">
        <f t="shared" si="296"/>
        <v>421.2</v>
      </c>
      <c r="P1361" s="13"/>
      <c r="Q1361" s="85">
        <f t="shared" si="287"/>
        <v>421.2</v>
      </c>
      <c r="R1361" s="13"/>
      <c r="S1361" s="85">
        <f t="shared" si="286"/>
        <v>421.2</v>
      </c>
      <c r="T1361" s="13">
        <v>-4.2</v>
      </c>
      <c r="U1361" s="85">
        <f t="shared" si="302"/>
        <v>417</v>
      </c>
    </row>
    <row r="1362" spans="1:21" ht="33">
      <c r="A1362" s="61" t="str">
        <f ca="1">IF(ISERROR(MATCH(E1362,Код_КЦСР,0)),"",INDIRECT(ADDRESS(MATCH(E1362,Код_КЦСР,0)+1,2,,,"КЦСР")))</f>
        <v>Выплата вознаграждений лицам, имеющим звание «Почетный гражданин города Череповца</v>
      </c>
      <c r="B1362" s="145">
        <v>810</v>
      </c>
      <c r="C1362" s="8" t="s">
        <v>188</v>
      </c>
      <c r="D1362" s="8" t="s">
        <v>215</v>
      </c>
      <c r="E1362" s="145" t="s">
        <v>17</v>
      </c>
      <c r="F1362" s="145"/>
      <c r="G1362" s="69">
        <f t="shared" ref="G1362:T1368" si="307">G1363</f>
        <v>449.5</v>
      </c>
      <c r="H1362" s="69">
        <f t="shared" si="307"/>
        <v>0</v>
      </c>
      <c r="I1362" s="69">
        <f t="shared" si="306"/>
        <v>449.5</v>
      </c>
      <c r="J1362" s="69">
        <f t="shared" si="307"/>
        <v>0</v>
      </c>
      <c r="K1362" s="85">
        <f t="shared" si="298"/>
        <v>449.5</v>
      </c>
      <c r="L1362" s="13">
        <f t="shared" si="307"/>
        <v>0</v>
      </c>
      <c r="M1362" s="85">
        <f t="shared" si="295"/>
        <v>449.5</v>
      </c>
      <c r="N1362" s="13">
        <f t="shared" si="307"/>
        <v>0</v>
      </c>
      <c r="O1362" s="85">
        <f t="shared" si="296"/>
        <v>449.5</v>
      </c>
      <c r="P1362" s="13">
        <f t="shared" si="307"/>
        <v>0</v>
      </c>
      <c r="Q1362" s="85">
        <f t="shared" si="287"/>
        <v>449.5</v>
      </c>
      <c r="R1362" s="13">
        <f t="shared" si="307"/>
        <v>0</v>
      </c>
      <c r="S1362" s="85">
        <f t="shared" si="286"/>
        <v>449.5</v>
      </c>
      <c r="T1362" s="13">
        <f t="shared" si="307"/>
        <v>0</v>
      </c>
      <c r="U1362" s="85">
        <f t="shared" si="302"/>
        <v>449.5</v>
      </c>
    </row>
    <row r="1363" spans="1:21" ht="49.5">
      <c r="A1363" s="61" t="str">
        <f ca="1">IF(ISERROR(MATCH(E1363,Код_КЦСР,0)),"",INDIRECT(ADDRESS(MATCH(E1363,Код_КЦСР,0)+1,2,,,"КЦСР")))</f>
        <v>Выплата вознаграждений лицам, имеющим звание «Почетный гражданин города Череповца» в соответствии с постановлением Череповецкой городской Думы от 27.09.2005 № 87</v>
      </c>
      <c r="B1363" s="145">
        <v>810</v>
      </c>
      <c r="C1363" s="8" t="s">
        <v>188</v>
      </c>
      <c r="D1363" s="8" t="s">
        <v>215</v>
      </c>
      <c r="E1363" s="145" t="s">
        <v>19</v>
      </c>
      <c r="F1363" s="145"/>
      <c r="G1363" s="69">
        <f>G1367</f>
        <v>449.5</v>
      </c>
      <c r="H1363" s="69">
        <f>H1367</f>
        <v>0</v>
      </c>
      <c r="I1363" s="69">
        <f t="shared" si="306"/>
        <v>449.5</v>
      </c>
      <c r="J1363" s="69">
        <f>J1367</f>
        <v>0</v>
      </c>
      <c r="K1363" s="85">
        <f t="shared" si="298"/>
        <v>449.5</v>
      </c>
      <c r="L1363" s="13">
        <f>L1367</f>
        <v>0</v>
      </c>
      <c r="M1363" s="85">
        <f t="shared" si="295"/>
        <v>449.5</v>
      </c>
      <c r="N1363" s="13">
        <f>N1367</f>
        <v>0</v>
      </c>
      <c r="O1363" s="85">
        <f t="shared" si="296"/>
        <v>449.5</v>
      </c>
      <c r="P1363" s="13">
        <f>P1367</f>
        <v>0</v>
      </c>
      <c r="Q1363" s="85">
        <f t="shared" si="287"/>
        <v>449.5</v>
      </c>
      <c r="R1363" s="13">
        <f>R1367</f>
        <v>0</v>
      </c>
      <c r="S1363" s="85">
        <f t="shared" si="286"/>
        <v>449.5</v>
      </c>
      <c r="T1363" s="13">
        <f>T1364+T1367</f>
        <v>0</v>
      </c>
      <c r="U1363" s="85">
        <f t="shared" si="302"/>
        <v>449.5</v>
      </c>
    </row>
    <row r="1364" spans="1:21">
      <c r="A1364" s="61" t="str">
        <f t="shared" ref="A1364:A1369" ca="1" si="308">IF(ISERROR(MATCH(F1364,Код_КВР,0)),"",INDIRECT(ADDRESS(MATCH(F1364,Код_КВР,0)+1,2,,,"КВР")))</f>
        <v>Закупка товаров, работ и услуг для муниципальных нужд</v>
      </c>
      <c r="B1364" s="145">
        <v>810</v>
      </c>
      <c r="C1364" s="8" t="s">
        <v>188</v>
      </c>
      <c r="D1364" s="8" t="s">
        <v>215</v>
      </c>
      <c r="E1364" s="145" t="s">
        <v>19</v>
      </c>
      <c r="F1364" s="145">
        <v>200</v>
      </c>
      <c r="G1364" s="69"/>
      <c r="H1364" s="69"/>
      <c r="I1364" s="69"/>
      <c r="J1364" s="69"/>
      <c r="K1364" s="85"/>
      <c r="L1364" s="13"/>
      <c r="M1364" s="85"/>
      <c r="N1364" s="13"/>
      <c r="O1364" s="85"/>
      <c r="P1364" s="13"/>
      <c r="Q1364" s="85"/>
      <c r="R1364" s="13"/>
      <c r="S1364" s="85"/>
      <c r="T1364" s="13">
        <f t="shared" si="307"/>
        <v>4.5</v>
      </c>
      <c r="U1364" s="85">
        <f t="shared" si="302"/>
        <v>4.5</v>
      </c>
    </row>
    <row r="1365" spans="1:21" ht="33">
      <c r="A1365" s="61" t="str">
        <f t="shared" ca="1" si="308"/>
        <v>Иные закупки товаров, работ и услуг для обеспечения муниципальных нужд</v>
      </c>
      <c r="B1365" s="145">
        <v>810</v>
      </c>
      <c r="C1365" s="8" t="s">
        <v>188</v>
      </c>
      <c r="D1365" s="8" t="s">
        <v>215</v>
      </c>
      <c r="E1365" s="145" t="s">
        <v>19</v>
      </c>
      <c r="F1365" s="145">
        <v>240</v>
      </c>
      <c r="G1365" s="69"/>
      <c r="H1365" s="69"/>
      <c r="I1365" s="69"/>
      <c r="J1365" s="69"/>
      <c r="K1365" s="85"/>
      <c r="L1365" s="13"/>
      <c r="M1365" s="85"/>
      <c r="N1365" s="13"/>
      <c r="O1365" s="85"/>
      <c r="P1365" s="13"/>
      <c r="Q1365" s="85"/>
      <c r="R1365" s="13"/>
      <c r="S1365" s="85"/>
      <c r="T1365" s="13">
        <f t="shared" si="307"/>
        <v>4.5</v>
      </c>
      <c r="U1365" s="85">
        <f t="shared" si="302"/>
        <v>4.5</v>
      </c>
    </row>
    <row r="1366" spans="1:21" ht="33">
      <c r="A1366" s="61" t="str">
        <f t="shared" ca="1" si="308"/>
        <v xml:space="preserve">Прочая закупка товаров, работ и услуг для обеспечения муниципальных нужд         </v>
      </c>
      <c r="B1366" s="145">
        <v>810</v>
      </c>
      <c r="C1366" s="8" t="s">
        <v>188</v>
      </c>
      <c r="D1366" s="8" t="s">
        <v>215</v>
      </c>
      <c r="E1366" s="145" t="s">
        <v>19</v>
      </c>
      <c r="F1366" s="145">
        <v>244</v>
      </c>
      <c r="G1366" s="69"/>
      <c r="H1366" s="69"/>
      <c r="I1366" s="69"/>
      <c r="J1366" s="69"/>
      <c r="K1366" s="85"/>
      <c r="L1366" s="13"/>
      <c r="M1366" s="85"/>
      <c r="N1366" s="13"/>
      <c r="O1366" s="85"/>
      <c r="P1366" s="13"/>
      <c r="Q1366" s="85"/>
      <c r="R1366" s="13"/>
      <c r="S1366" s="85"/>
      <c r="T1366" s="13">
        <v>4.5</v>
      </c>
      <c r="U1366" s="85">
        <f t="shared" si="302"/>
        <v>4.5</v>
      </c>
    </row>
    <row r="1367" spans="1:21">
      <c r="A1367" s="61" t="str">
        <f t="shared" ca="1" si="308"/>
        <v>Социальное обеспечение и иные выплаты населению</v>
      </c>
      <c r="B1367" s="145">
        <v>810</v>
      </c>
      <c r="C1367" s="8" t="s">
        <v>188</v>
      </c>
      <c r="D1367" s="8" t="s">
        <v>215</v>
      </c>
      <c r="E1367" s="145" t="s">
        <v>19</v>
      </c>
      <c r="F1367" s="145">
        <v>300</v>
      </c>
      <c r="G1367" s="69">
        <f t="shared" si="307"/>
        <v>449.5</v>
      </c>
      <c r="H1367" s="69">
        <f t="shared" si="307"/>
        <v>0</v>
      </c>
      <c r="I1367" s="69">
        <f t="shared" si="306"/>
        <v>449.5</v>
      </c>
      <c r="J1367" s="69">
        <f t="shared" si="307"/>
        <v>0</v>
      </c>
      <c r="K1367" s="85">
        <f t="shared" si="298"/>
        <v>449.5</v>
      </c>
      <c r="L1367" s="13">
        <f t="shared" si="307"/>
        <v>0</v>
      </c>
      <c r="M1367" s="85">
        <f t="shared" si="295"/>
        <v>449.5</v>
      </c>
      <c r="N1367" s="13">
        <f t="shared" si="307"/>
        <v>0</v>
      </c>
      <c r="O1367" s="85">
        <f t="shared" si="296"/>
        <v>449.5</v>
      </c>
      <c r="P1367" s="13">
        <f t="shared" si="307"/>
        <v>0</v>
      </c>
      <c r="Q1367" s="85">
        <f t="shared" si="287"/>
        <v>449.5</v>
      </c>
      <c r="R1367" s="13">
        <f t="shared" si="307"/>
        <v>0</v>
      </c>
      <c r="S1367" s="85">
        <f t="shared" si="286"/>
        <v>449.5</v>
      </c>
      <c r="T1367" s="13">
        <f t="shared" si="307"/>
        <v>-4.5</v>
      </c>
      <c r="U1367" s="85">
        <f t="shared" si="302"/>
        <v>445</v>
      </c>
    </row>
    <row r="1368" spans="1:21">
      <c r="A1368" s="61" t="str">
        <f t="shared" ca="1" si="308"/>
        <v>Публичные нормативные социальные выплаты гражданам</v>
      </c>
      <c r="B1368" s="145">
        <v>810</v>
      </c>
      <c r="C1368" s="8" t="s">
        <v>188</v>
      </c>
      <c r="D1368" s="8" t="s">
        <v>215</v>
      </c>
      <c r="E1368" s="145" t="s">
        <v>19</v>
      </c>
      <c r="F1368" s="145">
        <v>310</v>
      </c>
      <c r="G1368" s="69">
        <f t="shared" si="307"/>
        <v>449.5</v>
      </c>
      <c r="H1368" s="69">
        <f t="shared" si="307"/>
        <v>0</v>
      </c>
      <c r="I1368" s="69">
        <f t="shared" si="306"/>
        <v>449.5</v>
      </c>
      <c r="J1368" s="69">
        <f t="shared" si="307"/>
        <v>0</v>
      </c>
      <c r="K1368" s="85">
        <f t="shared" si="298"/>
        <v>449.5</v>
      </c>
      <c r="L1368" s="13">
        <f t="shared" si="307"/>
        <v>0</v>
      </c>
      <c r="M1368" s="85">
        <f t="shared" si="295"/>
        <v>449.5</v>
      </c>
      <c r="N1368" s="13">
        <f t="shared" si="307"/>
        <v>0</v>
      </c>
      <c r="O1368" s="85">
        <f t="shared" si="296"/>
        <v>449.5</v>
      </c>
      <c r="P1368" s="13">
        <f t="shared" si="307"/>
        <v>0</v>
      </c>
      <c r="Q1368" s="85">
        <f t="shared" si="287"/>
        <v>449.5</v>
      </c>
      <c r="R1368" s="13">
        <f t="shared" si="307"/>
        <v>0</v>
      </c>
      <c r="S1368" s="85">
        <f t="shared" si="286"/>
        <v>449.5</v>
      </c>
      <c r="T1368" s="13">
        <f t="shared" si="307"/>
        <v>-4.5</v>
      </c>
      <c r="U1368" s="85">
        <f t="shared" si="302"/>
        <v>445</v>
      </c>
    </row>
    <row r="1369" spans="1:21" ht="33">
      <c r="A1369" s="61" t="str">
        <f t="shared" ca="1" si="308"/>
        <v>Пособия, компенсации, меры социальной поддержки по публичным нормативным обязательствам</v>
      </c>
      <c r="B1369" s="145">
        <v>810</v>
      </c>
      <c r="C1369" s="8" t="s">
        <v>188</v>
      </c>
      <c r="D1369" s="8" t="s">
        <v>215</v>
      </c>
      <c r="E1369" s="145" t="s">
        <v>19</v>
      </c>
      <c r="F1369" s="145">
        <v>313</v>
      </c>
      <c r="G1369" s="69">
        <v>449.5</v>
      </c>
      <c r="H1369" s="69"/>
      <c r="I1369" s="69">
        <f t="shared" si="306"/>
        <v>449.5</v>
      </c>
      <c r="J1369" s="69"/>
      <c r="K1369" s="85">
        <f t="shared" si="298"/>
        <v>449.5</v>
      </c>
      <c r="L1369" s="13"/>
      <c r="M1369" s="85">
        <f t="shared" si="295"/>
        <v>449.5</v>
      </c>
      <c r="N1369" s="13"/>
      <c r="O1369" s="85">
        <f t="shared" si="296"/>
        <v>449.5</v>
      </c>
      <c r="P1369" s="13"/>
      <c r="Q1369" s="85">
        <f t="shared" si="287"/>
        <v>449.5</v>
      </c>
      <c r="R1369" s="13"/>
      <c r="S1369" s="85">
        <f t="shared" ref="S1369:S1463" si="309">Q1369+R1369</f>
        <v>449.5</v>
      </c>
      <c r="T1369" s="13">
        <v>-4.5</v>
      </c>
      <c r="U1369" s="85">
        <f t="shared" si="302"/>
        <v>445</v>
      </c>
    </row>
    <row r="1370" spans="1:21" ht="142.69999999999999" customHeight="1">
      <c r="A1370" s="61" t="str">
        <f ca="1">IF(ISERROR(MATCH(E1370,Код_КЦСР,0)),"",INDIRECT(ADDRESS(MATCH(E1370,Код_КЦСР,0)+1,2,,,"КЦСР")))</f>
        <v>Предоставление мер социальной поддержки инвалидам Великой Отечественной войны, проживающим в городе Череповце, в виде единовременной денежной выплаты на возмещение затрат по замене газового оборудования, подлежащего замене  в соответствии с актом специализированной организации, выполняющей техническое обслуживание внутридомового газового оборудования, в жилых помещениях, принадлежащих им на праве собственности или занимаемых ими по договору социального найма</v>
      </c>
      <c r="B1370" s="145">
        <v>810</v>
      </c>
      <c r="C1370" s="8" t="s">
        <v>188</v>
      </c>
      <c r="D1370" s="8" t="s">
        <v>215</v>
      </c>
      <c r="E1370" s="145" t="s">
        <v>630</v>
      </c>
      <c r="F1370" s="145"/>
      <c r="G1370" s="69"/>
      <c r="H1370" s="69"/>
      <c r="I1370" s="69"/>
      <c r="J1370" s="69"/>
      <c r="K1370" s="85"/>
      <c r="L1370" s="13"/>
      <c r="M1370" s="85"/>
      <c r="N1370" s="13">
        <f>N1371</f>
        <v>432</v>
      </c>
      <c r="O1370" s="85">
        <f t="shared" si="296"/>
        <v>432</v>
      </c>
      <c r="P1370" s="13">
        <f>P1371</f>
        <v>0</v>
      </c>
      <c r="Q1370" s="85">
        <f t="shared" si="287"/>
        <v>432</v>
      </c>
      <c r="R1370" s="13">
        <f>R1371</f>
        <v>0</v>
      </c>
      <c r="S1370" s="85">
        <f t="shared" si="309"/>
        <v>432</v>
      </c>
      <c r="T1370" s="13">
        <f>T1371</f>
        <v>0</v>
      </c>
      <c r="U1370" s="85">
        <f t="shared" si="302"/>
        <v>432</v>
      </c>
    </row>
    <row r="1371" spans="1:21" ht="142.69999999999999" customHeight="1">
      <c r="A1371" s="61" t="str">
        <f ca="1">IF(ISERROR(MATCH(E1371,Код_КЦСР,0)),"",INDIRECT(ADDRESS(MATCH(E1371,Код_КЦСР,0)+1,2,,,"КЦСР")))</f>
        <v>Единовременная денежная выплата инвалидам Великой Отечественной войны, проживающим в городе Череповце, на возмещение затрат по замене газового оборудования (подлежащего замене в соответствии с актом специализированной организации, выполняющей техническое обслуживание внутридомового газового оборудования) в жилых помещениях, принадлежащих им на праве собственности или занимаемых ими по договору социального найма, в соответствии с решением Череповецкой городской Думы от 27.09.2011 № 170</v>
      </c>
      <c r="B1371" s="145">
        <v>810</v>
      </c>
      <c r="C1371" s="8" t="s">
        <v>188</v>
      </c>
      <c r="D1371" s="8" t="s">
        <v>215</v>
      </c>
      <c r="E1371" s="145" t="s">
        <v>632</v>
      </c>
      <c r="F1371" s="145"/>
      <c r="G1371" s="69"/>
      <c r="H1371" s="69"/>
      <c r="I1371" s="69"/>
      <c r="J1371" s="69"/>
      <c r="K1371" s="85"/>
      <c r="L1371" s="13"/>
      <c r="M1371" s="85"/>
      <c r="N1371" s="13">
        <f>N1372</f>
        <v>432</v>
      </c>
      <c r="O1371" s="85">
        <f t="shared" si="296"/>
        <v>432</v>
      </c>
      <c r="P1371" s="13">
        <f>P1372</f>
        <v>0</v>
      </c>
      <c r="Q1371" s="85">
        <f t="shared" si="287"/>
        <v>432</v>
      </c>
      <c r="R1371" s="13">
        <f>R1372</f>
        <v>0</v>
      </c>
      <c r="S1371" s="85">
        <f t="shared" si="309"/>
        <v>432</v>
      </c>
      <c r="T1371" s="13">
        <f>T1372</f>
        <v>0</v>
      </c>
      <c r="U1371" s="85">
        <f t="shared" si="302"/>
        <v>432</v>
      </c>
    </row>
    <row r="1372" spans="1:21" ht="23.25" customHeight="1">
      <c r="A1372" s="61" t="str">
        <f ca="1">IF(ISERROR(MATCH(F1372,Код_КВР,0)),"",INDIRECT(ADDRESS(MATCH(F1372,Код_КВР,0)+1,2,,,"КВР")))</f>
        <v>Социальное обеспечение и иные выплаты населению</v>
      </c>
      <c r="B1372" s="145">
        <v>810</v>
      </c>
      <c r="C1372" s="8" t="s">
        <v>188</v>
      </c>
      <c r="D1372" s="8" t="s">
        <v>215</v>
      </c>
      <c r="E1372" s="145" t="s">
        <v>632</v>
      </c>
      <c r="F1372" s="145">
        <v>300</v>
      </c>
      <c r="G1372" s="69"/>
      <c r="H1372" s="69"/>
      <c r="I1372" s="69"/>
      <c r="J1372" s="69"/>
      <c r="K1372" s="85"/>
      <c r="L1372" s="13"/>
      <c r="M1372" s="85"/>
      <c r="N1372" s="13">
        <f>N1373</f>
        <v>432</v>
      </c>
      <c r="O1372" s="85">
        <f t="shared" si="296"/>
        <v>432</v>
      </c>
      <c r="P1372" s="13">
        <f>P1373</f>
        <v>0</v>
      </c>
      <c r="Q1372" s="85">
        <f t="shared" si="287"/>
        <v>432</v>
      </c>
      <c r="R1372" s="13">
        <f>R1373</f>
        <v>0</v>
      </c>
      <c r="S1372" s="85">
        <f t="shared" si="309"/>
        <v>432</v>
      </c>
      <c r="T1372" s="13">
        <f>T1373</f>
        <v>0</v>
      </c>
      <c r="U1372" s="85">
        <f t="shared" si="302"/>
        <v>432</v>
      </c>
    </row>
    <row r="1373" spans="1:21" ht="22.5" customHeight="1">
      <c r="A1373" s="61" t="str">
        <f ca="1">IF(ISERROR(MATCH(F1373,Код_КВР,0)),"",INDIRECT(ADDRESS(MATCH(F1373,Код_КВР,0)+1,2,,,"КВР")))</f>
        <v>Публичные нормативные социальные выплаты гражданам</v>
      </c>
      <c r="B1373" s="145">
        <v>810</v>
      </c>
      <c r="C1373" s="8" t="s">
        <v>188</v>
      </c>
      <c r="D1373" s="8" t="s">
        <v>215</v>
      </c>
      <c r="E1373" s="145" t="s">
        <v>632</v>
      </c>
      <c r="F1373" s="145">
        <v>310</v>
      </c>
      <c r="G1373" s="69"/>
      <c r="H1373" s="69"/>
      <c r="I1373" s="69"/>
      <c r="J1373" s="69"/>
      <c r="K1373" s="85"/>
      <c r="L1373" s="13"/>
      <c r="M1373" s="85"/>
      <c r="N1373" s="13">
        <f>N1374</f>
        <v>432</v>
      </c>
      <c r="O1373" s="85">
        <f t="shared" si="296"/>
        <v>432</v>
      </c>
      <c r="P1373" s="13">
        <f>P1374</f>
        <v>0</v>
      </c>
      <c r="Q1373" s="85">
        <f t="shared" si="287"/>
        <v>432</v>
      </c>
      <c r="R1373" s="13">
        <f>R1374</f>
        <v>0</v>
      </c>
      <c r="S1373" s="85">
        <f t="shared" si="309"/>
        <v>432</v>
      </c>
      <c r="T1373" s="13">
        <f>T1374</f>
        <v>0</v>
      </c>
      <c r="U1373" s="85">
        <f t="shared" si="302"/>
        <v>432</v>
      </c>
    </row>
    <row r="1374" spans="1:21" ht="37.5" customHeight="1">
      <c r="A1374" s="61" t="str">
        <f ca="1">IF(ISERROR(MATCH(F1374,Код_КВР,0)),"",INDIRECT(ADDRESS(MATCH(F1374,Код_КВР,0)+1,2,,,"КВР")))</f>
        <v>Пособия, компенсации, меры социальной поддержки по публичным нормативным обязательствам</v>
      </c>
      <c r="B1374" s="145">
        <v>810</v>
      </c>
      <c r="C1374" s="8" t="s">
        <v>188</v>
      </c>
      <c r="D1374" s="8" t="s">
        <v>215</v>
      </c>
      <c r="E1374" s="145" t="s">
        <v>632</v>
      </c>
      <c r="F1374" s="145">
        <v>313</v>
      </c>
      <c r="G1374" s="69"/>
      <c r="H1374" s="69"/>
      <c r="I1374" s="69"/>
      <c r="J1374" s="69"/>
      <c r="K1374" s="85"/>
      <c r="L1374" s="13"/>
      <c r="M1374" s="85"/>
      <c r="N1374" s="13">
        <v>432</v>
      </c>
      <c r="O1374" s="85">
        <f t="shared" si="296"/>
        <v>432</v>
      </c>
      <c r="P1374" s="13"/>
      <c r="Q1374" s="85">
        <f t="shared" si="287"/>
        <v>432</v>
      </c>
      <c r="R1374" s="13"/>
      <c r="S1374" s="85">
        <f t="shared" si="309"/>
        <v>432</v>
      </c>
      <c r="T1374" s="13"/>
      <c r="U1374" s="85">
        <f t="shared" si="302"/>
        <v>432</v>
      </c>
    </row>
    <row r="1375" spans="1:21" ht="37.5" customHeight="1">
      <c r="A1375" s="61" t="str">
        <f ca="1">IF(ISERROR(MATCH(E1375,Код_КЦСР,0)),"",INDIRECT(ADDRESS(MATCH(E1375,Код_КЦСР,0)+1,2,,,"КЦСР")))</f>
        <v>Выплата единовременной социальной помощи в связи с рождением троих детей многодетным семьям</v>
      </c>
      <c r="B1375" s="145">
        <v>810</v>
      </c>
      <c r="C1375" s="8" t="s">
        <v>188</v>
      </c>
      <c r="D1375" s="8" t="s">
        <v>215</v>
      </c>
      <c r="E1375" s="145" t="s">
        <v>661</v>
      </c>
      <c r="F1375" s="145"/>
      <c r="G1375" s="69"/>
      <c r="H1375" s="69"/>
      <c r="I1375" s="69"/>
      <c r="J1375" s="69"/>
      <c r="K1375" s="85"/>
      <c r="L1375" s="13"/>
      <c r="M1375" s="85"/>
      <c r="N1375" s="13"/>
      <c r="O1375" s="85"/>
      <c r="P1375" s="13"/>
      <c r="Q1375" s="85"/>
      <c r="R1375" s="13">
        <f>R1376+R1380</f>
        <v>1000</v>
      </c>
      <c r="S1375" s="85">
        <f t="shared" si="309"/>
        <v>1000</v>
      </c>
      <c r="T1375" s="13">
        <f>T1376+T1380</f>
        <v>0</v>
      </c>
      <c r="U1375" s="85">
        <f t="shared" si="302"/>
        <v>1000</v>
      </c>
    </row>
    <row r="1376" spans="1:21" ht="54.75" customHeight="1">
      <c r="A1376" s="61" t="str">
        <f ca="1">IF(ISERROR(MATCH(E1376,Код_КЦСР,0)),"",INDIRECT(ADDRESS(MATCH(E1376,Код_КЦСР,0)+1,2,,,"КЦСР")))</f>
        <v>Выплата единовременной социальной помощи Степановой К.Н. в связи с рождением троих детей в соответствии с решением Череповецкой городской Думы от 06.10.2014 № 154</v>
      </c>
      <c r="B1376" s="145">
        <v>810</v>
      </c>
      <c r="C1376" s="8" t="s">
        <v>188</v>
      </c>
      <c r="D1376" s="8" t="s">
        <v>215</v>
      </c>
      <c r="E1376" s="145" t="s">
        <v>660</v>
      </c>
      <c r="F1376" s="145"/>
      <c r="G1376" s="69"/>
      <c r="H1376" s="69"/>
      <c r="I1376" s="69"/>
      <c r="J1376" s="69"/>
      <c r="K1376" s="85"/>
      <c r="L1376" s="13"/>
      <c r="M1376" s="85"/>
      <c r="N1376" s="13"/>
      <c r="O1376" s="85"/>
      <c r="P1376" s="13"/>
      <c r="Q1376" s="85"/>
      <c r="R1376" s="13">
        <f>R1377</f>
        <v>500</v>
      </c>
      <c r="S1376" s="85">
        <f t="shared" si="309"/>
        <v>500</v>
      </c>
      <c r="T1376" s="13">
        <f>T1377</f>
        <v>0</v>
      </c>
      <c r="U1376" s="85">
        <f t="shared" si="302"/>
        <v>500</v>
      </c>
    </row>
    <row r="1377" spans="1:21" ht="27" customHeight="1">
      <c r="A1377" s="61" t="str">
        <f ca="1">IF(ISERROR(MATCH(F1377,Код_КВР,0)),"",INDIRECT(ADDRESS(MATCH(F1377,Код_КВР,0)+1,2,,,"КВР")))</f>
        <v>Социальное обеспечение и иные выплаты населению</v>
      </c>
      <c r="B1377" s="145">
        <v>810</v>
      </c>
      <c r="C1377" s="8" t="s">
        <v>188</v>
      </c>
      <c r="D1377" s="8" t="s">
        <v>215</v>
      </c>
      <c r="E1377" s="145" t="s">
        <v>660</v>
      </c>
      <c r="F1377" s="145">
        <v>300</v>
      </c>
      <c r="G1377" s="69"/>
      <c r="H1377" s="69"/>
      <c r="I1377" s="69"/>
      <c r="J1377" s="69"/>
      <c r="K1377" s="85"/>
      <c r="L1377" s="13"/>
      <c r="M1377" s="85"/>
      <c r="N1377" s="13"/>
      <c r="O1377" s="85"/>
      <c r="P1377" s="13"/>
      <c r="Q1377" s="85"/>
      <c r="R1377" s="13">
        <f>R1378</f>
        <v>500</v>
      </c>
      <c r="S1377" s="85">
        <f t="shared" si="309"/>
        <v>500</v>
      </c>
      <c r="T1377" s="13">
        <f>T1378</f>
        <v>0</v>
      </c>
      <c r="U1377" s="85">
        <f t="shared" si="302"/>
        <v>500</v>
      </c>
    </row>
    <row r="1378" spans="1:21" ht="26.25" customHeight="1">
      <c r="A1378" s="61" t="str">
        <f ca="1">IF(ISERROR(MATCH(F1378,Код_КВР,0)),"",INDIRECT(ADDRESS(MATCH(F1378,Код_КВР,0)+1,2,,,"КВР")))</f>
        <v>Публичные нормативные социальные выплаты гражданам</v>
      </c>
      <c r="B1378" s="145">
        <v>810</v>
      </c>
      <c r="C1378" s="8" t="s">
        <v>188</v>
      </c>
      <c r="D1378" s="8" t="s">
        <v>215</v>
      </c>
      <c r="E1378" s="145" t="s">
        <v>660</v>
      </c>
      <c r="F1378" s="145">
        <v>310</v>
      </c>
      <c r="G1378" s="69"/>
      <c r="H1378" s="69"/>
      <c r="I1378" s="69"/>
      <c r="J1378" s="69"/>
      <c r="K1378" s="85"/>
      <c r="L1378" s="13"/>
      <c r="M1378" s="85"/>
      <c r="N1378" s="13"/>
      <c r="O1378" s="85"/>
      <c r="P1378" s="13"/>
      <c r="Q1378" s="85"/>
      <c r="R1378" s="13">
        <f>R1379</f>
        <v>500</v>
      </c>
      <c r="S1378" s="85">
        <f t="shared" si="309"/>
        <v>500</v>
      </c>
      <c r="T1378" s="13">
        <f>T1379</f>
        <v>0</v>
      </c>
      <c r="U1378" s="85">
        <f t="shared" si="302"/>
        <v>500</v>
      </c>
    </row>
    <row r="1379" spans="1:21" ht="37.5" customHeight="1">
      <c r="A1379" s="61" t="str">
        <f ca="1">IF(ISERROR(MATCH(F1379,Код_КВР,0)),"",INDIRECT(ADDRESS(MATCH(F1379,Код_КВР,0)+1,2,,,"КВР")))</f>
        <v>Пособия, компенсации, меры социальной поддержки по публичным нормативным обязательствам</v>
      </c>
      <c r="B1379" s="145">
        <v>810</v>
      </c>
      <c r="C1379" s="8" t="s">
        <v>188</v>
      </c>
      <c r="D1379" s="8" t="s">
        <v>215</v>
      </c>
      <c r="E1379" s="145" t="s">
        <v>660</v>
      </c>
      <c r="F1379" s="145">
        <v>313</v>
      </c>
      <c r="G1379" s="69"/>
      <c r="H1379" s="69"/>
      <c r="I1379" s="69"/>
      <c r="J1379" s="69"/>
      <c r="K1379" s="85"/>
      <c r="L1379" s="13"/>
      <c r="M1379" s="85"/>
      <c r="N1379" s="13"/>
      <c r="O1379" s="85"/>
      <c r="P1379" s="13"/>
      <c r="Q1379" s="85"/>
      <c r="R1379" s="13">
        <v>500</v>
      </c>
      <c r="S1379" s="85">
        <f t="shared" si="309"/>
        <v>500</v>
      </c>
      <c r="T1379" s="13"/>
      <c r="U1379" s="85">
        <f t="shared" si="302"/>
        <v>500</v>
      </c>
    </row>
    <row r="1380" spans="1:21" ht="52.7" customHeight="1">
      <c r="A1380" s="61" t="str">
        <f ca="1">IF(ISERROR(MATCH(E1380,Код_КЦСР,0)),"",INDIRECT(ADDRESS(MATCH(E1380,Код_КЦСР,0)+1,2,,,"КЦСР")))</f>
        <v>Выплата единовременной социальной помощи Бовыкиной Я.А. в связи с рождением троих детей в соответствии с решением Череповецкой городской Думы от 06.10.2014 № 154</v>
      </c>
      <c r="B1380" s="145">
        <v>810</v>
      </c>
      <c r="C1380" s="8" t="s">
        <v>188</v>
      </c>
      <c r="D1380" s="8" t="s">
        <v>215</v>
      </c>
      <c r="E1380" s="145" t="s">
        <v>662</v>
      </c>
      <c r="F1380" s="145"/>
      <c r="G1380" s="69"/>
      <c r="H1380" s="69"/>
      <c r="I1380" s="69"/>
      <c r="J1380" s="69"/>
      <c r="K1380" s="85"/>
      <c r="L1380" s="13"/>
      <c r="M1380" s="85"/>
      <c r="N1380" s="13"/>
      <c r="O1380" s="85"/>
      <c r="P1380" s="13"/>
      <c r="Q1380" s="85"/>
      <c r="R1380" s="13">
        <f>R1381</f>
        <v>500</v>
      </c>
      <c r="S1380" s="85">
        <f t="shared" si="309"/>
        <v>500</v>
      </c>
      <c r="T1380" s="13">
        <f>T1381</f>
        <v>0</v>
      </c>
      <c r="U1380" s="85">
        <f t="shared" si="302"/>
        <v>500</v>
      </c>
    </row>
    <row r="1381" spans="1:21" ht="24" customHeight="1">
      <c r="A1381" s="61" t="str">
        <f ca="1">IF(ISERROR(MATCH(F1381,Код_КВР,0)),"",INDIRECT(ADDRESS(MATCH(F1381,Код_КВР,0)+1,2,,,"КВР")))</f>
        <v>Социальное обеспечение и иные выплаты населению</v>
      </c>
      <c r="B1381" s="145">
        <v>810</v>
      </c>
      <c r="C1381" s="8" t="s">
        <v>188</v>
      </c>
      <c r="D1381" s="8" t="s">
        <v>215</v>
      </c>
      <c r="E1381" s="145" t="s">
        <v>662</v>
      </c>
      <c r="F1381" s="145">
        <v>300</v>
      </c>
      <c r="G1381" s="69"/>
      <c r="H1381" s="69"/>
      <c r="I1381" s="69"/>
      <c r="J1381" s="69"/>
      <c r="K1381" s="85"/>
      <c r="L1381" s="13"/>
      <c r="M1381" s="85"/>
      <c r="N1381" s="13"/>
      <c r="O1381" s="85"/>
      <c r="P1381" s="13"/>
      <c r="Q1381" s="85"/>
      <c r="R1381" s="13">
        <f>R1382</f>
        <v>500</v>
      </c>
      <c r="S1381" s="85">
        <f t="shared" si="309"/>
        <v>500</v>
      </c>
      <c r="T1381" s="13">
        <f>T1382</f>
        <v>0</v>
      </c>
      <c r="U1381" s="85">
        <f t="shared" si="302"/>
        <v>500</v>
      </c>
    </row>
    <row r="1382" spans="1:21" ht="31.5" customHeight="1">
      <c r="A1382" s="61" t="str">
        <f ca="1">IF(ISERROR(MATCH(F1382,Код_КВР,0)),"",INDIRECT(ADDRESS(MATCH(F1382,Код_КВР,0)+1,2,,,"КВР")))</f>
        <v>Публичные нормативные социальные выплаты гражданам</v>
      </c>
      <c r="B1382" s="145">
        <v>810</v>
      </c>
      <c r="C1382" s="8" t="s">
        <v>188</v>
      </c>
      <c r="D1382" s="8" t="s">
        <v>215</v>
      </c>
      <c r="E1382" s="145" t="s">
        <v>662</v>
      </c>
      <c r="F1382" s="145">
        <v>310</v>
      </c>
      <c r="G1382" s="69"/>
      <c r="H1382" s="69"/>
      <c r="I1382" s="69"/>
      <c r="J1382" s="69"/>
      <c r="K1382" s="85"/>
      <c r="L1382" s="13"/>
      <c r="M1382" s="85"/>
      <c r="N1382" s="13"/>
      <c r="O1382" s="85"/>
      <c r="P1382" s="13"/>
      <c r="Q1382" s="85"/>
      <c r="R1382" s="13">
        <f>R1383</f>
        <v>500</v>
      </c>
      <c r="S1382" s="85">
        <f t="shared" si="309"/>
        <v>500</v>
      </c>
      <c r="T1382" s="13">
        <f>T1383</f>
        <v>0</v>
      </c>
      <c r="U1382" s="85">
        <f t="shared" si="302"/>
        <v>500</v>
      </c>
    </row>
    <row r="1383" spans="1:21" ht="37.5" customHeight="1">
      <c r="A1383" s="61" t="str">
        <f ca="1">IF(ISERROR(MATCH(F1383,Код_КВР,0)),"",INDIRECT(ADDRESS(MATCH(F1383,Код_КВР,0)+1,2,,,"КВР")))</f>
        <v>Пособия, компенсации, меры социальной поддержки по публичным нормативным обязательствам</v>
      </c>
      <c r="B1383" s="145">
        <v>810</v>
      </c>
      <c r="C1383" s="8" t="s">
        <v>188</v>
      </c>
      <c r="D1383" s="8" t="s">
        <v>215</v>
      </c>
      <c r="E1383" s="145" t="s">
        <v>662</v>
      </c>
      <c r="F1383" s="145">
        <v>313</v>
      </c>
      <c r="G1383" s="69"/>
      <c r="H1383" s="69"/>
      <c r="I1383" s="69"/>
      <c r="J1383" s="69"/>
      <c r="K1383" s="85"/>
      <c r="L1383" s="13"/>
      <c r="M1383" s="85"/>
      <c r="N1383" s="13"/>
      <c r="O1383" s="85"/>
      <c r="P1383" s="13"/>
      <c r="Q1383" s="85"/>
      <c r="R1383" s="13">
        <v>500</v>
      </c>
      <c r="S1383" s="85">
        <f t="shared" si="309"/>
        <v>500</v>
      </c>
      <c r="T1383" s="13"/>
      <c r="U1383" s="85">
        <f t="shared" si="302"/>
        <v>500</v>
      </c>
    </row>
    <row r="1384" spans="1:21" ht="36.75" customHeight="1">
      <c r="A1384" s="61" t="str">
        <f ca="1">IF(ISERROR(MATCH(E1384,Код_КЦСР,0)),"",INDIRECT(ADDRESS(MATCH(E1384,Код_КЦСР,0)+1,2,,,"КЦСР")))</f>
        <v>Социальная поддержка пенсионеров на условиях договора пожизненного содержания с иждивением</v>
      </c>
      <c r="B1384" s="145">
        <v>810</v>
      </c>
      <c r="C1384" s="8" t="s">
        <v>188</v>
      </c>
      <c r="D1384" s="8" t="s">
        <v>215</v>
      </c>
      <c r="E1384" s="145" t="s">
        <v>20</v>
      </c>
      <c r="F1384" s="145"/>
      <c r="G1384" s="69">
        <f>G1388</f>
        <v>14888.699999999999</v>
      </c>
      <c r="H1384" s="69">
        <f>H1388</f>
        <v>0</v>
      </c>
      <c r="I1384" s="69">
        <f t="shared" si="306"/>
        <v>14888.699999999999</v>
      </c>
      <c r="J1384" s="69">
        <f>J1388</f>
        <v>0</v>
      </c>
      <c r="K1384" s="85">
        <f t="shared" si="298"/>
        <v>14888.699999999999</v>
      </c>
      <c r="L1384" s="13">
        <f>L1388</f>
        <v>0</v>
      </c>
      <c r="M1384" s="85">
        <f t="shared" si="295"/>
        <v>14888.699999999999</v>
      </c>
      <c r="N1384" s="13">
        <f>N1388</f>
        <v>0</v>
      </c>
      <c r="O1384" s="85">
        <f t="shared" si="296"/>
        <v>14888.699999999999</v>
      </c>
      <c r="P1384" s="13">
        <f>P1388</f>
        <v>0</v>
      </c>
      <c r="Q1384" s="85">
        <f t="shared" ref="Q1384:Q1474" si="310">O1384+P1384</f>
        <v>14888.699999999999</v>
      </c>
      <c r="R1384" s="13">
        <f>R1388</f>
        <v>0</v>
      </c>
      <c r="S1384" s="85">
        <f t="shared" si="309"/>
        <v>14888.699999999999</v>
      </c>
      <c r="T1384" s="13">
        <f>T1385+T1388</f>
        <v>0</v>
      </c>
      <c r="U1384" s="85">
        <f t="shared" si="302"/>
        <v>14888.699999999999</v>
      </c>
    </row>
    <row r="1385" spans="1:21">
      <c r="A1385" s="61" t="str">
        <f t="shared" ref="A1385:A1391" ca="1" si="311">IF(ISERROR(MATCH(F1385,Код_КВР,0)),"",INDIRECT(ADDRESS(MATCH(F1385,Код_КВР,0)+1,2,,,"КВР")))</f>
        <v>Закупка товаров, работ и услуг для муниципальных нужд</v>
      </c>
      <c r="B1385" s="145">
        <v>810</v>
      </c>
      <c r="C1385" s="8" t="s">
        <v>188</v>
      </c>
      <c r="D1385" s="8" t="s">
        <v>215</v>
      </c>
      <c r="E1385" s="145" t="s">
        <v>20</v>
      </c>
      <c r="F1385" s="145">
        <v>200</v>
      </c>
      <c r="G1385" s="69"/>
      <c r="H1385" s="69"/>
      <c r="I1385" s="69"/>
      <c r="J1385" s="69"/>
      <c r="K1385" s="85"/>
      <c r="L1385" s="13"/>
      <c r="M1385" s="85"/>
      <c r="N1385" s="13"/>
      <c r="O1385" s="85"/>
      <c r="P1385" s="13"/>
      <c r="Q1385" s="85"/>
      <c r="R1385" s="13"/>
      <c r="S1385" s="85"/>
      <c r="T1385" s="13">
        <f t="shared" ref="T1385" si="312">T1386</f>
        <v>38.1</v>
      </c>
      <c r="U1385" s="85">
        <f t="shared" si="302"/>
        <v>38.1</v>
      </c>
    </row>
    <row r="1386" spans="1:21" ht="33">
      <c r="A1386" s="61" t="str">
        <f t="shared" ca="1" si="311"/>
        <v>Иные закупки товаров, работ и услуг для обеспечения муниципальных нужд</v>
      </c>
      <c r="B1386" s="145">
        <v>810</v>
      </c>
      <c r="C1386" s="8" t="s">
        <v>188</v>
      </c>
      <c r="D1386" s="8" t="s">
        <v>215</v>
      </c>
      <c r="E1386" s="145" t="s">
        <v>20</v>
      </c>
      <c r="F1386" s="145">
        <v>240</v>
      </c>
      <c r="G1386" s="69"/>
      <c r="H1386" s="69"/>
      <c r="I1386" s="69"/>
      <c r="J1386" s="69"/>
      <c r="K1386" s="85"/>
      <c r="L1386" s="13"/>
      <c r="M1386" s="85"/>
      <c r="N1386" s="13"/>
      <c r="O1386" s="85"/>
      <c r="P1386" s="13"/>
      <c r="Q1386" s="85"/>
      <c r="R1386" s="13"/>
      <c r="S1386" s="85"/>
      <c r="T1386" s="13">
        <f>SUM(T1387)</f>
        <v>38.1</v>
      </c>
      <c r="U1386" s="85">
        <f t="shared" si="302"/>
        <v>38.1</v>
      </c>
    </row>
    <row r="1387" spans="1:21" ht="36.75" customHeight="1">
      <c r="A1387" s="61" t="str">
        <f t="shared" ca="1" si="311"/>
        <v xml:space="preserve">Прочая закупка товаров, работ и услуг для обеспечения муниципальных нужд         </v>
      </c>
      <c r="B1387" s="145">
        <v>810</v>
      </c>
      <c r="C1387" s="8" t="s">
        <v>188</v>
      </c>
      <c r="D1387" s="8" t="s">
        <v>215</v>
      </c>
      <c r="E1387" s="145" t="s">
        <v>20</v>
      </c>
      <c r="F1387" s="145">
        <v>244</v>
      </c>
      <c r="G1387" s="69"/>
      <c r="H1387" s="69"/>
      <c r="I1387" s="69"/>
      <c r="J1387" s="69"/>
      <c r="K1387" s="85"/>
      <c r="L1387" s="13"/>
      <c r="M1387" s="85"/>
      <c r="N1387" s="13"/>
      <c r="O1387" s="85"/>
      <c r="P1387" s="13"/>
      <c r="Q1387" s="85"/>
      <c r="R1387" s="13"/>
      <c r="S1387" s="85"/>
      <c r="T1387" s="13">
        <v>38.1</v>
      </c>
      <c r="U1387" s="85">
        <f t="shared" si="302"/>
        <v>38.1</v>
      </c>
    </row>
    <row r="1388" spans="1:21">
      <c r="A1388" s="61" t="str">
        <f t="shared" ca="1" si="311"/>
        <v>Социальное обеспечение и иные выплаты населению</v>
      </c>
      <c r="B1388" s="145">
        <v>810</v>
      </c>
      <c r="C1388" s="8" t="s">
        <v>188</v>
      </c>
      <c r="D1388" s="8" t="s">
        <v>215</v>
      </c>
      <c r="E1388" s="145" t="s">
        <v>20</v>
      </c>
      <c r="F1388" s="145">
        <v>300</v>
      </c>
      <c r="G1388" s="69">
        <f t="shared" ref="G1388:T1403" si="313">G1389</f>
        <v>14888.699999999999</v>
      </c>
      <c r="H1388" s="69">
        <f t="shared" si="313"/>
        <v>0</v>
      </c>
      <c r="I1388" s="69">
        <f t="shared" si="306"/>
        <v>14888.699999999999</v>
      </c>
      <c r="J1388" s="69">
        <f t="shared" si="313"/>
        <v>0</v>
      </c>
      <c r="K1388" s="85">
        <f t="shared" si="298"/>
        <v>14888.699999999999</v>
      </c>
      <c r="L1388" s="13">
        <f t="shared" si="313"/>
        <v>0</v>
      </c>
      <c r="M1388" s="85">
        <f t="shared" si="295"/>
        <v>14888.699999999999</v>
      </c>
      <c r="N1388" s="13">
        <f t="shared" si="313"/>
        <v>0</v>
      </c>
      <c r="O1388" s="85">
        <f t="shared" si="296"/>
        <v>14888.699999999999</v>
      </c>
      <c r="P1388" s="13">
        <f t="shared" si="313"/>
        <v>0</v>
      </c>
      <c r="Q1388" s="85">
        <f t="shared" si="310"/>
        <v>14888.699999999999</v>
      </c>
      <c r="R1388" s="13">
        <f t="shared" si="313"/>
        <v>0</v>
      </c>
      <c r="S1388" s="85">
        <f t="shared" si="309"/>
        <v>14888.699999999999</v>
      </c>
      <c r="T1388" s="13">
        <f t="shared" si="313"/>
        <v>-38.100000000000023</v>
      </c>
      <c r="U1388" s="85">
        <f t="shared" si="302"/>
        <v>14850.599999999999</v>
      </c>
    </row>
    <row r="1389" spans="1:21" ht="33">
      <c r="A1389" s="61" t="str">
        <f t="shared" ca="1" si="311"/>
        <v>Социальные выплаты гражданам, кроме публичных нормативных социальных выплат</v>
      </c>
      <c r="B1389" s="145">
        <v>810</v>
      </c>
      <c r="C1389" s="8" t="s">
        <v>188</v>
      </c>
      <c r="D1389" s="8" t="s">
        <v>215</v>
      </c>
      <c r="E1389" s="145" t="s">
        <v>20</v>
      </c>
      <c r="F1389" s="145">
        <v>320</v>
      </c>
      <c r="G1389" s="69">
        <f>SUM(G1390:G1391)</f>
        <v>14888.699999999999</v>
      </c>
      <c r="H1389" s="69">
        <f>SUM(H1390:H1391)</f>
        <v>0</v>
      </c>
      <c r="I1389" s="69">
        <f t="shared" si="306"/>
        <v>14888.699999999999</v>
      </c>
      <c r="J1389" s="69">
        <f>SUM(J1390:J1391)</f>
        <v>0</v>
      </c>
      <c r="K1389" s="85">
        <f t="shared" si="298"/>
        <v>14888.699999999999</v>
      </c>
      <c r="L1389" s="13">
        <f>SUM(L1390:L1391)</f>
        <v>0</v>
      </c>
      <c r="M1389" s="85">
        <f t="shared" si="295"/>
        <v>14888.699999999999</v>
      </c>
      <c r="N1389" s="13">
        <f>SUM(N1390:N1391)</f>
        <v>0</v>
      </c>
      <c r="O1389" s="85">
        <f t="shared" si="296"/>
        <v>14888.699999999999</v>
      </c>
      <c r="P1389" s="13">
        <f>SUM(P1390:P1391)</f>
        <v>0</v>
      </c>
      <c r="Q1389" s="85">
        <f t="shared" si="310"/>
        <v>14888.699999999999</v>
      </c>
      <c r="R1389" s="13">
        <f>SUM(R1390:R1391)</f>
        <v>0</v>
      </c>
      <c r="S1389" s="85">
        <f t="shared" si="309"/>
        <v>14888.699999999999</v>
      </c>
      <c r="T1389" s="13">
        <f>SUM(T1390:T1391)</f>
        <v>-38.100000000000023</v>
      </c>
      <c r="U1389" s="85">
        <f t="shared" si="302"/>
        <v>14850.599999999999</v>
      </c>
    </row>
    <row r="1390" spans="1:21" ht="33">
      <c r="A1390" s="61" t="str">
        <f t="shared" ca="1" si="311"/>
        <v>Пособия, компенсации и иные социальные выплаты гражданам, кроме публичных нормативных обязательств</v>
      </c>
      <c r="B1390" s="145">
        <v>810</v>
      </c>
      <c r="C1390" s="8" t="s">
        <v>188</v>
      </c>
      <c r="D1390" s="8" t="s">
        <v>215</v>
      </c>
      <c r="E1390" s="145" t="s">
        <v>20</v>
      </c>
      <c r="F1390" s="145">
        <v>321</v>
      </c>
      <c r="G1390" s="69">
        <v>12936.9</v>
      </c>
      <c r="H1390" s="69"/>
      <c r="I1390" s="69">
        <f t="shared" si="306"/>
        <v>12936.9</v>
      </c>
      <c r="J1390" s="69"/>
      <c r="K1390" s="85">
        <f t="shared" si="298"/>
        <v>12936.9</v>
      </c>
      <c r="L1390" s="13"/>
      <c r="M1390" s="85">
        <f t="shared" si="295"/>
        <v>12936.9</v>
      </c>
      <c r="N1390" s="13"/>
      <c r="O1390" s="85">
        <f t="shared" si="296"/>
        <v>12936.9</v>
      </c>
      <c r="P1390" s="13"/>
      <c r="Q1390" s="85">
        <f t="shared" si="310"/>
        <v>12936.9</v>
      </c>
      <c r="R1390" s="13">
        <v>-327</v>
      </c>
      <c r="S1390" s="85">
        <f t="shared" si="309"/>
        <v>12609.9</v>
      </c>
      <c r="T1390" s="13">
        <v>393.2</v>
      </c>
      <c r="U1390" s="85">
        <f t="shared" si="302"/>
        <v>13003.1</v>
      </c>
    </row>
    <row r="1391" spans="1:21" ht="33">
      <c r="A1391" s="61" t="str">
        <f t="shared" ca="1" si="311"/>
        <v>Приобретение товаров, работ, услуг в пользу граждан в целях их социального обеспечения</v>
      </c>
      <c r="B1391" s="145">
        <v>810</v>
      </c>
      <c r="C1391" s="8" t="s">
        <v>188</v>
      </c>
      <c r="D1391" s="8" t="s">
        <v>215</v>
      </c>
      <c r="E1391" s="145" t="s">
        <v>20</v>
      </c>
      <c r="F1391" s="145">
        <v>323</v>
      </c>
      <c r="G1391" s="69">
        <v>1951.8</v>
      </c>
      <c r="H1391" s="69"/>
      <c r="I1391" s="69">
        <f t="shared" si="306"/>
        <v>1951.8</v>
      </c>
      <c r="J1391" s="69"/>
      <c r="K1391" s="85">
        <f t="shared" si="298"/>
        <v>1951.8</v>
      </c>
      <c r="L1391" s="13"/>
      <c r="M1391" s="85">
        <f t="shared" si="295"/>
        <v>1951.8</v>
      </c>
      <c r="N1391" s="13"/>
      <c r="O1391" s="85">
        <f t="shared" si="296"/>
        <v>1951.8</v>
      </c>
      <c r="P1391" s="13"/>
      <c r="Q1391" s="85">
        <f t="shared" si="310"/>
        <v>1951.8</v>
      </c>
      <c r="R1391" s="13">
        <f>-94.6+421.6</f>
        <v>327</v>
      </c>
      <c r="S1391" s="85">
        <f t="shared" si="309"/>
        <v>2278.8000000000002</v>
      </c>
      <c r="T1391" s="13">
        <f>-123.5-307.8</f>
        <v>-431.3</v>
      </c>
      <c r="U1391" s="85">
        <f t="shared" si="302"/>
        <v>1847.5000000000002</v>
      </c>
    </row>
    <row r="1392" spans="1:21" ht="33">
      <c r="A1392" s="61" t="str">
        <f ca="1">IF(ISERROR(MATCH(E1392,Код_КЦСР,0)),"",INDIRECT(ADDRESS(MATCH(E1392,Код_КЦСР,0)+1,2,,,"КЦСР")))</f>
        <v>Оплата жилищно-коммунальных услуг отдельным категориям граждан за счет субвенций из федерального бюджета</v>
      </c>
      <c r="B1392" s="145">
        <v>810</v>
      </c>
      <c r="C1392" s="8" t="s">
        <v>188</v>
      </c>
      <c r="D1392" s="8" t="s">
        <v>215</v>
      </c>
      <c r="E1392" s="145" t="s">
        <v>411</v>
      </c>
      <c r="F1392" s="145"/>
      <c r="G1392" s="69">
        <f>G1396</f>
        <v>277578.3</v>
      </c>
      <c r="H1392" s="69">
        <f>H1396</f>
        <v>0</v>
      </c>
      <c r="I1392" s="69">
        <f t="shared" si="306"/>
        <v>277578.3</v>
      </c>
      <c r="J1392" s="69">
        <f>J1396</f>
        <v>0</v>
      </c>
      <c r="K1392" s="85">
        <f t="shared" si="298"/>
        <v>277578.3</v>
      </c>
      <c r="L1392" s="13">
        <f>L1396</f>
        <v>0</v>
      </c>
      <c r="M1392" s="85">
        <f t="shared" si="295"/>
        <v>277578.3</v>
      </c>
      <c r="N1392" s="13">
        <f>N1396</f>
        <v>0</v>
      </c>
      <c r="O1392" s="85">
        <f t="shared" si="296"/>
        <v>277578.3</v>
      </c>
      <c r="P1392" s="13">
        <f>P1396</f>
        <v>0</v>
      </c>
      <c r="Q1392" s="85">
        <f t="shared" si="310"/>
        <v>277578.3</v>
      </c>
      <c r="R1392" s="13">
        <f>R1396</f>
        <v>-13422.3</v>
      </c>
      <c r="S1392" s="85">
        <f t="shared" si="309"/>
        <v>264156</v>
      </c>
      <c r="T1392" s="13">
        <f>T1396+T1393</f>
        <v>0</v>
      </c>
      <c r="U1392" s="85">
        <f t="shared" si="302"/>
        <v>264156</v>
      </c>
    </row>
    <row r="1393" spans="1:21">
      <c r="A1393" s="61" t="str">
        <f t="shared" ref="A1393:A1398" ca="1" si="314">IF(ISERROR(MATCH(F1393,Код_КВР,0)),"",INDIRECT(ADDRESS(MATCH(F1393,Код_КВР,0)+1,2,,,"КВР")))</f>
        <v>Закупка товаров, работ и услуг для муниципальных нужд</v>
      </c>
      <c r="B1393" s="145">
        <v>810</v>
      </c>
      <c r="C1393" s="8" t="s">
        <v>188</v>
      </c>
      <c r="D1393" s="8" t="s">
        <v>215</v>
      </c>
      <c r="E1393" s="145" t="s">
        <v>411</v>
      </c>
      <c r="F1393" s="145">
        <v>200</v>
      </c>
      <c r="G1393" s="69"/>
      <c r="H1393" s="69"/>
      <c r="I1393" s="69"/>
      <c r="J1393" s="69"/>
      <c r="K1393" s="85"/>
      <c r="L1393" s="13"/>
      <c r="M1393" s="85"/>
      <c r="N1393" s="13"/>
      <c r="O1393" s="85"/>
      <c r="P1393" s="13"/>
      <c r="Q1393" s="85"/>
      <c r="R1393" s="13"/>
      <c r="S1393" s="85"/>
      <c r="T1393" s="13">
        <f>SUM(T1394)</f>
        <v>2732.7</v>
      </c>
      <c r="U1393" s="85">
        <f t="shared" si="302"/>
        <v>2732.7</v>
      </c>
    </row>
    <row r="1394" spans="1:21" ht="33">
      <c r="A1394" s="61" t="str">
        <f t="shared" ca="1" si="314"/>
        <v>Иные закупки товаров, работ и услуг для обеспечения муниципальных нужд</v>
      </c>
      <c r="B1394" s="145">
        <v>810</v>
      </c>
      <c r="C1394" s="8" t="s">
        <v>188</v>
      </c>
      <c r="D1394" s="8" t="s">
        <v>215</v>
      </c>
      <c r="E1394" s="145" t="s">
        <v>411</v>
      </c>
      <c r="F1394" s="145">
        <v>240</v>
      </c>
      <c r="G1394" s="69"/>
      <c r="H1394" s="69"/>
      <c r="I1394" s="69"/>
      <c r="J1394" s="69"/>
      <c r="K1394" s="85"/>
      <c r="L1394" s="13"/>
      <c r="M1394" s="85"/>
      <c r="N1394" s="13"/>
      <c r="O1394" s="85"/>
      <c r="P1394" s="13"/>
      <c r="Q1394" s="85"/>
      <c r="R1394" s="13"/>
      <c r="S1394" s="85"/>
      <c r="T1394" s="13">
        <f>T1395</f>
        <v>2732.7</v>
      </c>
      <c r="U1394" s="85">
        <f t="shared" si="302"/>
        <v>2732.7</v>
      </c>
    </row>
    <row r="1395" spans="1:21" ht="33">
      <c r="A1395" s="61" t="str">
        <f t="shared" ca="1" si="314"/>
        <v xml:space="preserve">Прочая закупка товаров, работ и услуг для обеспечения муниципальных нужд         </v>
      </c>
      <c r="B1395" s="145">
        <v>810</v>
      </c>
      <c r="C1395" s="8" t="s">
        <v>188</v>
      </c>
      <c r="D1395" s="8" t="s">
        <v>215</v>
      </c>
      <c r="E1395" s="145" t="s">
        <v>411</v>
      </c>
      <c r="F1395" s="145">
        <v>244</v>
      </c>
      <c r="G1395" s="69"/>
      <c r="H1395" s="69"/>
      <c r="I1395" s="69"/>
      <c r="J1395" s="69"/>
      <c r="K1395" s="85"/>
      <c r="L1395" s="13"/>
      <c r="M1395" s="85"/>
      <c r="N1395" s="13"/>
      <c r="O1395" s="85"/>
      <c r="P1395" s="13"/>
      <c r="Q1395" s="85"/>
      <c r="R1395" s="13"/>
      <c r="S1395" s="85"/>
      <c r="T1395" s="13">
        <v>2732.7</v>
      </c>
      <c r="U1395" s="85">
        <f t="shared" si="302"/>
        <v>2732.7</v>
      </c>
    </row>
    <row r="1396" spans="1:21">
      <c r="A1396" s="61" t="str">
        <f t="shared" ca="1" si="314"/>
        <v>Социальное обеспечение и иные выплаты населению</v>
      </c>
      <c r="B1396" s="145">
        <v>810</v>
      </c>
      <c r="C1396" s="8" t="s">
        <v>188</v>
      </c>
      <c r="D1396" s="8" t="s">
        <v>215</v>
      </c>
      <c r="E1396" s="145" t="s">
        <v>411</v>
      </c>
      <c r="F1396" s="145">
        <v>300</v>
      </c>
      <c r="G1396" s="69">
        <f t="shared" si="313"/>
        <v>277578.3</v>
      </c>
      <c r="H1396" s="69">
        <f t="shared" si="313"/>
        <v>0</v>
      </c>
      <c r="I1396" s="69">
        <f t="shared" si="306"/>
        <v>277578.3</v>
      </c>
      <c r="J1396" s="69">
        <f t="shared" si="313"/>
        <v>0</v>
      </c>
      <c r="K1396" s="85">
        <f t="shared" si="298"/>
        <v>277578.3</v>
      </c>
      <c r="L1396" s="13">
        <f t="shared" si="313"/>
        <v>0</v>
      </c>
      <c r="M1396" s="85">
        <f t="shared" si="295"/>
        <v>277578.3</v>
      </c>
      <c r="N1396" s="13">
        <f t="shared" si="313"/>
        <v>0</v>
      </c>
      <c r="O1396" s="85">
        <f t="shared" si="296"/>
        <v>277578.3</v>
      </c>
      <c r="P1396" s="13">
        <f t="shared" si="313"/>
        <v>0</v>
      </c>
      <c r="Q1396" s="85">
        <f t="shared" si="310"/>
        <v>277578.3</v>
      </c>
      <c r="R1396" s="13">
        <f t="shared" si="313"/>
        <v>-13422.3</v>
      </c>
      <c r="S1396" s="85">
        <f t="shared" si="309"/>
        <v>264156</v>
      </c>
      <c r="T1396" s="13">
        <f t="shared" si="313"/>
        <v>-2732.7</v>
      </c>
      <c r="U1396" s="85">
        <f t="shared" si="302"/>
        <v>261423.3</v>
      </c>
    </row>
    <row r="1397" spans="1:21" ht="33">
      <c r="A1397" s="61" t="str">
        <f t="shared" ca="1" si="314"/>
        <v>Социальные выплаты гражданам, кроме публичных нормативных социальных выплат</v>
      </c>
      <c r="B1397" s="145">
        <v>810</v>
      </c>
      <c r="C1397" s="8" t="s">
        <v>188</v>
      </c>
      <c r="D1397" s="8" t="s">
        <v>215</v>
      </c>
      <c r="E1397" s="145" t="s">
        <v>411</v>
      </c>
      <c r="F1397" s="145">
        <v>320</v>
      </c>
      <c r="G1397" s="69">
        <f t="shared" si="313"/>
        <v>277578.3</v>
      </c>
      <c r="H1397" s="69">
        <f t="shared" si="313"/>
        <v>0</v>
      </c>
      <c r="I1397" s="69">
        <f t="shared" si="306"/>
        <v>277578.3</v>
      </c>
      <c r="J1397" s="69">
        <f t="shared" si="313"/>
        <v>0</v>
      </c>
      <c r="K1397" s="85">
        <f t="shared" si="298"/>
        <v>277578.3</v>
      </c>
      <c r="L1397" s="13">
        <f t="shared" si="313"/>
        <v>0</v>
      </c>
      <c r="M1397" s="85">
        <f t="shared" si="295"/>
        <v>277578.3</v>
      </c>
      <c r="N1397" s="13">
        <f t="shared" si="313"/>
        <v>0</v>
      </c>
      <c r="O1397" s="85">
        <f t="shared" si="296"/>
        <v>277578.3</v>
      </c>
      <c r="P1397" s="13">
        <f t="shared" si="313"/>
        <v>0</v>
      </c>
      <c r="Q1397" s="85">
        <f t="shared" si="310"/>
        <v>277578.3</v>
      </c>
      <c r="R1397" s="13">
        <f t="shared" si="313"/>
        <v>-13422.3</v>
      </c>
      <c r="S1397" s="85">
        <f t="shared" si="309"/>
        <v>264156</v>
      </c>
      <c r="T1397" s="13">
        <f t="shared" si="313"/>
        <v>-2732.7</v>
      </c>
      <c r="U1397" s="85">
        <f t="shared" si="302"/>
        <v>261423.3</v>
      </c>
    </row>
    <row r="1398" spans="1:21" ht="33">
      <c r="A1398" s="61" t="str">
        <f t="shared" ca="1" si="314"/>
        <v>Пособия, компенсации и иные социальные выплаты гражданам, кроме публичных нормативных обязательств</v>
      </c>
      <c r="B1398" s="145">
        <v>810</v>
      </c>
      <c r="C1398" s="8" t="s">
        <v>188</v>
      </c>
      <c r="D1398" s="8" t="s">
        <v>215</v>
      </c>
      <c r="E1398" s="145" t="s">
        <v>411</v>
      </c>
      <c r="F1398" s="145">
        <v>321</v>
      </c>
      <c r="G1398" s="69">
        <v>277578.3</v>
      </c>
      <c r="H1398" s="69"/>
      <c r="I1398" s="69">
        <f t="shared" si="306"/>
        <v>277578.3</v>
      </c>
      <c r="J1398" s="69"/>
      <c r="K1398" s="85">
        <f t="shared" si="298"/>
        <v>277578.3</v>
      </c>
      <c r="L1398" s="13"/>
      <c r="M1398" s="85">
        <f t="shared" si="295"/>
        <v>277578.3</v>
      </c>
      <c r="N1398" s="13"/>
      <c r="O1398" s="85">
        <f t="shared" si="296"/>
        <v>277578.3</v>
      </c>
      <c r="P1398" s="13"/>
      <c r="Q1398" s="85">
        <f t="shared" si="310"/>
        <v>277578.3</v>
      </c>
      <c r="R1398" s="13">
        <v>-13422.3</v>
      </c>
      <c r="S1398" s="85">
        <f t="shared" si="309"/>
        <v>264156</v>
      </c>
      <c r="T1398" s="13">
        <v>-2732.7</v>
      </c>
      <c r="U1398" s="85">
        <f t="shared" si="302"/>
        <v>261423.3</v>
      </c>
    </row>
    <row r="1399" spans="1:21" ht="82.5">
      <c r="A1399" s="61" t="str">
        <f ca="1">IF(ISERROR(MATCH(E1399,Код_КЦСР,0)),"",INDIRECT(ADDRESS(MATCH(E1399,Код_КЦСР,0)+1,2,,,"КЦСР")))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399" s="145">
        <v>810</v>
      </c>
      <c r="C1399" s="8" t="s">
        <v>188</v>
      </c>
      <c r="D1399" s="8" t="s">
        <v>215</v>
      </c>
      <c r="E1399" s="145" t="s">
        <v>406</v>
      </c>
      <c r="F1399" s="145"/>
      <c r="G1399" s="69">
        <f>G1403</f>
        <v>336360.6</v>
      </c>
      <c r="H1399" s="69">
        <f>H1403</f>
        <v>0</v>
      </c>
      <c r="I1399" s="69">
        <f t="shared" si="306"/>
        <v>336360.6</v>
      </c>
      <c r="J1399" s="69">
        <f>J1403</f>
        <v>0</v>
      </c>
      <c r="K1399" s="85">
        <f t="shared" si="298"/>
        <v>336360.6</v>
      </c>
      <c r="L1399" s="13">
        <f>L1403</f>
        <v>0</v>
      </c>
      <c r="M1399" s="85">
        <f t="shared" si="295"/>
        <v>336360.6</v>
      </c>
      <c r="N1399" s="13">
        <f>N1403</f>
        <v>0</v>
      </c>
      <c r="O1399" s="85">
        <f t="shared" si="296"/>
        <v>336360.6</v>
      </c>
      <c r="P1399" s="13">
        <f>P1403</f>
        <v>-365.3</v>
      </c>
      <c r="Q1399" s="85">
        <f t="shared" si="310"/>
        <v>335995.3</v>
      </c>
      <c r="R1399" s="13">
        <f>R1403</f>
        <v>98596.2</v>
      </c>
      <c r="S1399" s="85">
        <f t="shared" si="309"/>
        <v>434591.5</v>
      </c>
      <c r="T1399" s="13">
        <f>T1400+T1403</f>
        <v>45579.900000000009</v>
      </c>
      <c r="U1399" s="85">
        <f t="shared" si="302"/>
        <v>480171.4</v>
      </c>
    </row>
    <row r="1400" spans="1:21">
      <c r="A1400" s="61" t="str">
        <f t="shared" ref="A1400:A1406" ca="1" si="315">IF(ISERROR(MATCH(F1400,Код_КВР,0)),"",INDIRECT(ADDRESS(MATCH(F1400,Код_КВР,0)+1,2,,,"КВР")))</f>
        <v>Закупка товаров, работ и услуг для муниципальных нужд</v>
      </c>
      <c r="B1400" s="145">
        <v>810</v>
      </c>
      <c r="C1400" s="8" t="s">
        <v>188</v>
      </c>
      <c r="D1400" s="8" t="s">
        <v>215</v>
      </c>
      <c r="E1400" s="145" t="s">
        <v>406</v>
      </c>
      <c r="F1400" s="145">
        <v>200</v>
      </c>
      <c r="G1400" s="69"/>
      <c r="H1400" s="69"/>
      <c r="I1400" s="69"/>
      <c r="J1400" s="69"/>
      <c r="K1400" s="85"/>
      <c r="L1400" s="13"/>
      <c r="M1400" s="85"/>
      <c r="N1400" s="13"/>
      <c r="O1400" s="85"/>
      <c r="P1400" s="13"/>
      <c r="Q1400" s="85"/>
      <c r="R1400" s="13"/>
      <c r="S1400" s="85"/>
      <c r="T1400" s="13">
        <f t="shared" si="313"/>
        <v>2585.3000000000002</v>
      </c>
      <c r="U1400" s="85">
        <f t="shared" si="302"/>
        <v>2585.3000000000002</v>
      </c>
    </row>
    <row r="1401" spans="1:21" ht="33">
      <c r="A1401" s="61" t="str">
        <f t="shared" ca="1" si="315"/>
        <v>Иные закупки товаров, работ и услуг для обеспечения муниципальных нужд</v>
      </c>
      <c r="B1401" s="145">
        <v>810</v>
      </c>
      <c r="C1401" s="8" t="s">
        <v>188</v>
      </c>
      <c r="D1401" s="8" t="s">
        <v>215</v>
      </c>
      <c r="E1401" s="145" t="s">
        <v>406</v>
      </c>
      <c r="F1401" s="145">
        <v>240</v>
      </c>
      <c r="G1401" s="69"/>
      <c r="H1401" s="69"/>
      <c r="I1401" s="69"/>
      <c r="J1401" s="69"/>
      <c r="K1401" s="85"/>
      <c r="L1401" s="13"/>
      <c r="M1401" s="85"/>
      <c r="N1401" s="13"/>
      <c r="O1401" s="85"/>
      <c r="P1401" s="13"/>
      <c r="Q1401" s="85"/>
      <c r="R1401" s="13"/>
      <c r="S1401" s="85"/>
      <c r="T1401" s="13">
        <f>SUM(T1402)</f>
        <v>2585.3000000000002</v>
      </c>
      <c r="U1401" s="85">
        <f t="shared" si="302"/>
        <v>2585.3000000000002</v>
      </c>
    </row>
    <row r="1402" spans="1:21" ht="33">
      <c r="A1402" s="61" t="str">
        <f t="shared" ca="1" si="315"/>
        <v xml:space="preserve">Прочая закупка товаров, работ и услуг для обеспечения муниципальных нужд         </v>
      </c>
      <c r="B1402" s="145">
        <v>810</v>
      </c>
      <c r="C1402" s="8" t="s">
        <v>188</v>
      </c>
      <c r="D1402" s="8" t="s">
        <v>215</v>
      </c>
      <c r="E1402" s="145" t="s">
        <v>406</v>
      </c>
      <c r="F1402" s="145">
        <v>244</v>
      </c>
      <c r="G1402" s="69"/>
      <c r="H1402" s="69"/>
      <c r="I1402" s="69"/>
      <c r="J1402" s="69"/>
      <c r="K1402" s="85"/>
      <c r="L1402" s="13"/>
      <c r="M1402" s="85"/>
      <c r="N1402" s="13"/>
      <c r="O1402" s="85"/>
      <c r="P1402" s="13"/>
      <c r="Q1402" s="85"/>
      <c r="R1402" s="13"/>
      <c r="S1402" s="85"/>
      <c r="T1402" s="13">
        <v>2585.3000000000002</v>
      </c>
      <c r="U1402" s="85">
        <f t="shared" si="302"/>
        <v>2585.3000000000002</v>
      </c>
    </row>
    <row r="1403" spans="1:21">
      <c r="A1403" s="61" t="str">
        <f t="shared" ca="1" si="315"/>
        <v>Социальное обеспечение и иные выплаты населению</v>
      </c>
      <c r="B1403" s="145">
        <v>810</v>
      </c>
      <c r="C1403" s="8" t="s">
        <v>188</v>
      </c>
      <c r="D1403" s="8" t="s">
        <v>215</v>
      </c>
      <c r="E1403" s="145" t="s">
        <v>406</v>
      </c>
      <c r="F1403" s="145">
        <v>300</v>
      </c>
      <c r="G1403" s="69">
        <f t="shared" si="313"/>
        <v>336360.6</v>
      </c>
      <c r="H1403" s="69">
        <f t="shared" si="313"/>
        <v>0</v>
      </c>
      <c r="I1403" s="69">
        <f t="shared" si="306"/>
        <v>336360.6</v>
      </c>
      <c r="J1403" s="69">
        <f t="shared" si="313"/>
        <v>0</v>
      </c>
      <c r="K1403" s="85">
        <f t="shared" si="298"/>
        <v>336360.6</v>
      </c>
      <c r="L1403" s="13">
        <f t="shared" si="313"/>
        <v>0</v>
      </c>
      <c r="M1403" s="85">
        <f t="shared" si="295"/>
        <v>336360.6</v>
      </c>
      <c r="N1403" s="13">
        <f t="shared" si="313"/>
        <v>0</v>
      </c>
      <c r="O1403" s="85">
        <f t="shared" si="296"/>
        <v>336360.6</v>
      </c>
      <c r="P1403" s="13">
        <f t="shared" si="313"/>
        <v>-365.3</v>
      </c>
      <c r="Q1403" s="85">
        <f t="shared" si="310"/>
        <v>335995.3</v>
      </c>
      <c r="R1403" s="13">
        <f t="shared" si="313"/>
        <v>98596.2</v>
      </c>
      <c r="S1403" s="85">
        <f t="shared" si="309"/>
        <v>434591.5</v>
      </c>
      <c r="T1403" s="13">
        <f t="shared" si="313"/>
        <v>42994.600000000006</v>
      </c>
      <c r="U1403" s="85">
        <f t="shared" si="302"/>
        <v>477586.1</v>
      </c>
    </row>
    <row r="1404" spans="1:21" ht="33">
      <c r="A1404" s="61" t="str">
        <f t="shared" ca="1" si="315"/>
        <v>Социальные выплаты гражданам, кроме публичных нормативных социальных выплат</v>
      </c>
      <c r="B1404" s="145">
        <v>810</v>
      </c>
      <c r="C1404" s="8" t="s">
        <v>188</v>
      </c>
      <c r="D1404" s="8" t="s">
        <v>215</v>
      </c>
      <c r="E1404" s="145" t="s">
        <v>406</v>
      </c>
      <c r="F1404" s="145">
        <v>320</v>
      </c>
      <c r="G1404" s="69">
        <f>SUM(G1405:G1406)</f>
        <v>336360.6</v>
      </c>
      <c r="H1404" s="69">
        <f>SUM(H1405:H1406)</f>
        <v>0</v>
      </c>
      <c r="I1404" s="69">
        <f t="shared" si="306"/>
        <v>336360.6</v>
      </c>
      <c r="J1404" s="69">
        <f>SUM(J1405:J1406)</f>
        <v>0</v>
      </c>
      <c r="K1404" s="85">
        <f t="shared" si="298"/>
        <v>336360.6</v>
      </c>
      <c r="L1404" s="13">
        <f>SUM(L1405:L1406)</f>
        <v>0</v>
      </c>
      <c r="M1404" s="85">
        <f t="shared" si="295"/>
        <v>336360.6</v>
      </c>
      <c r="N1404" s="13">
        <f>SUM(N1405:N1406)</f>
        <v>0</v>
      </c>
      <c r="O1404" s="85">
        <f t="shared" si="296"/>
        <v>336360.6</v>
      </c>
      <c r="P1404" s="13">
        <f>SUM(P1405:P1406)</f>
        <v>-365.3</v>
      </c>
      <c r="Q1404" s="85">
        <f t="shared" si="310"/>
        <v>335995.3</v>
      </c>
      <c r="R1404" s="13">
        <f>SUM(R1405:R1406)</f>
        <v>98596.2</v>
      </c>
      <c r="S1404" s="85">
        <f t="shared" si="309"/>
        <v>434591.5</v>
      </c>
      <c r="T1404" s="13">
        <f>SUM(T1405:T1406)</f>
        <v>42994.600000000006</v>
      </c>
      <c r="U1404" s="85">
        <f t="shared" si="302"/>
        <v>477586.1</v>
      </c>
    </row>
    <row r="1405" spans="1:21" ht="33">
      <c r="A1405" s="61" t="str">
        <f t="shared" ca="1" si="315"/>
        <v>Пособия, компенсации и иные социальные выплаты гражданам, кроме публичных нормативных обязательств</v>
      </c>
      <c r="B1405" s="145">
        <v>810</v>
      </c>
      <c r="C1405" s="8" t="s">
        <v>188</v>
      </c>
      <c r="D1405" s="8" t="s">
        <v>215</v>
      </c>
      <c r="E1405" s="145" t="s">
        <v>406</v>
      </c>
      <c r="F1405" s="145">
        <v>321</v>
      </c>
      <c r="G1405" s="69">
        <f>326837+8000</f>
        <v>334837</v>
      </c>
      <c r="H1405" s="69"/>
      <c r="I1405" s="69">
        <f t="shared" si="306"/>
        <v>334837</v>
      </c>
      <c r="J1405" s="69"/>
      <c r="K1405" s="85">
        <f t="shared" si="298"/>
        <v>334837</v>
      </c>
      <c r="L1405" s="13"/>
      <c r="M1405" s="85">
        <f t="shared" si="295"/>
        <v>334837</v>
      </c>
      <c r="N1405" s="13"/>
      <c r="O1405" s="85">
        <f t="shared" si="296"/>
        <v>334837</v>
      </c>
      <c r="P1405" s="13">
        <v>-365.3</v>
      </c>
      <c r="Q1405" s="85">
        <f t="shared" si="310"/>
        <v>334471.7</v>
      </c>
      <c r="R1405" s="13">
        <f>-4382.1+220+70129+32629.3</f>
        <v>98596.2</v>
      </c>
      <c r="S1405" s="85">
        <f t="shared" si="309"/>
        <v>433067.9</v>
      </c>
      <c r="T1405" s="13">
        <f>-2585.3+52402.8-3442.7+54.8-263.3-2900</f>
        <v>43266.3</v>
      </c>
      <c r="U1405" s="85">
        <f t="shared" si="302"/>
        <v>476334.2</v>
      </c>
    </row>
    <row r="1406" spans="1:21" ht="33">
      <c r="A1406" s="61" t="str">
        <f t="shared" ca="1" si="315"/>
        <v>Приобретение товаров, работ, услуг в пользу граждан в целях их социального обеспечения</v>
      </c>
      <c r="B1406" s="145">
        <v>810</v>
      </c>
      <c r="C1406" s="8" t="s">
        <v>188</v>
      </c>
      <c r="D1406" s="8" t="s">
        <v>215</v>
      </c>
      <c r="E1406" s="145" t="s">
        <v>406</v>
      </c>
      <c r="F1406" s="145">
        <v>323</v>
      </c>
      <c r="G1406" s="69">
        <f>999+524.6</f>
        <v>1523.6</v>
      </c>
      <c r="H1406" s="69"/>
      <c r="I1406" s="69">
        <f t="shared" si="306"/>
        <v>1523.6</v>
      </c>
      <c r="J1406" s="69"/>
      <c r="K1406" s="85">
        <f t="shared" si="298"/>
        <v>1523.6</v>
      </c>
      <c r="L1406" s="13"/>
      <c r="M1406" s="85">
        <f t="shared" si="295"/>
        <v>1523.6</v>
      </c>
      <c r="N1406" s="13"/>
      <c r="O1406" s="85">
        <f t="shared" si="296"/>
        <v>1523.6</v>
      </c>
      <c r="P1406" s="13"/>
      <c r="Q1406" s="85">
        <f t="shared" si="310"/>
        <v>1523.6</v>
      </c>
      <c r="R1406" s="13"/>
      <c r="S1406" s="85">
        <f t="shared" si="309"/>
        <v>1523.6</v>
      </c>
      <c r="T1406" s="13">
        <f>263.3-619+84</f>
        <v>-271.7</v>
      </c>
      <c r="U1406" s="85">
        <f t="shared" si="302"/>
        <v>1251.8999999999999</v>
      </c>
    </row>
    <row r="1407" spans="1:21">
      <c r="A1407" s="12" t="s">
        <v>189</v>
      </c>
      <c r="B1407" s="145">
        <v>810</v>
      </c>
      <c r="C1407" s="8" t="s">
        <v>188</v>
      </c>
      <c r="D1407" s="8" t="s">
        <v>217</v>
      </c>
      <c r="E1407" s="145"/>
      <c r="F1407" s="145"/>
      <c r="G1407" s="69">
        <f>G1408+G1421+G1444</f>
        <v>54890.900000000009</v>
      </c>
      <c r="H1407" s="69">
        <f>H1408+H1421+H1444</f>
        <v>0</v>
      </c>
      <c r="I1407" s="69">
        <f t="shared" si="306"/>
        <v>54890.900000000009</v>
      </c>
      <c r="J1407" s="69">
        <f>J1408+J1421+J1444</f>
        <v>-718.2</v>
      </c>
      <c r="K1407" s="85">
        <f t="shared" si="298"/>
        <v>54172.700000000012</v>
      </c>
      <c r="L1407" s="13">
        <f>L1408+L1421+L1444</f>
        <v>0</v>
      </c>
      <c r="M1407" s="85">
        <f t="shared" si="295"/>
        <v>54172.700000000012</v>
      </c>
      <c r="N1407" s="13">
        <f>N1408+N1421+N1444</f>
        <v>0</v>
      </c>
      <c r="O1407" s="85">
        <f t="shared" si="296"/>
        <v>54172.700000000012</v>
      </c>
      <c r="P1407" s="13">
        <f>P1408+P1421+P1444</f>
        <v>0</v>
      </c>
      <c r="Q1407" s="85">
        <f t="shared" si="310"/>
        <v>54172.700000000012</v>
      </c>
      <c r="R1407" s="13">
        <f>R1408+R1421+R1444</f>
        <v>3317.4</v>
      </c>
      <c r="S1407" s="85">
        <f t="shared" si="309"/>
        <v>57490.100000000013</v>
      </c>
      <c r="T1407" s="13">
        <f>T1408+T1421+T1439+T1444</f>
        <v>-435.20000000000016</v>
      </c>
      <c r="U1407" s="85">
        <f t="shared" si="302"/>
        <v>57054.900000000016</v>
      </c>
    </row>
    <row r="1408" spans="1:21">
      <c r="A1408" s="61" t="str">
        <f ca="1">IF(ISERROR(MATCH(E1408,Код_КЦСР,0)),"",INDIRECT(ADDRESS(MATCH(E1408,Код_КЦСР,0)+1,2,,,"КЦСР")))</f>
        <v>Муниципальная программа «Здоровый город» на 2014-2022 годы</v>
      </c>
      <c r="B1408" s="145">
        <v>810</v>
      </c>
      <c r="C1408" s="8" t="s">
        <v>188</v>
      </c>
      <c r="D1408" s="8" t="s">
        <v>217</v>
      </c>
      <c r="E1408" s="145" t="s">
        <v>570</v>
      </c>
      <c r="F1408" s="145"/>
      <c r="G1408" s="69">
        <f>G1409+G1417</f>
        <v>50</v>
      </c>
      <c r="H1408" s="69">
        <f>H1409+H1417</f>
        <v>0</v>
      </c>
      <c r="I1408" s="69">
        <f t="shared" si="306"/>
        <v>50</v>
      </c>
      <c r="J1408" s="69">
        <f>J1409+J1417</f>
        <v>0</v>
      </c>
      <c r="K1408" s="85">
        <f t="shared" si="298"/>
        <v>50</v>
      </c>
      <c r="L1408" s="13">
        <f>L1409+L1417</f>
        <v>0</v>
      </c>
      <c r="M1408" s="85">
        <f t="shared" si="295"/>
        <v>50</v>
      </c>
      <c r="N1408" s="13">
        <f>N1409+N1417</f>
        <v>0</v>
      </c>
      <c r="O1408" s="85">
        <f t="shared" si="296"/>
        <v>50</v>
      </c>
      <c r="P1408" s="13">
        <f>P1409+P1417</f>
        <v>0</v>
      </c>
      <c r="Q1408" s="85">
        <f t="shared" si="310"/>
        <v>50</v>
      </c>
      <c r="R1408" s="13">
        <f>R1409+R1417</f>
        <v>0</v>
      </c>
      <c r="S1408" s="85">
        <f t="shared" si="309"/>
        <v>50</v>
      </c>
      <c r="T1408" s="13">
        <f>T1413+T1409+T1417</f>
        <v>0</v>
      </c>
      <c r="U1408" s="85">
        <f t="shared" si="302"/>
        <v>50</v>
      </c>
    </row>
    <row r="1409" spans="1:22" hidden="1">
      <c r="A1409" s="61" t="str">
        <f ca="1">IF(ISERROR(MATCH(E1409,Код_КЦСР,0)),"",INDIRECT(ADDRESS(MATCH(E1409,Код_КЦСР,0)+1,2,,,"КЦСР")))</f>
        <v>Здоровье на рабочем месте</v>
      </c>
      <c r="B1409" s="145">
        <v>810</v>
      </c>
      <c r="C1409" s="8" t="s">
        <v>188</v>
      </c>
      <c r="D1409" s="8" t="s">
        <v>217</v>
      </c>
      <c r="E1409" s="145" t="s">
        <v>578</v>
      </c>
      <c r="F1409" s="145"/>
      <c r="G1409" s="69">
        <f t="shared" ref="G1409:T1411" si="316">G1410</f>
        <v>0</v>
      </c>
      <c r="H1409" s="69">
        <f t="shared" si="316"/>
        <v>0</v>
      </c>
      <c r="I1409" s="69">
        <f t="shared" si="306"/>
        <v>0</v>
      </c>
      <c r="J1409" s="69">
        <f t="shared" si="316"/>
        <v>0</v>
      </c>
      <c r="K1409" s="85">
        <f t="shared" si="298"/>
        <v>0</v>
      </c>
      <c r="L1409" s="13">
        <f t="shared" si="316"/>
        <v>0</v>
      </c>
      <c r="M1409" s="85">
        <f t="shared" si="295"/>
        <v>0</v>
      </c>
      <c r="N1409" s="13">
        <f t="shared" si="316"/>
        <v>0</v>
      </c>
      <c r="O1409" s="85">
        <f t="shared" si="296"/>
        <v>0</v>
      </c>
      <c r="P1409" s="13">
        <f t="shared" si="316"/>
        <v>0</v>
      </c>
      <c r="Q1409" s="85">
        <f t="shared" si="310"/>
        <v>0</v>
      </c>
      <c r="R1409" s="13">
        <f t="shared" si="316"/>
        <v>0</v>
      </c>
      <c r="S1409" s="85">
        <f t="shared" si="309"/>
        <v>0</v>
      </c>
      <c r="T1409" s="13">
        <f t="shared" si="316"/>
        <v>0</v>
      </c>
      <c r="U1409" s="85">
        <f t="shared" si="302"/>
        <v>0</v>
      </c>
      <c r="V1409" s="155" t="s">
        <v>715</v>
      </c>
    </row>
    <row r="1410" spans="1:22" hidden="1">
      <c r="A1410" s="61" t="str">
        <f ca="1">IF(ISERROR(MATCH(F1410,Код_КВР,0)),"",INDIRECT(ADDRESS(MATCH(F1410,Код_КВР,0)+1,2,,,"КВР")))</f>
        <v>Закупка товаров, работ и услуг для муниципальных нужд</v>
      </c>
      <c r="B1410" s="145">
        <v>810</v>
      </c>
      <c r="C1410" s="8" t="s">
        <v>188</v>
      </c>
      <c r="D1410" s="8" t="s">
        <v>217</v>
      </c>
      <c r="E1410" s="145" t="s">
        <v>578</v>
      </c>
      <c r="F1410" s="145">
        <v>200</v>
      </c>
      <c r="G1410" s="69">
        <f t="shared" si="316"/>
        <v>0</v>
      </c>
      <c r="H1410" s="69">
        <f t="shared" si="316"/>
        <v>0</v>
      </c>
      <c r="I1410" s="69">
        <f t="shared" si="306"/>
        <v>0</v>
      </c>
      <c r="J1410" s="69">
        <f t="shared" si="316"/>
        <v>0</v>
      </c>
      <c r="K1410" s="85">
        <f t="shared" si="298"/>
        <v>0</v>
      </c>
      <c r="L1410" s="13">
        <f t="shared" si="316"/>
        <v>0</v>
      </c>
      <c r="M1410" s="85">
        <f t="shared" si="295"/>
        <v>0</v>
      </c>
      <c r="N1410" s="13">
        <f t="shared" si="316"/>
        <v>0</v>
      </c>
      <c r="O1410" s="85">
        <f t="shared" si="296"/>
        <v>0</v>
      </c>
      <c r="P1410" s="13">
        <f t="shared" si="316"/>
        <v>0</v>
      </c>
      <c r="Q1410" s="85">
        <f t="shared" si="310"/>
        <v>0</v>
      </c>
      <c r="R1410" s="13">
        <f t="shared" si="316"/>
        <v>0</v>
      </c>
      <c r="S1410" s="85">
        <f t="shared" si="309"/>
        <v>0</v>
      </c>
      <c r="T1410" s="13">
        <f t="shared" si="316"/>
        <v>0</v>
      </c>
      <c r="U1410" s="85">
        <f t="shared" si="302"/>
        <v>0</v>
      </c>
      <c r="V1410" s="155" t="s">
        <v>715</v>
      </c>
    </row>
    <row r="1411" spans="1:22" ht="33" hidden="1">
      <c r="A1411" s="61" t="str">
        <f ca="1">IF(ISERROR(MATCH(F1411,Код_КВР,0)),"",INDIRECT(ADDRESS(MATCH(F1411,Код_КВР,0)+1,2,,,"КВР")))</f>
        <v>Иные закупки товаров, работ и услуг для обеспечения муниципальных нужд</v>
      </c>
      <c r="B1411" s="145">
        <v>810</v>
      </c>
      <c r="C1411" s="8" t="s">
        <v>188</v>
      </c>
      <c r="D1411" s="8" t="s">
        <v>217</v>
      </c>
      <c r="E1411" s="145" t="s">
        <v>578</v>
      </c>
      <c r="F1411" s="145">
        <v>240</v>
      </c>
      <c r="G1411" s="69">
        <f t="shared" si="316"/>
        <v>0</v>
      </c>
      <c r="H1411" s="69">
        <f t="shared" si="316"/>
        <v>0</v>
      </c>
      <c r="I1411" s="69">
        <f t="shared" si="306"/>
        <v>0</v>
      </c>
      <c r="J1411" s="69">
        <f t="shared" si="316"/>
        <v>0</v>
      </c>
      <c r="K1411" s="85">
        <f t="shared" si="298"/>
        <v>0</v>
      </c>
      <c r="L1411" s="13">
        <f t="shared" si="316"/>
        <v>0</v>
      </c>
      <c r="M1411" s="85">
        <f t="shared" si="295"/>
        <v>0</v>
      </c>
      <c r="N1411" s="13">
        <f t="shared" si="316"/>
        <v>0</v>
      </c>
      <c r="O1411" s="85">
        <f t="shared" si="296"/>
        <v>0</v>
      </c>
      <c r="P1411" s="13">
        <f t="shared" si="316"/>
        <v>0</v>
      </c>
      <c r="Q1411" s="85">
        <f t="shared" si="310"/>
        <v>0</v>
      </c>
      <c r="R1411" s="13">
        <f t="shared" si="316"/>
        <v>0</v>
      </c>
      <c r="S1411" s="85">
        <f t="shared" si="309"/>
        <v>0</v>
      </c>
      <c r="T1411" s="13">
        <f t="shared" si="316"/>
        <v>0</v>
      </c>
      <c r="U1411" s="85">
        <f t="shared" si="302"/>
        <v>0</v>
      </c>
      <c r="V1411" s="155" t="s">
        <v>715</v>
      </c>
    </row>
    <row r="1412" spans="1:22" ht="33" hidden="1">
      <c r="A1412" s="61" t="str">
        <f ca="1">IF(ISERROR(MATCH(F1412,Код_КВР,0)),"",INDIRECT(ADDRESS(MATCH(F1412,Код_КВР,0)+1,2,,,"КВР")))</f>
        <v xml:space="preserve">Прочая закупка товаров, работ и услуг для обеспечения муниципальных нужд         </v>
      </c>
      <c r="B1412" s="145">
        <v>810</v>
      </c>
      <c r="C1412" s="8" t="s">
        <v>188</v>
      </c>
      <c r="D1412" s="8" t="s">
        <v>217</v>
      </c>
      <c r="E1412" s="145" t="s">
        <v>578</v>
      </c>
      <c r="F1412" s="145">
        <v>244</v>
      </c>
      <c r="G1412" s="69"/>
      <c r="H1412" s="69"/>
      <c r="I1412" s="69">
        <f t="shared" si="306"/>
        <v>0</v>
      </c>
      <c r="J1412" s="69"/>
      <c r="K1412" s="85">
        <f t="shared" si="298"/>
        <v>0</v>
      </c>
      <c r="L1412" s="13"/>
      <c r="M1412" s="85">
        <f t="shared" si="295"/>
        <v>0</v>
      </c>
      <c r="N1412" s="13"/>
      <c r="O1412" s="85">
        <f t="shared" si="296"/>
        <v>0</v>
      </c>
      <c r="P1412" s="13"/>
      <c r="Q1412" s="85">
        <f t="shared" si="310"/>
        <v>0</v>
      </c>
      <c r="R1412" s="13"/>
      <c r="S1412" s="85">
        <f t="shared" si="309"/>
        <v>0</v>
      </c>
      <c r="T1412" s="13"/>
      <c r="U1412" s="85">
        <f t="shared" si="302"/>
        <v>0</v>
      </c>
      <c r="V1412" s="155" t="s">
        <v>715</v>
      </c>
    </row>
    <row r="1413" spans="1:22">
      <c r="A1413" s="61" t="str">
        <f ca="1">IF(ISERROR(MATCH(E1413,Код_КЦСР,0)),"",INDIRECT(ADDRESS(MATCH(E1413,Код_КЦСР,0)+1,2,,,"КЦСР")))</f>
        <v>Пропаганда здорового образа жизни</v>
      </c>
      <c r="B1413" s="145">
        <v>810</v>
      </c>
      <c r="C1413" s="8" t="s">
        <v>188</v>
      </c>
      <c r="D1413" s="8" t="s">
        <v>217</v>
      </c>
      <c r="E1413" s="145" t="s">
        <v>575</v>
      </c>
      <c r="F1413" s="145"/>
      <c r="G1413" s="69"/>
      <c r="H1413" s="69"/>
      <c r="I1413" s="69"/>
      <c r="J1413" s="69"/>
      <c r="K1413" s="85"/>
      <c r="L1413" s="13"/>
      <c r="M1413" s="85"/>
      <c r="N1413" s="13"/>
      <c r="O1413" s="85"/>
      <c r="P1413" s="13"/>
      <c r="Q1413" s="85"/>
      <c r="R1413" s="13"/>
      <c r="S1413" s="85"/>
      <c r="T1413" s="13">
        <f t="shared" ref="T1413:T1415" si="317">T1414</f>
        <v>50</v>
      </c>
      <c r="U1413" s="85">
        <f t="shared" si="302"/>
        <v>50</v>
      </c>
    </row>
    <row r="1414" spans="1:22">
      <c r="A1414" s="61" t="str">
        <f ca="1">IF(ISERROR(MATCH(F1414,Код_КВР,0)),"",INDIRECT(ADDRESS(MATCH(F1414,Код_КВР,0)+1,2,,,"КВР")))</f>
        <v>Закупка товаров, работ и услуг для муниципальных нужд</v>
      </c>
      <c r="B1414" s="145">
        <v>810</v>
      </c>
      <c r="C1414" s="8" t="s">
        <v>188</v>
      </c>
      <c r="D1414" s="8" t="s">
        <v>217</v>
      </c>
      <c r="E1414" s="145" t="s">
        <v>575</v>
      </c>
      <c r="F1414" s="145">
        <v>200</v>
      </c>
      <c r="G1414" s="69"/>
      <c r="H1414" s="69"/>
      <c r="I1414" s="69"/>
      <c r="J1414" s="69"/>
      <c r="K1414" s="85"/>
      <c r="L1414" s="13"/>
      <c r="M1414" s="85"/>
      <c r="N1414" s="13"/>
      <c r="O1414" s="85"/>
      <c r="P1414" s="13"/>
      <c r="Q1414" s="85"/>
      <c r="R1414" s="13"/>
      <c r="S1414" s="85"/>
      <c r="T1414" s="13">
        <f t="shared" si="317"/>
        <v>50</v>
      </c>
      <c r="U1414" s="85">
        <f t="shared" si="302"/>
        <v>50</v>
      </c>
    </row>
    <row r="1415" spans="1:22" ht="33">
      <c r="A1415" s="61" t="str">
        <f ca="1">IF(ISERROR(MATCH(F1415,Код_КВР,0)),"",INDIRECT(ADDRESS(MATCH(F1415,Код_КВР,0)+1,2,,,"КВР")))</f>
        <v>Иные закупки товаров, работ и услуг для обеспечения муниципальных нужд</v>
      </c>
      <c r="B1415" s="145">
        <v>810</v>
      </c>
      <c r="C1415" s="8" t="s">
        <v>188</v>
      </c>
      <c r="D1415" s="8" t="s">
        <v>217</v>
      </c>
      <c r="E1415" s="145" t="s">
        <v>575</v>
      </c>
      <c r="F1415" s="145">
        <v>240</v>
      </c>
      <c r="G1415" s="69"/>
      <c r="H1415" s="69"/>
      <c r="I1415" s="69"/>
      <c r="J1415" s="69"/>
      <c r="K1415" s="85"/>
      <c r="L1415" s="13"/>
      <c r="M1415" s="85"/>
      <c r="N1415" s="13"/>
      <c r="O1415" s="85"/>
      <c r="P1415" s="13"/>
      <c r="Q1415" s="85"/>
      <c r="R1415" s="13"/>
      <c r="S1415" s="85"/>
      <c r="T1415" s="13">
        <f t="shared" si="317"/>
        <v>50</v>
      </c>
      <c r="U1415" s="85">
        <f t="shared" si="302"/>
        <v>50</v>
      </c>
    </row>
    <row r="1416" spans="1:22" ht="33">
      <c r="A1416" s="61" t="str">
        <f ca="1">IF(ISERROR(MATCH(F1416,Код_КВР,0)),"",INDIRECT(ADDRESS(MATCH(F1416,Код_КВР,0)+1,2,,,"КВР")))</f>
        <v xml:space="preserve">Прочая закупка товаров, работ и услуг для обеспечения муниципальных нужд         </v>
      </c>
      <c r="B1416" s="145">
        <v>810</v>
      </c>
      <c r="C1416" s="8" t="s">
        <v>188</v>
      </c>
      <c r="D1416" s="8" t="s">
        <v>217</v>
      </c>
      <c r="E1416" s="145" t="s">
        <v>575</v>
      </c>
      <c r="F1416" s="145">
        <v>244</v>
      </c>
      <c r="G1416" s="69"/>
      <c r="H1416" s="69"/>
      <c r="I1416" s="69"/>
      <c r="J1416" s="69"/>
      <c r="K1416" s="85"/>
      <c r="L1416" s="13"/>
      <c r="M1416" s="85"/>
      <c r="N1416" s="13"/>
      <c r="O1416" s="85"/>
      <c r="P1416" s="13"/>
      <c r="Q1416" s="85"/>
      <c r="R1416" s="13"/>
      <c r="S1416" s="85"/>
      <c r="T1416" s="13">
        <v>50</v>
      </c>
      <c r="U1416" s="85">
        <f t="shared" si="302"/>
        <v>50</v>
      </c>
    </row>
    <row r="1417" spans="1:22">
      <c r="A1417" s="61" t="str">
        <f ca="1">IF(ISERROR(MATCH(E1417,Код_КЦСР,0)),"",INDIRECT(ADDRESS(MATCH(E1417,Код_КЦСР,0)+1,2,,,"КЦСР")))</f>
        <v>Активное долголетие</v>
      </c>
      <c r="B1417" s="145">
        <v>810</v>
      </c>
      <c r="C1417" s="8" t="s">
        <v>188</v>
      </c>
      <c r="D1417" s="8" t="s">
        <v>217</v>
      </c>
      <c r="E1417" s="145" t="s">
        <v>580</v>
      </c>
      <c r="F1417" s="145"/>
      <c r="G1417" s="69">
        <f t="shared" ref="G1417:T1419" si="318">G1418</f>
        <v>50</v>
      </c>
      <c r="H1417" s="69">
        <f t="shared" si="318"/>
        <v>0</v>
      </c>
      <c r="I1417" s="69">
        <f t="shared" si="306"/>
        <v>50</v>
      </c>
      <c r="J1417" s="69">
        <f t="shared" si="318"/>
        <v>0</v>
      </c>
      <c r="K1417" s="85">
        <f t="shared" si="298"/>
        <v>50</v>
      </c>
      <c r="L1417" s="13">
        <f t="shared" si="318"/>
        <v>0</v>
      </c>
      <c r="M1417" s="85">
        <f t="shared" si="295"/>
        <v>50</v>
      </c>
      <c r="N1417" s="13">
        <f t="shared" si="318"/>
        <v>0</v>
      </c>
      <c r="O1417" s="85">
        <f t="shared" si="296"/>
        <v>50</v>
      </c>
      <c r="P1417" s="13">
        <f t="shared" si="318"/>
        <v>0</v>
      </c>
      <c r="Q1417" s="85">
        <f t="shared" si="310"/>
        <v>50</v>
      </c>
      <c r="R1417" s="13">
        <f t="shared" si="318"/>
        <v>0</v>
      </c>
      <c r="S1417" s="85">
        <f t="shared" si="309"/>
        <v>50</v>
      </c>
      <c r="T1417" s="13">
        <f t="shared" si="318"/>
        <v>-50</v>
      </c>
      <c r="U1417" s="85">
        <f t="shared" si="302"/>
        <v>0</v>
      </c>
    </row>
    <row r="1418" spans="1:22">
      <c r="A1418" s="61" t="str">
        <f ca="1">IF(ISERROR(MATCH(F1418,Код_КВР,0)),"",INDIRECT(ADDRESS(MATCH(F1418,Код_КВР,0)+1,2,,,"КВР")))</f>
        <v>Закупка товаров, работ и услуг для муниципальных нужд</v>
      </c>
      <c r="B1418" s="145">
        <v>810</v>
      </c>
      <c r="C1418" s="8" t="s">
        <v>188</v>
      </c>
      <c r="D1418" s="8" t="s">
        <v>217</v>
      </c>
      <c r="E1418" s="145" t="s">
        <v>580</v>
      </c>
      <c r="F1418" s="145">
        <v>200</v>
      </c>
      <c r="G1418" s="69">
        <f t="shared" si="318"/>
        <v>50</v>
      </c>
      <c r="H1418" s="69">
        <f t="shared" si="318"/>
        <v>0</v>
      </c>
      <c r="I1418" s="69">
        <f t="shared" si="306"/>
        <v>50</v>
      </c>
      <c r="J1418" s="69">
        <f t="shared" si="318"/>
        <v>0</v>
      </c>
      <c r="K1418" s="85">
        <f t="shared" si="298"/>
        <v>50</v>
      </c>
      <c r="L1418" s="13">
        <f t="shared" si="318"/>
        <v>0</v>
      </c>
      <c r="M1418" s="85">
        <f t="shared" si="295"/>
        <v>50</v>
      </c>
      <c r="N1418" s="13">
        <f t="shared" si="318"/>
        <v>0</v>
      </c>
      <c r="O1418" s="85">
        <f t="shared" si="296"/>
        <v>50</v>
      </c>
      <c r="P1418" s="13">
        <f t="shared" si="318"/>
        <v>0</v>
      </c>
      <c r="Q1418" s="85">
        <f t="shared" si="310"/>
        <v>50</v>
      </c>
      <c r="R1418" s="13">
        <f t="shared" si="318"/>
        <v>0</v>
      </c>
      <c r="S1418" s="85">
        <f t="shared" si="309"/>
        <v>50</v>
      </c>
      <c r="T1418" s="13">
        <f t="shared" si="318"/>
        <v>-50</v>
      </c>
      <c r="U1418" s="85">
        <f t="shared" si="302"/>
        <v>0</v>
      </c>
    </row>
    <row r="1419" spans="1:22" ht="33">
      <c r="A1419" s="61" t="str">
        <f ca="1">IF(ISERROR(MATCH(F1419,Код_КВР,0)),"",INDIRECT(ADDRESS(MATCH(F1419,Код_КВР,0)+1,2,,,"КВР")))</f>
        <v>Иные закупки товаров, работ и услуг для обеспечения муниципальных нужд</v>
      </c>
      <c r="B1419" s="145">
        <v>810</v>
      </c>
      <c r="C1419" s="8" t="s">
        <v>188</v>
      </c>
      <c r="D1419" s="8" t="s">
        <v>217</v>
      </c>
      <c r="E1419" s="145" t="s">
        <v>580</v>
      </c>
      <c r="F1419" s="145">
        <v>240</v>
      </c>
      <c r="G1419" s="69">
        <f t="shared" si="318"/>
        <v>50</v>
      </c>
      <c r="H1419" s="69">
        <f t="shared" si="318"/>
        <v>0</v>
      </c>
      <c r="I1419" s="69">
        <f t="shared" si="306"/>
        <v>50</v>
      </c>
      <c r="J1419" s="69">
        <f t="shared" si="318"/>
        <v>0</v>
      </c>
      <c r="K1419" s="85">
        <f t="shared" si="298"/>
        <v>50</v>
      </c>
      <c r="L1419" s="13">
        <f t="shared" si="318"/>
        <v>0</v>
      </c>
      <c r="M1419" s="85">
        <f t="shared" si="295"/>
        <v>50</v>
      </c>
      <c r="N1419" s="13">
        <f t="shared" si="318"/>
        <v>0</v>
      </c>
      <c r="O1419" s="85">
        <f t="shared" si="296"/>
        <v>50</v>
      </c>
      <c r="P1419" s="13">
        <f t="shared" si="318"/>
        <v>0</v>
      </c>
      <c r="Q1419" s="85">
        <f t="shared" si="310"/>
        <v>50</v>
      </c>
      <c r="R1419" s="13">
        <f t="shared" si="318"/>
        <v>0</v>
      </c>
      <c r="S1419" s="85">
        <f t="shared" si="309"/>
        <v>50</v>
      </c>
      <c r="T1419" s="13">
        <f t="shared" si="318"/>
        <v>-50</v>
      </c>
      <c r="U1419" s="85">
        <f t="shared" si="302"/>
        <v>0</v>
      </c>
    </row>
    <row r="1420" spans="1:22" ht="33">
      <c r="A1420" s="61" t="str">
        <f ca="1">IF(ISERROR(MATCH(F1420,Код_КВР,0)),"",INDIRECT(ADDRESS(MATCH(F1420,Код_КВР,0)+1,2,,,"КВР")))</f>
        <v xml:space="preserve">Прочая закупка товаров, работ и услуг для обеспечения муниципальных нужд         </v>
      </c>
      <c r="B1420" s="145">
        <v>810</v>
      </c>
      <c r="C1420" s="8" t="s">
        <v>188</v>
      </c>
      <c r="D1420" s="8" t="s">
        <v>217</v>
      </c>
      <c r="E1420" s="145" t="s">
        <v>580</v>
      </c>
      <c r="F1420" s="145">
        <v>244</v>
      </c>
      <c r="G1420" s="69">
        <v>50</v>
      </c>
      <c r="H1420" s="69"/>
      <c r="I1420" s="69">
        <f t="shared" si="306"/>
        <v>50</v>
      </c>
      <c r="J1420" s="69"/>
      <c r="K1420" s="85">
        <f t="shared" si="298"/>
        <v>50</v>
      </c>
      <c r="L1420" s="13"/>
      <c r="M1420" s="85">
        <f t="shared" si="295"/>
        <v>50</v>
      </c>
      <c r="N1420" s="13"/>
      <c r="O1420" s="85">
        <f t="shared" si="296"/>
        <v>50</v>
      </c>
      <c r="P1420" s="13"/>
      <c r="Q1420" s="85">
        <f t="shared" si="310"/>
        <v>50</v>
      </c>
      <c r="R1420" s="13"/>
      <c r="S1420" s="85">
        <f t="shared" si="309"/>
        <v>50</v>
      </c>
      <c r="T1420" s="13">
        <v>-50</v>
      </c>
      <c r="U1420" s="85">
        <f t="shared" si="302"/>
        <v>0</v>
      </c>
    </row>
    <row r="1421" spans="1:22" ht="33">
      <c r="A1421" s="61" t="str">
        <f ca="1">IF(ISERROR(MATCH(E1421,Код_КЦСР,0)),"",INDIRECT(ADDRESS(MATCH(E1421,Код_КЦСР,0)+1,2,,,"КЦСР")))</f>
        <v>Муниципальная программа «Социальная поддержка граждан» на 2014-2018 годы</v>
      </c>
      <c r="B1421" s="145">
        <v>810</v>
      </c>
      <c r="C1421" s="8" t="s">
        <v>188</v>
      </c>
      <c r="D1421" s="8" t="s">
        <v>217</v>
      </c>
      <c r="E1421" s="145" t="s">
        <v>5</v>
      </c>
      <c r="F1421" s="145"/>
      <c r="G1421" s="69">
        <f>G1422+G1431</f>
        <v>12175.3</v>
      </c>
      <c r="H1421" s="69">
        <f>H1422+H1431</f>
        <v>0</v>
      </c>
      <c r="I1421" s="69">
        <f t="shared" si="306"/>
        <v>12175.3</v>
      </c>
      <c r="J1421" s="69">
        <f>J1422+J1431</f>
        <v>0</v>
      </c>
      <c r="K1421" s="85">
        <f t="shared" si="298"/>
        <v>12175.3</v>
      </c>
      <c r="L1421" s="13">
        <f>L1422+L1431</f>
        <v>0</v>
      </c>
      <c r="M1421" s="85">
        <f t="shared" si="295"/>
        <v>12175.3</v>
      </c>
      <c r="N1421" s="13">
        <f>N1422+N1431</f>
        <v>0</v>
      </c>
      <c r="O1421" s="85">
        <f t="shared" si="296"/>
        <v>12175.3</v>
      </c>
      <c r="P1421" s="13">
        <f>P1422+P1431</f>
        <v>0</v>
      </c>
      <c r="Q1421" s="85">
        <f t="shared" si="310"/>
        <v>12175.3</v>
      </c>
      <c r="R1421" s="13">
        <f>R1422+R1431</f>
        <v>535.29999999999973</v>
      </c>
      <c r="S1421" s="85">
        <f t="shared" si="309"/>
        <v>12710.599999999999</v>
      </c>
      <c r="T1421" s="13">
        <f>T1422+T1431</f>
        <v>-435.20000000000016</v>
      </c>
      <c r="U1421" s="85">
        <f t="shared" si="302"/>
        <v>12275.399999999998</v>
      </c>
    </row>
    <row r="1422" spans="1:22" ht="82.5">
      <c r="A1422" s="61" t="str">
        <f ca="1">IF(ISERROR(MATCH(E1422,Код_КЦСР,0)),"",INDIRECT(ADDRESS(MATCH(E1422,Код_КЦСР,0)+1,2,,,"КЦСР")))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422" s="145">
        <v>810</v>
      </c>
      <c r="C1422" s="8" t="s">
        <v>188</v>
      </c>
      <c r="D1422" s="8" t="s">
        <v>217</v>
      </c>
      <c r="E1422" s="145" t="s">
        <v>406</v>
      </c>
      <c r="F1422" s="145"/>
      <c r="G1422" s="69">
        <f>G1423+G1425</f>
        <v>6988.8</v>
      </c>
      <c r="H1422" s="69">
        <f>H1423+H1425</f>
        <v>0</v>
      </c>
      <c r="I1422" s="69">
        <f t="shared" si="306"/>
        <v>6988.8</v>
      </c>
      <c r="J1422" s="69">
        <f>J1423+J1425</f>
        <v>0</v>
      </c>
      <c r="K1422" s="85">
        <f t="shared" si="298"/>
        <v>6988.8</v>
      </c>
      <c r="L1422" s="13">
        <f>L1423+L1425</f>
        <v>0</v>
      </c>
      <c r="M1422" s="85">
        <f t="shared" si="295"/>
        <v>6988.8</v>
      </c>
      <c r="N1422" s="13">
        <f>N1423+N1425</f>
        <v>0</v>
      </c>
      <c r="O1422" s="85">
        <f t="shared" si="296"/>
        <v>6988.8</v>
      </c>
      <c r="P1422" s="13">
        <f>P1423+P1425+P1428</f>
        <v>0</v>
      </c>
      <c r="Q1422" s="85">
        <f t="shared" si="310"/>
        <v>6988.8</v>
      </c>
      <c r="R1422" s="13">
        <f>R1423+R1425+R1428</f>
        <v>-1534.7000000000003</v>
      </c>
      <c r="S1422" s="85">
        <f t="shared" si="309"/>
        <v>5454.1</v>
      </c>
      <c r="T1422" s="13">
        <f>T1423+T1425+T1428</f>
        <v>0</v>
      </c>
      <c r="U1422" s="85">
        <f t="shared" si="302"/>
        <v>5454.1</v>
      </c>
    </row>
    <row r="1423" spans="1:22" ht="33">
      <c r="A1423" s="61" t="str">
        <f t="shared" ref="A1423:A1430" ca="1" si="319">IF(ISERROR(MATCH(F1423,Код_КВР,0)),"",INDIRECT(ADDRESS(MATCH(F1423,Код_КВР,0)+1,2,,,"КВР")))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23" s="145">
        <v>810</v>
      </c>
      <c r="C1423" s="8" t="s">
        <v>188</v>
      </c>
      <c r="D1423" s="8" t="s">
        <v>217</v>
      </c>
      <c r="E1423" s="145" t="s">
        <v>406</v>
      </c>
      <c r="F1423" s="145">
        <v>100</v>
      </c>
      <c r="G1423" s="69">
        <f>G1424</f>
        <v>5101</v>
      </c>
      <c r="H1423" s="69">
        <f>H1424</f>
        <v>0</v>
      </c>
      <c r="I1423" s="69">
        <f t="shared" si="306"/>
        <v>5101</v>
      </c>
      <c r="J1423" s="69">
        <f>J1424</f>
        <v>-439.2</v>
      </c>
      <c r="K1423" s="85">
        <f t="shared" si="298"/>
        <v>4661.8</v>
      </c>
      <c r="L1423" s="13">
        <f>L1424</f>
        <v>0</v>
      </c>
      <c r="M1423" s="85">
        <f t="shared" si="295"/>
        <v>4661.8</v>
      </c>
      <c r="N1423" s="13">
        <f>N1424</f>
        <v>0</v>
      </c>
      <c r="O1423" s="85">
        <f t="shared" si="296"/>
        <v>4661.8</v>
      </c>
      <c r="P1423" s="13">
        <f>P1424</f>
        <v>0</v>
      </c>
      <c r="Q1423" s="85">
        <f t="shared" si="310"/>
        <v>4661.8</v>
      </c>
      <c r="R1423" s="13">
        <f>R1424</f>
        <v>-1241.1000000000001</v>
      </c>
      <c r="S1423" s="85">
        <f t="shared" si="309"/>
        <v>3420.7</v>
      </c>
      <c r="T1423" s="13">
        <f>T1424</f>
        <v>0</v>
      </c>
      <c r="U1423" s="85">
        <f t="shared" si="302"/>
        <v>3420.7</v>
      </c>
    </row>
    <row r="1424" spans="1:22">
      <c r="A1424" s="61" t="str">
        <f t="shared" ca="1" si="319"/>
        <v>Расходы на выплаты персоналу казенных учреждений</v>
      </c>
      <c r="B1424" s="145">
        <v>810</v>
      </c>
      <c r="C1424" s="8" t="s">
        <v>188</v>
      </c>
      <c r="D1424" s="8" t="s">
        <v>217</v>
      </c>
      <c r="E1424" s="145" t="s">
        <v>406</v>
      </c>
      <c r="F1424" s="145">
        <v>110</v>
      </c>
      <c r="G1424" s="69">
        <f>5404.5-303.5</f>
        <v>5101</v>
      </c>
      <c r="H1424" s="69"/>
      <c r="I1424" s="69">
        <f t="shared" si="306"/>
        <v>5101</v>
      </c>
      <c r="J1424" s="69">
        <v>-439.2</v>
      </c>
      <c r="K1424" s="85">
        <f t="shared" si="298"/>
        <v>4661.8</v>
      </c>
      <c r="L1424" s="13"/>
      <c r="M1424" s="85">
        <f t="shared" si="295"/>
        <v>4661.8</v>
      </c>
      <c r="N1424" s="13"/>
      <c r="O1424" s="85">
        <f t="shared" si="296"/>
        <v>4661.8</v>
      </c>
      <c r="P1424" s="13"/>
      <c r="Q1424" s="85">
        <f t="shared" si="310"/>
        <v>4661.8</v>
      </c>
      <c r="R1424" s="13">
        <f>-880-360.9-0.2</f>
        <v>-1241.1000000000001</v>
      </c>
      <c r="S1424" s="85">
        <f t="shared" si="309"/>
        <v>3420.7</v>
      </c>
      <c r="T1424" s="13"/>
      <c r="U1424" s="85">
        <f t="shared" si="302"/>
        <v>3420.7</v>
      </c>
    </row>
    <row r="1425" spans="1:22">
      <c r="A1425" s="61" t="str">
        <f t="shared" ca="1" si="319"/>
        <v>Закупка товаров, работ и услуг для муниципальных нужд</v>
      </c>
      <c r="B1425" s="145">
        <v>810</v>
      </c>
      <c r="C1425" s="8" t="s">
        <v>188</v>
      </c>
      <c r="D1425" s="8" t="s">
        <v>217</v>
      </c>
      <c r="E1425" s="145" t="s">
        <v>406</v>
      </c>
      <c r="F1425" s="145">
        <v>200</v>
      </c>
      <c r="G1425" s="69">
        <f>G1426</f>
        <v>1887.8</v>
      </c>
      <c r="H1425" s="69">
        <f>H1426</f>
        <v>0</v>
      </c>
      <c r="I1425" s="69">
        <f t="shared" si="306"/>
        <v>1887.8</v>
      </c>
      <c r="J1425" s="69">
        <f>J1426</f>
        <v>439.2</v>
      </c>
      <c r="K1425" s="85">
        <f t="shared" si="298"/>
        <v>2327</v>
      </c>
      <c r="L1425" s="13">
        <f>L1426</f>
        <v>0</v>
      </c>
      <c r="M1425" s="85">
        <f t="shared" si="295"/>
        <v>2327</v>
      </c>
      <c r="N1425" s="13">
        <f>N1426</f>
        <v>0</v>
      </c>
      <c r="O1425" s="85">
        <f t="shared" si="296"/>
        <v>2327</v>
      </c>
      <c r="P1425" s="13">
        <f>P1426</f>
        <v>-0.8</v>
      </c>
      <c r="Q1425" s="85">
        <f t="shared" si="310"/>
        <v>2326.1999999999998</v>
      </c>
      <c r="R1425" s="13">
        <f>R1426</f>
        <v>-293.60000000000002</v>
      </c>
      <c r="S1425" s="85">
        <f t="shared" si="309"/>
        <v>2032.6</v>
      </c>
      <c r="T1425" s="13">
        <f>T1426</f>
        <v>0</v>
      </c>
      <c r="U1425" s="85">
        <f t="shared" si="302"/>
        <v>2032.6</v>
      </c>
    </row>
    <row r="1426" spans="1:22" ht="33">
      <c r="A1426" s="61" t="str">
        <f t="shared" ca="1" si="319"/>
        <v>Иные закупки товаров, работ и услуг для обеспечения муниципальных нужд</v>
      </c>
      <c r="B1426" s="145">
        <v>810</v>
      </c>
      <c r="C1426" s="8" t="s">
        <v>188</v>
      </c>
      <c r="D1426" s="8" t="s">
        <v>217</v>
      </c>
      <c r="E1426" s="145" t="s">
        <v>406</v>
      </c>
      <c r="F1426" s="145">
        <v>240</v>
      </c>
      <c r="G1426" s="69">
        <f>G1427</f>
        <v>1887.8</v>
      </c>
      <c r="H1426" s="69">
        <f>H1427</f>
        <v>0</v>
      </c>
      <c r="I1426" s="69">
        <f t="shared" si="306"/>
        <v>1887.8</v>
      </c>
      <c r="J1426" s="69">
        <f>J1427</f>
        <v>439.2</v>
      </c>
      <c r="K1426" s="85">
        <f t="shared" si="298"/>
        <v>2327</v>
      </c>
      <c r="L1426" s="13">
        <f>L1427</f>
        <v>0</v>
      </c>
      <c r="M1426" s="85">
        <f t="shared" si="295"/>
        <v>2327</v>
      </c>
      <c r="N1426" s="13">
        <f>N1427</f>
        <v>0</v>
      </c>
      <c r="O1426" s="85">
        <f t="shared" si="296"/>
        <v>2327</v>
      </c>
      <c r="P1426" s="13">
        <f>P1427</f>
        <v>-0.8</v>
      </c>
      <c r="Q1426" s="85">
        <f t="shared" si="310"/>
        <v>2326.1999999999998</v>
      </c>
      <c r="R1426" s="13">
        <f>R1427</f>
        <v>-293.60000000000002</v>
      </c>
      <c r="S1426" s="85">
        <f t="shared" si="309"/>
        <v>2032.6</v>
      </c>
      <c r="T1426" s="13">
        <f>T1427</f>
        <v>0</v>
      </c>
      <c r="U1426" s="85">
        <f t="shared" si="302"/>
        <v>2032.6</v>
      </c>
    </row>
    <row r="1427" spans="1:22" ht="33">
      <c r="A1427" s="61" t="str">
        <f t="shared" ca="1" si="319"/>
        <v xml:space="preserve">Прочая закупка товаров, работ и услуг для обеспечения муниципальных нужд         </v>
      </c>
      <c r="B1427" s="145">
        <v>810</v>
      </c>
      <c r="C1427" s="8" t="s">
        <v>188</v>
      </c>
      <c r="D1427" s="8" t="s">
        <v>217</v>
      </c>
      <c r="E1427" s="145" t="s">
        <v>406</v>
      </c>
      <c r="F1427" s="145">
        <v>244</v>
      </c>
      <c r="G1427" s="69">
        <v>1887.8</v>
      </c>
      <c r="H1427" s="69"/>
      <c r="I1427" s="69">
        <f t="shared" si="306"/>
        <v>1887.8</v>
      </c>
      <c r="J1427" s="69">
        <v>439.2</v>
      </c>
      <c r="K1427" s="85">
        <f t="shared" si="298"/>
        <v>2327</v>
      </c>
      <c r="L1427" s="13"/>
      <c r="M1427" s="85">
        <f t="shared" si="295"/>
        <v>2327</v>
      </c>
      <c r="N1427" s="13"/>
      <c r="O1427" s="85">
        <f t="shared" si="296"/>
        <v>2327</v>
      </c>
      <c r="P1427" s="13">
        <v>-0.8</v>
      </c>
      <c r="Q1427" s="85">
        <f t="shared" si="310"/>
        <v>2326.1999999999998</v>
      </c>
      <c r="R1427" s="13">
        <f>-22.9-52.9-64-92.3-4-57.5</f>
        <v>-293.60000000000002</v>
      </c>
      <c r="S1427" s="85">
        <f t="shared" si="309"/>
        <v>2032.6</v>
      </c>
      <c r="T1427" s="13"/>
      <c r="U1427" s="85">
        <f t="shared" si="302"/>
        <v>2032.6</v>
      </c>
    </row>
    <row r="1428" spans="1:22" ht="26.25" customHeight="1">
      <c r="A1428" s="61" t="str">
        <f t="shared" ca="1" si="319"/>
        <v>Иные бюджетные ассигнования</v>
      </c>
      <c r="B1428" s="145">
        <v>810</v>
      </c>
      <c r="C1428" s="8" t="s">
        <v>188</v>
      </c>
      <c r="D1428" s="8" t="s">
        <v>217</v>
      </c>
      <c r="E1428" s="145" t="s">
        <v>406</v>
      </c>
      <c r="F1428" s="145">
        <v>800</v>
      </c>
      <c r="G1428" s="69"/>
      <c r="H1428" s="69"/>
      <c r="I1428" s="69"/>
      <c r="J1428" s="69"/>
      <c r="K1428" s="85"/>
      <c r="L1428" s="13"/>
      <c r="M1428" s="85"/>
      <c r="N1428" s="13"/>
      <c r="O1428" s="85"/>
      <c r="P1428" s="13">
        <f>P1429</f>
        <v>0.8</v>
      </c>
      <c r="Q1428" s="85">
        <f t="shared" si="310"/>
        <v>0.8</v>
      </c>
      <c r="R1428" s="13">
        <f>R1429</f>
        <v>0</v>
      </c>
      <c r="S1428" s="85">
        <f t="shared" si="309"/>
        <v>0.8</v>
      </c>
      <c r="T1428" s="13">
        <f>T1429</f>
        <v>0</v>
      </c>
      <c r="U1428" s="85">
        <f t="shared" si="302"/>
        <v>0.8</v>
      </c>
    </row>
    <row r="1429" spans="1:22" ht="27.2" customHeight="1">
      <c r="A1429" s="61" t="str">
        <f t="shared" ca="1" si="319"/>
        <v>Уплата налогов, сборов и иных платежей</v>
      </c>
      <c r="B1429" s="145">
        <v>810</v>
      </c>
      <c r="C1429" s="8" t="s">
        <v>188</v>
      </c>
      <c r="D1429" s="8" t="s">
        <v>217</v>
      </c>
      <c r="E1429" s="145" t="s">
        <v>406</v>
      </c>
      <c r="F1429" s="145">
        <v>850</v>
      </c>
      <c r="G1429" s="69"/>
      <c r="H1429" s="69"/>
      <c r="I1429" s="69"/>
      <c r="J1429" s="69"/>
      <c r="K1429" s="85"/>
      <c r="L1429" s="13"/>
      <c r="M1429" s="85"/>
      <c r="N1429" s="13"/>
      <c r="O1429" s="85"/>
      <c r="P1429" s="13">
        <f>P1430</f>
        <v>0.8</v>
      </c>
      <c r="Q1429" s="85">
        <f t="shared" si="310"/>
        <v>0.8</v>
      </c>
      <c r="R1429" s="13">
        <f>R1430</f>
        <v>0</v>
      </c>
      <c r="S1429" s="85">
        <f t="shared" si="309"/>
        <v>0.8</v>
      </c>
      <c r="T1429" s="13">
        <f>T1430</f>
        <v>0</v>
      </c>
      <c r="U1429" s="85">
        <f t="shared" si="302"/>
        <v>0.8</v>
      </c>
    </row>
    <row r="1430" spans="1:22" ht="23.25" customHeight="1">
      <c r="A1430" s="61" t="str">
        <f t="shared" ca="1" si="319"/>
        <v>Уплата прочих налогов, сборов и иных платежей</v>
      </c>
      <c r="B1430" s="145">
        <v>810</v>
      </c>
      <c r="C1430" s="8" t="s">
        <v>188</v>
      </c>
      <c r="D1430" s="8" t="s">
        <v>217</v>
      </c>
      <c r="E1430" s="145" t="s">
        <v>406</v>
      </c>
      <c r="F1430" s="145">
        <v>852</v>
      </c>
      <c r="G1430" s="69"/>
      <c r="H1430" s="69"/>
      <c r="I1430" s="69"/>
      <c r="J1430" s="69"/>
      <c r="K1430" s="85"/>
      <c r="L1430" s="13"/>
      <c r="M1430" s="85"/>
      <c r="N1430" s="13"/>
      <c r="O1430" s="85"/>
      <c r="P1430" s="13">
        <v>0.8</v>
      </c>
      <c r="Q1430" s="85">
        <f t="shared" si="310"/>
        <v>0.8</v>
      </c>
      <c r="R1430" s="13"/>
      <c r="S1430" s="85">
        <f t="shared" si="309"/>
        <v>0.8</v>
      </c>
      <c r="T1430" s="13"/>
      <c r="U1430" s="85">
        <f t="shared" si="302"/>
        <v>0.8</v>
      </c>
    </row>
    <row r="1431" spans="1:22" ht="132">
      <c r="A1431" s="61" t="str">
        <f ca="1">IF(ISERROR(MATCH(E1431,Код_КЦСР,0)),"",INDIRECT(ADDRESS(MATCH(E1431,Код_КЦСР,0)+1,2,,,"КЦСР")))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совершеннолетних граждан, нуждающихся в опеке или попечительстве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1431" s="145">
        <v>810</v>
      </c>
      <c r="C1431" s="8" t="s">
        <v>188</v>
      </c>
      <c r="D1431" s="8" t="s">
        <v>217</v>
      </c>
      <c r="E1431" s="145" t="s">
        <v>405</v>
      </c>
      <c r="F1431" s="145"/>
      <c r="G1431" s="69">
        <f>G1435</f>
        <v>5186.5</v>
      </c>
      <c r="H1431" s="69">
        <f>H1435</f>
        <v>0</v>
      </c>
      <c r="I1431" s="69">
        <f t="shared" si="306"/>
        <v>5186.5</v>
      </c>
      <c r="J1431" s="69">
        <f>J1435</f>
        <v>0</v>
      </c>
      <c r="K1431" s="85">
        <f t="shared" si="298"/>
        <v>5186.5</v>
      </c>
      <c r="L1431" s="13">
        <f>L1435</f>
        <v>0</v>
      </c>
      <c r="M1431" s="85">
        <f t="shared" ref="M1431:M1509" si="320">K1431+L1431</f>
        <v>5186.5</v>
      </c>
      <c r="N1431" s="13">
        <f>N1435</f>
        <v>0</v>
      </c>
      <c r="O1431" s="85">
        <f t="shared" ref="O1431:O1509" si="321">M1431+N1431</f>
        <v>5186.5</v>
      </c>
      <c r="P1431" s="13">
        <f>P1435</f>
        <v>0</v>
      </c>
      <c r="Q1431" s="85">
        <f t="shared" si="310"/>
        <v>5186.5</v>
      </c>
      <c r="R1431" s="13">
        <f>R1435</f>
        <v>2070</v>
      </c>
      <c r="S1431" s="85">
        <f t="shared" si="309"/>
        <v>7256.5</v>
      </c>
      <c r="T1431" s="13">
        <f>T1432+T1435</f>
        <v>-435.20000000000016</v>
      </c>
      <c r="U1431" s="85">
        <f t="shared" si="302"/>
        <v>6821.3</v>
      </c>
    </row>
    <row r="1432" spans="1:22">
      <c r="A1432" s="61" t="str">
        <f t="shared" ref="A1432:A1438" ca="1" si="322">IF(ISERROR(MATCH(F1432,Код_КВР,0)),"",INDIRECT(ADDRESS(MATCH(F1432,Код_КВР,0)+1,2,,,"КВР")))</f>
        <v>Закупка товаров, работ и услуг для муниципальных нужд</v>
      </c>
      <c r="B1432" s="145">
        <v>810</v>
      </c>
      <c r="C1432" s="8" t="s">
        <v>188</v>
      </c>
      <c r="D1432" s="8" t="s">
        <v>217</v>
      </c>
      <c r="E1432" s="145" t="s">
        <v>405</v>
      </c>
      <c r="F1432" s="145">
        <v>200</v>
      </c>
      <c r="G1432" s="69"/>
      <c r="H1432" s="69"/>
      <c r="I1432" s="69"/>
      <c r="J1432" s="69"/>
      <c r="K1432" s="85"/>
      <c r="L1432" s="13"/>
      <c r="M1432" s="85"/>
      <c r="N1432" s="13"/>
      <c r="O1432" s="85"/>
      <c r="P1432" s="13"/>
      <c r="Q1432" s="85"/>
      <c r="R1432" s="13"/>
      <c r="S1432" s="85"/>
      <c r="T1432" s="13">
        <f t="shared" ref="T1432" si="323">T1433</f>
        <v>12.6</v>
      </c>
      <c r="U1432" s="85">
        <f t="shared" si="302"/>
        <v>12.6</v>
      </c>
    </row>
    <row r="1433" spans="1:22" ht="33">
      <c r="A1433" s="61" t="str">
        <f t="shared" ca="1" si="322"/>
        <v>Иные закупки товаров, работ и услуг для обеспечения муниципальных нужд</v>
      </c>
      <c r="B1433" s="145">
        <v>810</v>
      </c>
      <c r="C1433" s="8" t="s">
        <v>188</v>
      </c>
      <c r="D1433" s="8" t="s">
        <v>217</v>
      </c>
      <c r="E1433" s="145" t="s">
        <v>405</v>
      </c>
      <c r="F1433" s="145">
        <v>240</v>
      </c>
      <c r="G1433" s="69"/>
      <c r="H1433" s="69"/>
      <c r="I1433" s="69"/>
      <c r="J1433" s="69"/>
      <c r="K1433" s="85"/>
      <c r="L1433" s="13"/>
      <c r="M1433" s="85"/>
      <c r="N1433" s="13"/>
      <c r="O1433" s="85"/>
      <c r="P1433" s="13"/>
      <c r="Q1433" s="85"/>
      <c r="R1433" s="13"/>
      <c r="S1433" s="85"/>
      <c r="T1433" s="13">
        <f>T1434</f>
        <v>12.6</v>
      </c>
      <c r="U1433" s="85">
        <f t="shared" si="302"/>
        <v>12.6</v>
      </c>
    </row>
    <row r="1434" spans="1:22" ht="33">
      <c r="A1434" s="61" t="str">
        <f t="shared" ca="1" si="322"/>
        <v xml:space="preserve">Прочая закупка товаров, работ и услуг для обеспечения муниципальных нужд         </v>
      </c>
      <c r="B1434" s="145">
        <v>810</v>
      </c>
      <c r="C1434" s="8" t="s">
        <v>188</v>
      </c>
      <c r="D1434" s="8" t="s">
        <v>217</v>
      </c>
      <c r="E1434" s="145" t="s">
        <v>405</v>
      </c>
      <c r="F1434" s="145">
        <v>244</v>
      </c>
      <c r="G1434" s="69"/>
      <c r="H1434" s="69"/>
      <c r="I1434" s="69"/>
      <c r="J1434" s="69"/>
      <c r="K1434" s="85"/>
      <c r="L1434" s="13"/>
      <c r="M1434" s="85"/>
      <c r="N1434" s="13"/>
      <c r="O1434" s="85"/>
      <c r="P1434" s="13"/>
      <c r="Q1434" s="85"/>
      <c r="R1434" s="13"/>
      <c r="S1434" s="85"/>
      <c r="T1434" s="13">
        <v>12.6</v>
      </c>
      <c r="U1434" s="85">
        <f t="shared" si="302"/>
        <v>12.6</v>
      </c>
    </row>
    <row r="1435" spans="1:22">
      <c r="A1435" s="61" t="str">
        <f t="shared" ca="1" si="322"/>
        <v>Социальное обеспечение и иные выплаты населению</v>
      </c>
      <c r="B1435" s="145">
        <v>810</v>
      </c>
      <c r="C1435" s="8" t="s">
        <v>188</v>
      </c>
      <c r="D1435" s="8" t="s">
        <v>217</v>
      </c>
      <c r="E1435" s="145" t="s">
        <v>405</v>
      </c>
      <c r="F1435" s="145">
        <v>300</v>
      </c>
      <c r="G1435" s="69">
        <f t="shared" ref="G1435:T1436" si="324">G1436</f>
        <v>5186.5</v>
      </c>
      <c r="H1435" s="69">
        <f t="shared" si="324"/>
        <v>0</v>
      </c>
      <c r="I1435" s="69">
        <f t="shared" si="306"/>
        <v>5186.5</v>
      </c>
      <c r="J1435" s="69">
        <f t="shared" si="324"/>
        <v>0</v>
      </c>
      <c r="K1435" s="85">
        <f t="shared" si="298"/>
        <v>5186.5</v>
      </c>
      <c r="L1435" s="13">
        <f t="shared" si="324"/>
        <v>0</v>
      </c>
      <c r="M1435" s="85">
        <f t="shared" si="320"/>
        <v>5186.5</v>
      </c>
      <c r="N1435" s="13">
        <f t="shared" si="324"/>
        <v>0</v>
      </c>
      <c r="O1435" s="85">
        <f t="shared" si="321"/>
        <v>5186.5</v>
      </c>
      <c r="P1435" s="13">
        <f t="shared" si="324"/>
        <v>0</v>
      </c>
      <c r="Q1435" s="85">
        <f t="shared" si="310"/>
        <v>5186.5</v>
      </c>
      <c r="R1435" s="13">
        <f t="shared" si="324"/>
        <v>2070</v>
      </c>
      <c r="S1435" s="85">
        <f t="shared" si="309"/>
        <v>7256.5</v>
      </c>
      <c r="T1435" s="13">
        <f t="shared" si="324"/>
        <v>-447.80000000000018</v>
      </c>
      <c r="U1435" s="85">
        <f t="shared" si="302"/>
        <v>6808.7</v>
      </c>
    </row>
    <row r="1436" spans="1:22" ht="33">
      <c r="A1436" s="61" t="str">
        <f t="shared" ca="1" si="322"/>
        <v>Социальные выплаты гражданам, кроме публичных нормативных социальных выплат</v>
      </c>
      <c r="B1436" s="145">
        <v>810</v>
      </c>
      <c r="C1436" s="8" t="s">
        <v>188</v>
      </c>
      <c r="D1436" s="8" t="s">
        <v>217</v>
      </c>
      <c r="E1436" s="145" t="s">
        <v>405</v>
      </c>
      <c r="F1436" s="145">
        <v>320</v>
      </c>
      <c r="G1436" s="69">
        <f t="shared" si="324"/>
        <v>5186.5</v>
      </c>
      <c r="H1436" s="69">
        <f t="shared" si="324"/>
        <v>0</v>
      </c>
      <c r="I1436" s="69">
        <f t="shared" si="306"/>
        <v>5186.5</v>
      </c>
      <c r="J1436" s="69">
        <f t="shared" si="324"/>
        <v>0</v>
      </c>
      <c r="K1436" s="85">
        <f t="shared" si="298"/>
        <v>5186.5</v>
      </c>
      <c r="L1436" s="13">
        <f t="shared" si="324"/>
        <v>0</v>
      </c>
      <c r="M1436" s="85">
        <f t="shared" si="320"/>
        <v>5186.5</v>
      </c>
      <c r="N1436" s="13">
        <f t="shared" si="324"/>
        <v>0</v>
      </c>
      <c r="O1436" s="85">
        <f t="shared" si="321"/>
        <v>5186.5</v>
      </c>
      <c r="P1436" s="13">
        <f t="shared" si="324"/>
        <v>0</v>
      </c>
      <c r="Q1436" s="85">
        <f t="shared" si="310"/>
        <v>5186.5</v>
      </c>
      <c r="R1436" s="13">
        <f t="shared" si="324"/>
        <v>2070</v>
      </c>
      <c r="S1436" s="85">
        <f t="shared" si="309"/>
        <v>7256.5</v>
      </c>
      <c r="T1436" s="13">
        <f>T1437+T1438</f>
        <v>-447.80000000000018</v>
      </c>
      <c r="U1436" s="85">
        <f t="shared" ref="U1436:U1509" si="325">S1436+T1436</f>
        <v>6808.7</v>
      </c>
    </row>
    <row r="1437" spans="1:22" ht="33">
      <c r="A1437" s="61" t="str">
        <f t="shared" ca="1" si="322"/>
        <v>Пособия, компенсации и иные социальные выплаты гражданам, кроме публичных нормативных обязательств</v>
      </c>
      <c r="B1437" s="145">
        <v>810</v>
      </c>
      <c r="C1437" s="8" t="s">
        <v>188</v>
      </c>
      <c r="D1437" s="8" t="s">
        <v>217</v>
      </c>
      <c r="E1437" s="145" t="s">
        <v>405</v>
      </c>
      <c r="F1437" s="145">
        <v>321</v>
      </c>
      <c r="G1437" s="69">
        <v>5186.5</v>
      </c>
      <c r="H1437" s="69"/>
      <c r="I1437" s="69">
        <f t="shared" si="306"/>
        <v>5186.5</v>
      </c>
      <c r="J1437" s="69"/>
      <c r="K1437" s="85">
        <f t="shared" si="298"/>
        <v>5186.5</v>
      </c>
      <c r="L1437" s="13"/>
      <c r="M1437" s="85">
        <f t="shared" si="320"/>
        <v>5186.5</v>
      </c>
      <c r="N1437" s="13"/>
      <c r="O1437" s="85">
        <f t="shared" si="321"/>
        <v>5186.5</v>
      </c>
      <c r="P1437" s="13"/>
      <c r="Q1437" s="85">
        <f t="shared" si="310"/>
        <v>5186.5</v>
      </c>
      <c r="R1437" s="13">
        <v>2070</v>
      </c>
      <c r="S1437" s="85">
        <f t="shared" si="309"/>
        <v>7256.5</v>
      </c>
      <c r="T1437" s="13">
        <f>-7256.5</f>
        <v>-7256.5</v>
      </c>
      <c r="U1437" s="85">
        <f t="shared" si="325"/>
        <v>0</v>
      </c>
    </row>
    <row r="1438" spans="1:22" ht="33">
      <c r="A1438" s="61" t="str">
        <f t="shared" ca="1" si="322"/>
        <v>Приобретение товаров, работ, услуг в пользу граждан в целях их социального обеспечения</v>
      </c>
      <c r="B1438" s="145">
        <v>810</v>
      </c>
      <c r="C1438" s="8" t="s">
        <v>188</v>
      </c>
      <c r="D1438" s="8" t="s">
        <v>217</v>
      </c>
      <c r="E1438" s="145" t="s">
        <v>405</v>
      </c>
      <c r="F1438" s="145">
        <v>323</v>
      </c>
      <c r="G1438" s="69"/>
      <c r="H1438" s="69"/>
      <c r="I1438" s="69"/>
      <c r="J1438" s="69"/>
      <c r="K1438" s="85"/>
      <c r="L1438" s="13"/>
      <c r="M1438" s="85"/>
      <c r="N1438" s="13"/>
      <c r="O1438" s="85"/>
      <c r="P1438" s="13"/>
      <c r="Q1438" s="85"/>
      <c r="R1438" s="13"/>
      <c r="S1438" s="85"/>
      <c r="T1438" s="13">
        <f>7243.9-435.2</f>
        <v>6808.7</v>
      </c>
      <c r="U1438" s="85">
        <f t="shared" si="325"/>
        <v>6808.7</v>
      </c>
    </row>
    <row r="1439" spans="1:22" ht="33" hidden="1">
      <c r="A1439" s="61" t="str">
        <f ca="1">IF(ISERROR(MATCH(E1439,Код_КЦСР,0)),"",INDIRECT(ADDRESS(MATCH(E1439,Код_КЦСР,0)+1,2,,,"КЦСР")))</f>
        <v>Выплата вознаграждений лицам, имеющим знак «За особые заслуги перед городом Череповцом»</v>
      </c>
      <c r="B1439" s="145">
        <v>810</v>
      </c>
      <c r="C1439" s="8" t="s">
        <v>188</v>
      </c>
      <c r="D1439" s="8" t="s">
        <v>217</v>
      </c>
      <c r="E1439" s="145" t="s">
        <v>14</v>
      </c>
      <c r="F1439" s="145"/>
      <c r="G1439" s="69"/>
      <c r="H1439" s="69"/>
      <c r="I1439" s="69"/>
      <c r="J1439" s="69"/>
      <c r="K1439" s="85"/>
      <c r="L1439" s="13"/>
      <c r="M1439" s="85"/>
      <c r="N1439" s="13"/>
      <c r="O1439" s="85"/>
      <c r="P1439" s="13"/>
      <c r="Q1439" s="85"/>
      <c r="R1439" s="13"/>
      <c r="S1439" s="85"/>
      <c r="T1439" s="13"/>
      <c r="U1439" s="85"/>
      <c r="V1439" s="155" t="s">
        <v>715</v>
      </c>
    </row>
    <row r="1440" spans="1:22" ht="58.5" hidden="1" customHeight="1">
      <c r="A1440" s="61" t="str">
        <f ca="1">IF(ISERROR(MATCH(E1440,Код_КЦСР,0)),"",INDIRECT(ADDRESS(MATCH(E1440,Код_КЦСР,0)+1,2,,,"КЦСР")))</f>
        <v>Выплата вознаграждений лицам, имеющим знак «За особые заслуги перед городом Череповцом» в соответствии с постановлением Череповецкой городской Думы от 27.09.2005 № 88</v>
      </c>
      <c r="B1440" s="145">
        <v>810</v>
      </c>
      <c r="C1440" s="8" t="s">
        <v>188</v>
      </c>
      <c r="D1440" s="8" t="s">
        <v>217</v>
      </c>
      <c r="E1440" s="145" t="s">
        <v>16</v>
      </c>
      <c r="F1440" s="145"/>
      <c r="G1440" s="69"/>
      <c r="H1440" s="69"/>
      <c r="I1440" s="69"/>
      <c r="J1440" s="69"/>
      <c r="K1440" s="85"/>
      <c r="L1440" s="13"/>
      <c r="M1440" s="85"/>
      <c r="N1440" s="13"/>
      <c r="O1440" s="85"/>
      <c r="P1440" s="13"/>
      <c r="Q1440" s="85"/>
      <c r="R1440" s="13"/>
      <c r="S1440" s="85"/>
      <c r="T1440" s="13"/>
      <c r="U1440" s="85"/>
      <c r="V1440" s="155" t="s">
        <v>715</v>
      </c>
    </row>
    <row r="1441" spans="1:22" hidden="1">
      <c r="A1441" s="61" t="str">
        <f ca="1">IF(ISERROR(MATCH(F1441,Код_КВР,0)),"",INDIRECT(ADDRESS(MATCH(F1441,Код_КВР,0)+1,2,,,"КВР")))</f>
        <v>Закупка товаров, работ и услуг для муниципальных нужд</v>
      </c>
      <c r="B1441" s="145">
        <v>810</v>
      </c>
      <c r="C1441" s="8" t="s">
        <v>188</v>
      </c>
      <c r="D1441" s="8" t="s">
        <v>217</v>
      </c>
      <c r="E1441" s="145" t="s">
        <v>660</v>
      </c>
      <c r="F1441" s="145">
        <v>200</v>
      </c>
      <c r="G1441" s="69"/>
      <c r="H1441" s="69"/>
      <c r="I1441" s="69"/>
      <c r="J1441" s="69"/>
      <c r="K1441" s="85"/>
      <c r="L1441" s="13"/>
      <c r="M1441" s="85"/>
      <c r="N1441" s="13"/>
      <c r="O1441" s="85"/>
      <c r="P1441" s="13"/>
      <c r="Q1441" s="85"/>
      <c r="R1441" s="13"/>
      <c r="S1441" s="85"/>
      <c r="T1441" s="13"/>
      <c r="U1441" s="85"/>
      <c r="V1441" s="155" t="s">
        <v>715</v>
      </c>
    </row>
    <row r="1442" spans="1:22" ht="33" hidden="1">
      <c r="A1442" s="61" t="str">
        <f ca="1">IF(ISERROR(MATCH(F1442,Код_КВР,0)),"",INDIRECT(ADDRESS(MATCH(F1442,Код_КВР,0)+1,2,,,"КВР")))</f>
        <v>Иные закупки товаров, работ и услуг для обеспечения муниципальных нужд</v>
      </c>
      <c r="B1442" s="145">
        <v>810</v>
      </c>
      <c r="C1442" s="8" t="s">
        <v>188</v>
      </c>
      <c r="D1442" s="8" t="s">
        <v>217</v>
      </c>
      <c r="E1442" s="145" t="s">
        <v>660</v>
      </c>
      <c r="F1442" s="145">
        <v>240</v>
      </c>
      <c r="G1442" s="69"/>
      <c r="H1442" s="69"/>
      <c r="I1442" s="69"/>
      <c r="J1442" s="69"/>
      <c r="K1442" s="85"/>
      <c r="L1442" s="13"/>
      <c r="M1442" s="85"/>
      <c r="N1442" s="13"/>
      <c r="O1442" s="85"/>
      <c r="P1442" s="13"/>
      <c r="Q1442" s="85"/>
      <c r="R1442" s="13"/>
      <c r="S1442" s="85"/>
      <c r="T1442" s="13"/>
      <c r="U1442" s="85"/>
      <c r="V1442" s="155" t="s">
        <v>715</v>
      </c>
    </row>
    <row r="1443" spans="1:22" ht="33" hidden="1">
      <c r="A1443" s="61" t="str">
        <f ca="1">IF(ISERROR(MATCH(F1443,Код_КВР,0)),"",INDIRECT(ADDRESS(MATCH(F1443,Код_КВР,0)+1,2,,,"КВР")))</f>
        <v xml:space="preserve">Прочая закупка товаров, работ и услуг для обеспечения муниципальных нужд         </v>
      </c>
      <c r="B1443" s="145">
        <v>810</v>
      </c>
      <c r="C1443" s="8" t="s">
        <v>188</v>
      </c>
      <c r="D1443" s="8" t="s">
        <v>217</v>
      </c>
      <c r="E1443" s="145" t="s">
        <v>660</v>
      </c>
      <c r="F1443" s="145">
        <v>244</v>
      </c>
      <c r="G1443" s="69"/>
      <c r="H1443" s="69"/>
      <c r="I1443" s="69"/>
      <c r="J1443" s="69"/>
      <c r="K1443" s="85"/>
      <c r="L1443" s="13"/>
      <c r="M1443" s="85"/>
      <c r="N1443" s="13"/>
      <c r="O1443" s="85"/>
      <c r="P1443" s="13"/>
      <c r="Q1443" s="85"/>
      <c r="R1443" s="13"/>
      <c r="S1443" s="85"/>
      <c r="T1443" s="13"/>
      <c r="U1443" s="85"/>
      <c r="V1443" s="155" t="s">
        <v>715</v>
      </c>
    </row>
    <row r="1444" spans="1:22" ht="33">
      <c r="A1444" s="61" t="str">
        <f ca="1">IF(ISERROR(MATCH(E1444,Код_КЦСР,0)),"",INDIRECT(ADDRESS(MATCH(E1444,Код_КЦСР,0)+1,2,,,"КЦСР")))</f>
        <v>Непрограммные направления деятельности органов местного самоуправления</v>
      </c>
      <c r="B1444" s="145">
        <v>810</v>
      </c>
      <c r="C1444" s="8" t="s">
        <v>188</v>
      </c>
      <c r="D1444" s="8" t="s">
        <v>217</v>
      </c>
      <c r="E1444" s="145" t="s">
        <v>299</v>
      </c>
      <c r="F1444" s="145"/>
      <c r="G1444" s="69">
        <f>G1445</f>
        <v>42665.600000000006</v>
      </c>
      <c r="H1444" s="69">
        <f>H1445</f>
        <v>0</v>
      </c>
      <c r="I1444" s="69">
        <f t="shared" si="306"/>
        <v>42665.600000000006</v>
      </c>
      <c r="J1444" s="69">
        <f>J1445</f>
        <v>-718.2</v>
      </c>
      <c r="K1444" s="85">
        <f t="shared" si="298"/>
        <v>41947.400000000009</v>
      </c>
      <c r="L1444" s="13">
        <f>L1445</f>
        <v>0</v>
      </c>
      <c r="M1444" s="85">
        <f t="shared" si="320"/>
        <v>41947.400000000009</v>
      </c>
      <c r="N1444" s="13">
        <f>N1445</f>
        <v>0</v>
      </c>
      <c r="O1444" s="85">
        <f t="shared" si="321"/>
        <v>41947.400000000009</v>
      </c>
      <c r="P1444" s="13">
        <f>P1445</f>
        <v>0</v>
      </c>
      <c r="Q1444" s="85">
        <f t="shared" si="310"/>
        <v>41947.400000000009</v>
      </c>
      <c r="R1444" s="13">
        <f>R1445</f>
        <v>2782.1000000000004</v>
      </c>
      <c r="S1444" s="85">
        <f t="shared" si="309"/>
        <v>44729.500000000007</v>
      </c>
      <c r="T1444" s="13">
        <f>T1445</f>
        <v>0</v>
      </c>
      <c r="U1444" s="85">
        <f t="shared" si="325"/>
        <v>44729.500000000007</v>
      </c>
    </row>
    <row r="1445" spans="1:22">
      <c r="A1445" s="61" t="str">
        <f ca="1">IF(ISERROR(MATCH(E1445,Код_КЦСР,0)),"",INDIRECT(ADDRESS(MATCH(E1445,Код_КЦСР,0)+1,2,,,"КЦСР")))</f>
        <v>Расходы, не включенные в муниципальные программы города Череповца</v>
      </c>
      <c r="B1445" s="145">
        <v>810</v>
      </c>
      <c r="C1445" s="8" t="s">
        <v>188</v>
      </c>
      <c r="D1445" s="8" t="s">
        <v>217</v>
      </c>
      <c r="E1445" s="145" t="s">
        <v>301</v>
      </c>
      <c r="F1445" s="145"/>
      <c r="G1445" s="69">
        <f>G1446+G1453+G1459+G1471+G1477</f>
        <v>42665.600000000006</v>
      </c>
      <c r="H1445" s="69">
        <f>H1446+H1453+H1459+H1471+H1477</f>
        <v>0</v>
      </c>
      <c r="I1445" s="69">
        <f t="shared" si="306"/>
        <v>42665.600000000006</v>
      </c>
      <c r="J1445" s="69">
        <f>J1446+J1453+J1459+J1471+J1477</f>
        <v>-718.2</v>
      </c>
      <c r="K1445" s="85">
        <f t="shared" si="298"/>
        <v>41947.400000000009</v>
      </c>
      <c r="L1445" s="13">
        <f>L1446+L1453+L1459+L1471+L1477</f>
        <v>0</v>
      </c>
      <c r="M1445" s="85">
        <f t="shared" si="320"/>
        <v>41947.400000000009</v>
      </c>
      <c r="N1445" s="13">
        <f>N1446+N1453+N1459+N1471+N1477</f>
        <v>0</v>
      </c>
      <c r="O1445" s="85">
        <f t="shared" si="321"/>
        <v>41947.400000000009</v>
      </c>
      <c r="P1445" s="13">
        <f>P1446+P1453+P1459+P1471+P1477</f>
        <v>0</v>
      </c>
      <c r="Q1445" s="85">
        <f t="shared" si="310"/>
        <v>41947.400000000009</v>
      </c>
      <c r="R1445" s="13">
        <f>R1446+R1453+R1459+R1471+R1477</f>
        <v>2782.1000000000004</v>
      </c>
      <c r="S1445" s="85">
        <f t="shared" si="309"/>
        <v>44729.500000000007</v>
      </c>
      <c r="T1445" s="13">
        <f>T1446+T1453+T1459+T1471+T1477</f>
        <v>0</v>
      </c>
      <c r="U1445" s="85">
        <f t="shared" si="325"/>
        <v>44729.500000000007</v>
      </c>
    </row>
    <row r="1446" spans="1:22" ht="33">
      <c r="A1446" s="61" t="str">
        <f ca="1">IF(ISERROR(MATCH(E1446,Код_КЦСР,0)),"",INDIRECT(ADDRESS(MATCH(E1446,Код_КЦСР,0)+1,2,,,"КЦСР")))</f>
        <v>Руководство и управление в сфере установленных функций органов местного самоуправления</v>
      </c>
      <c r="B1446" s="145">
        <v>810</v>
      </c>
      <c r="C1446" s="8" t="s">
        <v>188</v>
      </c>
      <c r="D1446" s="8" t="s">
        <v>217</v>
      </c>
      <c r="E1446" s="145" t="s">
        <v>303</v>
      </c>
      <c r="F1446" s="145"/>
      <c r="G1446" s="69">
        <f>G1447</f>
        <v>15807.9</v>
      </c>
      <c r="H1446" s="69">
        <f>H1447</f>
        <v>0</v>
      </c>
      <c r="I1446" s="69">
        <f t="shared" si="306"/>
        <v>15807.9</v>
      </c>
      <c r="J1446" s="69">
        <f>J1447</f>
        <v>-718.2</v>
      </c>
      <c r="K1446" s="85">
        <f t="shared" si="298"/>
        <v>15089.699999999999</v>
      </c>
      <c r="L1446" s="13">
        <f>L1447</f>
        <v>0</v>
      </c>
      <c r="M1446" s="85">
        <f t="shared" si="320"/>
        <v>15089.699999999999</v>
      </c>
      <c r="N1446" s="13">
        <f>N1447</f>
        <v>0</v>
      </c>
      <c r="O1446" s="85">
        <f t="shared" si="321"/>
        <v>15089.699999999999</v>
      </c>
      <c r="P1446" s="13">
        <f>P1447</f>
        <v>0</v>
      </c>
      <c r="Q1446" s="85">
        <f t="shared" si="310"/>
        <v>15089.699999999999</v>
      </c>
      <c r="R1446" s="13">
        <f>R1447</f>
        <v>-1213.8</v>
      </c>
      <c r="S1446" s="85">
        <f t="shared" si="309"/>
        <v>13875.9</v>
      </c>
      <c r="T1446" s="13">
        <f>T1447</f>
        <v>0</v>
      </c>
      <c r="U1446" s="85">
        <f t="shared" si="325"/>
        <v>13875.9</v>
      </c>
    </row>
    <row r="1447" spans="1:22">
      <c r="A1447" s="61" t="str">
        <f ca="1">IF(ISERROR(MATCH(E1447,Код_КЦСР,0)),"",INDIRECT(ADDRESS(MATCH(E1447,Код_КЦСР,0)+1,2,,,"КЦСР")))</f>
        <v>Центральный аппарат</v>
      </c>
      <c r="B1447" s="145">
        <v>810</v>
      </c>
      <c r="C1447" s="8" t="s">
        <v>188</v>
      </c>
      <c r="D1447" s="8" t="s">
        <v>217</v>
      </c>
      <c r="E1447" s="145" t="s">
        <v>306</v>
      </c>
      <c r="F1447" s="145"/>
      <c r="G1447" s="69">
        <f>G1448+G1450</f>
        <v>15807.9</v>
      </c>
      <c r="H1447" s="69">
        <f>H1448+H1450</f>
        <v>0</v>
      </c>
      <c r="I1447" s="69">
        <f t="shared" si="306"/>
        <v>15807.9</v>
      </c>
      <c r="J1447" s="69">
        <f>J1448+J1450</f>
        <v>-718.2</v>
      </c>
      <c r="K1447" s="85">
        <f t="shared" si="298"/>
        <v>15089.699999999999</v>
      </c>
      <c r="L1447" s="13">
        <f>L1448+L1450</f>
        <v>0</v>
      </c>
      <c r="M1447" s="85">
        <f t="shared" si="320"/>
        <v>15089.699999999999</v>
      </c>
      <c r="N1447" s="13">
        <f>N1448+N1450</f>
        <v>0</v>
      </c>
      <c r="O1447" s="85">
        <f t="shared" si="321"/>
        <v>15089.699999999999</v>
      </c>
      <c r="P1447" s="13">
        <f>P1448+P1450</f>
        <v>0</v>
      </c>
      <c r="Q1447" s="85">
        <f t="shared" si="310"/>
        <v>15089.699999999999</v>
      </c>
      <c r="R1447" s="13">
        <f>R1448+R1450</f>
        <v>-1213.8</v>
      </c>
      <c r="S1447" s="85">
        <f t="shared" si="309"/>
        <v>13875.9</v>
      </c>
      <c r="T1447" s="13">
        <f>T1448+T1450</f>
        <v>0</v>
      </c>
      <c r="U1447" s="85">
        <f t="shared" si="325"/>
        <v>13875.9</v>
      </c>
    </row>
    <row r="1448" spans="1:22" ht="33">
      <c r="A1448" s="61" t="str">
        <f ca="1">IF(ISERROR(MATCH(F1448,Код_КВР,0)),"",INDIRECT(ADDRESS(MATCH(F1448,Код_КВР,0)+1,2,,,"КВР")))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48" s="145">
        <v>810</v>
      </c>
      <c r="C1448" s="8" t="s">
        <v>188</v>
      </c>
      <c r="D1448" s="8" t="s">
        <v>217</v>
      </c>
      <c r="E1448" s="145" t="s">
        <v>306</v>
      </c>
      <c r="F1448" s="145">
        <v>100</v>
      </c>
      <c r="G1448" s="69">
        <f>G1449</f>
        <v>14842.3</v>
      </c>
      <c r="H1448" s="69">
        <f>H1449</f>
        <v>0</v>
      </c>
      <c r="I1448" s="69">
        <f t="shared" si="306"/>
        <v>14842.3</v>
      </c>
      <c r="J1448" s="69">
        <f>J1449</f>
        <v>0</v>
      </c>
      <c r="K1448" s="85">
        <f t="shared" si="298"/>
        <v>14842.3</v>
      </c>
      <c r="L1448" s="13">
        <f>L1449</f>
        <v>0</v>
      </c>
      <c r="M1448" s="85">
        <f t="shared" si="320"/>
        <v>14842.3</v>
      </c>
      <c r="N1448" s="13">
        <f>N1449</f>
        <v>0</v>
      </c>
      <c r="O1448" s="85">
        <f t="shared" si="321"/>
        <v>14842.3</v>
      </c>
      <c r="P1448" s="13">
        <f>P1449</f>
        <v>0</v>
      </c>
      <c r="Q1448" s="85">
        <f t="shared" si="310"/>
        <v>14842.3</v>
      </c>
      <c r="R1448" s="13">
        <f>R1449</f>
        <v>-1213.8</v>
      </c>
      <c r="S1448" s="85">
        <f t="shared" si="309"/>
        <v>13628.5</v>
      </c>
      <c r="T1448" s="13">
        <f>T1449</f>
        <v>0</v>
      </c>
      <c r="U1448" s="85">
        <f t="shared" si="325"/>
        <v>13628.5</v>
      </c>
    </row>
    <row r="1449" spans="1:22">
      <c r="A1449" s="61" t="str">
        <f ca="1">IF(ISERROR(MATCH(F1449,Код_КВР,0)),"",INDIRECT(ADDRESS(MATCH(F1449,Код_КВР,0)+1,2,,,"КВР")))</f>
        <v>Расходы на выплаты персоналу муниципальных органов</v>
      </c>
      <c r="B1449" s="145">
        <v>810</v>
      </c>
      <c r="C1449" s="8" t="s">
        <v>188</v>
      </c>
      <c r="D1449" s="8" t="s">
        <v>217</v>
      </c>
      <c r="E1449" s="145" t="s">
        <v>306</v>
      </c>
      <c r="F1449" s="145">
        <v>120</v>
      </c>
      <c r="G1449" s="69">
        <v>14842.3</v>
      </c>
      <c r="H1449" s="69"/>
      <c r="I1449" s="69">
        <f t="shared" si="306"/>
        <v>14842.3</v>
      </c>
      <c r="J1449" s="69"/>
      <c r="K1449" s="85">
        <f t="shared" si="298"/>
        <v>14842.3</v>
      </c>
      <c r="L1449" s="13"/>
      <c r="M1449" s="85">
        <f t="shared" si="320"/>
        <v>14842.3</v>
      </c>
      <c r="N1449" s="13"/>
      <c r="O1449" s="85">
        <f t="shared" si="321"/>
        <v>14842.3</v>
      </c>
      <c r="P1449" s="13"/>
      <c r="Q1449" s="85">
        <f t="shared" si="310"/>
        <v>14842.3</v>
      </c>
      <c r="R1449" s="13">
        <v>-1213.8</v>
      </c>
      <c r="S1449" s="85">
        <f t="shared" si="309"/>
        <v>13628.5</v>
      </c>
      <c r="T1449" s="13"/>
      <c r="U1449" s="85">
        <f t="shared" si="325"/>
        <v>13628.5</v>
      </c>
    </row>
    <row r="1450" spans="1:22">
      <c r="A1450" s="61" t="str">
        <f ca="1">IF(ISERROR(MATCH(F1450,Код_КВР,0)),"",INDIRECT(ADDRESS(MATCH(F1450,Код_КВР,0)+1,2,,,"КВР")))</f>
        <v>Закупка товаров, работ и услуг для муниципальных нужд</v>
      </c>
      <c r="B1450" s="145">
        <v>810</v>
      </c>
      <c r="C1450" s="8" t="s">
        <v>188</v>
      </c>
      <c r="D1450" s="8" t="s">
        <v>217</v>
      </c>
      <c r="E1450" s="145" t="s">
        <v>306</v>
      </c>
      <c r="F1450" s="145">
        <v>200</v>
      </c>
      <c r="G1450" s="69">
        <f>G1451</f>
        <v>965.6</v>
      </c>
      <c r="H1450" s="69">
        <f>H1451</f>
        <v>0</v>
      </c>
      <c r="I1450" s="69">
        <f t="shared" si="306"/>
        <v>965.6</v>
      </c>
      <c r="J1450" s="69">
        <f>J1451</f>
        <v>-718.2</v>
      </c>
      <c r="K1450" s="85">
        <f t="shared" si="298"/>
        <v>247.39999999999998</v>
      </c>
      <c r="L1450" s="13">
        <f>L1451</f>
        <v>0</v>
      </c>
      <c r="M1450" s="85">
        <f t="shared" si="320"/>
        <v>247.39999999999998</v>
      </c>
      <c r="N1450" s="13">
        <f>N1451</f>
        <v>0</v>
      </c>
      <c r="O1450" s="85">
        <f t="shared" si="321"/>
        <v>247.39999999999998</v>
      </c>
      <c r="P1450" s="13">
        <f>P1451</f>
        <v>0</v>
      </c>
      <c r="Q1450" s="85">
        <f t="shared" si="310"/>
        <v>247.39999999999998</v>
      </c>
      <c r="R1450" s="13">
        <f>R1451</f>
        <v>0</v>
      </c>
      <c r="S1450" s="85">
        <f t="shared" si="309"/>
        <v>247.39999999999998</v>
      </c>
      <c r="T1450" s="13">
        <f>T1451</f>
        <v>0</v>
      </c>
      <c r="U1450" s="85">
        <f t="shared" si="325"/>
        <v>247.39999999999998</v>
      </c>
    </row>
    <row r="1451" spans="1:22" ht="33">
      <c r="A1451" s="61" t="str">
        <f ca="1">IF(ISERROR(MATCH(F1451,Код_КВР,0)),"",INDIRECT(ADDRESS(MATCH(F1451,Код_КВР,0)+1,2,,,"КВР")))</f>
        <v>Иные закупки товаров, работ и услуг для обеспечения муниципальных нужд</v>
      </c>
      <c r="B1451" s="145">
        <v>810</v>
      </c>
      <c r="C1451" s="8" t="s">
        <v>188</v>
      </c>
      <c r="D1451" s="8" t="s">
        <v>217</v>
      </c>
      <c r="E1451" s="145" t="s">
        <v>306</v>
      </c>
      <c r="F1451" s="145">
        <v>240</v>
      </c>
      <c r="G1451" s="69">
        <f>G1452</f>
        <v>965.6</v>
      </c>
      <c r="H1451" s="69">
        <f>H1452</f>
        <v>0</v>
      </c>
      <c r="I1451" s="69">
        <f t="shared" si="306"/>
        <v>965.6</v>
      </c>
      <c r="J1451" s="69">
        <f>J1452</f>
        <v>-718.2</v>
      </c>
      <c r="K1451" s="85">
        <f t="shared" ref="K1451:K1550" si="326">I1451+J1451</f>
        <v>247.39999999999998</v>
      </c>
      <c r="L1451" s="13">
        <f>L1452</f>
        <v>0</v>
      </c>
      <c r="M1451" s="85">
        <f t="shared" si="320"/>
        <v>247.39999999999998</v>
      </c>
      <c r="N1451" s="13">
        <f>N1452</f>
        <v>0</v>
      </c>
      <c r="O1451" s="85">
        <f t="shared" si="321"/>
        <v>247.39999999999998</v>
      </c>
      <c r="P1451" s="13">
        <f>P1452</f>
        <v>0</v>
      </c>
      <c r="Q1451" s="85">
        <f t="shared" si="310"/>
        <v>247.39999999999998</v>
      </c>
      <c r="R1451" s="13">
        <f>R1452</f>
        <v>0</v>
      </c>
      <c r="S1451" s="85">
        <f t="shared" si="309"/>
        <v>247.39999999999998</v>
      </c>
      <c r="T1451" s="13">
        <f>T1452</f>
        <v>0</v>
      </c>
      <c r="U1451" s="85">
        <f t="shared" si="325"/>
        <v>247.39999999999998</v>
      </c>
    </row>
    <row r="1452" spans="1:22" ht="33">
      <c r="A1452" s="61" t="str">
        <f ca="1">IF(ISERROR(MATCH(F1452,Код_КВР,0)),"",INDIRECT(ADDRESS(MATCH(F1452,Код_КВР,0)+1,2,,,"КВР")))</f>
        <v xml:space="preserve">Прочая закупка товаров, работ и услуг для обеспечения муниципальных нужд         </v>
      </c>
      <c r="B1452" s="145">
        <v>810</v>
      </c>
      <c r="C1452" s="8" t="s">
        <v>188</v>
      </c>
      <c r="D1452" s="8" t="s">
        <v>217</v>
      </c>
      <c r="E1452" s="145" t="s">
        <v>306</v>
      </c>
      <c r="F1452" s="145">
        <v>244</v>
      </c>
      <c r="G1452" s="69">
        <v>965.6</v>
      </c>
      <c r="H1452" s="69"/>
      <c r="I1452" s="69">
        <f t="shared" si="306"/>
        <v>965.6</v>
      </c>
      <c r="J1452" s="69">
        <f>-370.2-348</f>
        <v>-718.2</v>
      </c>
      <c r="K1452" s="85">
        <f t="shared" si="326"/>
        <v>247.39999999999998</v>
      </c>
      <c r="L1452" s="13"/>
      <c r="M1452" s="85">
        <f t="shared" si="320"/>
        <v>247.39999999999998</v>
      </c>
      <c r="N1452" s="13"/>
      <c r="O1452" s="85">
        <f t="shared" si="321"/>
        <v>247.39999999999998</v>
      </c>
      <c r="P1452" s="13"/>
      <c r="Q1452" s="85">
        <f t="shared" si="310"/>
        <v>247.39999999999998</v>
      </c>
      <c r="R1452" s="13"/>
      <c r="S1452" s="85">
        <f t="shared" si="309"/>
        <v>247.39999999999998</v>
      </c>
      <c r="T1452" s="13"/>
      <c r="U1452" s="85">
        <f t="shared" si="325"/>
        <v>247.39999999999998</v>
      </c>
    </row>
    <row r="1453" spans="1:22" ht="33">
      <c r="A1453" s="61" t="str">
        <f ca="1">IF(ISERROR(MATCH(E1453,Код_КЦСР,0)),"",INDIRECT(ADDRESS(MATCH(E1453,Код_КЦСР,0)+1,2,,,"КЦСР")))</f>
        <v>Оплата жилищно-коммунальных услуг отдельным категориям граждан за счет субвенций из федерального бюджета</v>
      </c>
      <c r="B1453" s="145">
        <v>810</v>
      </c>
      <c r="C1453" s="8" t="s">
        <v>188</v>
      </c>
      <c r="D1453" s="8" t="s">
        <v>217</v>
      </c>
      <c r="E1453" s="145" t="s">
        <v>401</v>
      </c>
      <c r="F1453" s="145"/>
      <c r="G1453" s="69">
        <f>G1454</f>
        <v>1390</v>
      </c>
      <c r="H1453" s="69">
        <f>H1454</f>
        <v>0</v>
      </c>
      <c r="I1453" s="69">
        <f t="shared" si="306"/>
        <v>1390</v>
      </c>
      <c r="J1453" s="69">
        <f>J1454+J1456</f>
        <v>0</v>
      </c>
      <c r="K1453" s="85">
        <f t="shared" si="326"/>
        <v>1390</v>
      </c>
      <c r="L1453" s="13">
        <f>L1454+L1456</f>
        <v>0</v>
      </c>
      <c r="M1453" s="85">
        <f t="shared" si="320"/>
        <v>1390</v>
      </c>
      <c r="N1453" s="13">
        <f>N1454+N1456</f>
        <v>0</v>
      </c>
      <c r="O1453" s="85">
        <f t="shared" si="321"/>
        <v>1390</v>
      </c>
      <c r="P1453" s="13">
        <f>P1454+P1456</f>
        <v>0</v>
      </c>
      <c r="Q1453" s="85">
        <f t="shared" si="310"/>
        <v>1390</v>
      </c>
      <c r="R1453" s="13">
        <f>R1454+R1456</f>
        <v>0</v>
      </c>
      <c r="S1453" s="85">
        <f t="shared" si="309"/>
        <v>1390</v>
      </c>
      <c r="T1453" s="13">
        <f>T1454+T1456</f>
        <v>0</v>
      </c>
      <c r="U1453" s="85">
        <f t="shared" si="325"/>
        <v>1390</v>
      </c>
    </row>
    <row r="1454" spans="1:22" ht="33">
      <c r="A1454" s="61" t="str">
        <f ca="1">IF(ISERROR(MATCH(F1454,Код_КВР,0)),"",INDIRECT(ADDRESS(MATCH(F1454,Код_КВР,0)+1,2,,,"КВР")))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54" s="145">
        <v>810</v>
      </c>
      <c r="C1454" s="8" t="s">
        <v>188</v>
      </c>
      <c r="D1454" s="8" t="s">
        <v>217</v>
      </c>
      <c r="E1454" s="145" t="s">
        <v>401</v>
      </c>
      <c r="F1454" s="145">
        <v>100</v>
      </c>
      <c r="G1454" s="69">
        <f>G1455</f>
        <v>1390</v>
      </c>
      <c r="H1454" s="69">
        <f>H1455</f>
        <v>0</v>
      </c>
      <c r="I1454" s="69">
        <f t="shared" si="306"/>
        <v>1390</v>
      </c>
      <c r="J1454" s="69">
        <f>J1455</f>
        <v>-435</v>
      </c>
      <c r="K1454" s="85">
        <f t="shared" si="326"/>
        <v>955</v>
      </c>
      <c r="L1454" s="13">
        <f>L1455</f>
        <v>0</v>
      </c>
      <c r="M1454" s="85">
        <f t="shared" si="320"/>
        <v>955</v>
      </c>
      <c r="N1454" s="13">
        <f>N1455</f>
        <v>0</v>
      </c>
      <c r="O1454" s="85">
        <f t="shared" si="321"/>
        <v>955</v>
      </c>
      <c r="P1454" s="13">
        <f>P1455</f>
        <v>0</v>
      </c>
      <c r="Q1454" s="85">
        <f t="shared" si="310"/>
        <v>955</v>
      </c>
      <c r="R1454" s="13">
        <f>R1455</f>
        <v>0</v>
      </c>
      <c r="S1454" s="85">
        <f t="shared" si="309"/>
        <v>955</v>
      </c>
      <c r="T1454" s="13">
        <f>T1455</f>
        <v>0</v>
      </c>
      <c r="U1454" s="85">
        <f t="shared" si="325"/>
        <v>955</v>
      </c>
    </row>
    <row r="1455" spans="1:22">
      <c r="A1455" s="61" t="str">
        <f ca="1">IF(ISERROR(MATCH(F1455,Код_КВР,0)),"",INDIRECT(ADDRESS(MATCH(F1455,Код_КВР,0)+1,2,,,"КВР")))</f>
        <v>Расходы на выплаты персоналу муниципальных органов</v>
      </c>
      <c r="B1455" s="145">
        <v>810</v>
      </c>
      <c r="C1455" s="8" t="s">
        <v>188</v>
      </c>
      <c r="D1455" s="8" t="s">
        <v>217</v>
      </c>
      <c r="E1455" s="145" t="s">
        <v>401</v>
      </c>
      <c r="F1455" s="145">
        <v>120</v>
      </c>
      <c r="G1455" s="69">
        <v>1390</v>
      </c>
      <c r="H1455" s="69"/>
      <c r="I1455" s="69">
        <f t="shared" si="306"/>
        <v>1390</v>
      </c>
      <c r="J1455" s="69">
        <v>-435</v>
      </c>
      <c r="K1455" s="85">
        <f t="shared" si="326"/>
        <v>955</v>
      </c>
      <c r="L1455" s="13"/>
      <c r="M1455" s="85">
        <f t="shared" si="320"/>
        <v>955</v>
      </c>
      <c r="N1455" s="13"/>
      <c r="O1455" s="85">
        <f t="shared" si="321"/>
        <v>955</v>
      </c>
      <c r="P1455" s="13"/>
      <c r="Q1455" s="85">
        <f t="shared" si="310"/>
        <v>955</v>
      </c>
      <c r="R1455" s="13"/>
      <c r="S1455" s="85">
        <f t="shared" si="309"/>
        <v>955</v>
      </c>
      <c r="T1455" s="13"/>
      <c r="U1455" s="85">
        <f t="shared" si="325"/>
        <v>955</v>
      </c>
    </row>
    <row r="1456" spans="1:22">
      <c r="A1456" s="61" t="str">
        <f ca="1">IF(ISERROR(MATCH(F1456,Код_КВР,0)),"",INDIRECT(ADDRESS(MATCH(F1456,Код_КВР,0)+1,2,,,"КВР")))</f>
        <v>Закупка товаров, работ и услуг для муниципальных нужд</v>
      </c>
      <c r="B1456" s="145">
        <v>810</v>
      </c>
      <c r="C1456" s="8" t="s">
        <v>188</v>
      </c>
      <c r="D1456" s="8" t="s">
        <v>217</v>
      </c>
      <c r="E1456" s="145" t="s">
        <v>401</v>
      </c>
      <c r="F1456" s="145">
        <v>200</v>
      </c>
      <c r="G1456" s="69"/>
      <c r="H1456" s="69"/>
      <c r="I1456" s="69"/>
      <c r="J1456" s="69">
        <f>J1457</f>
        <v>435</v>
      </c>
      <c r="K1456" s="85">
        <f t="shared" si="326"/>
        <v>435</v>
      </c>
      <c r="L1456" s="13">
        <f>L1457</f>
        <v>0</v>
      </c>
      <c r="M1456" s="85">
        <f t="shared" si="320"/>
        <v>435</v>
      </c>
      <c r="N1456" s="13">
        <f>N1457</f>
        <v>0</v>
      </c>
      <c r="O1456" s="85">
        <f t="shared" si="321"/>
        <v>435</v>
      </c>
      <c r="P1456" s="13">
        <f>P1457</f>
        <v>0</v>
      </c>
      <c r="Q1456" s="85">
        <f t="shared" si="310"/>
        <v>435</v>
      </c>
      <c r="R1456" s="13">
        <f>R1457</f>
        <v>0</v>
      </c>
      <c r="S1456" s="85">
        <f t="shared" si="309"/>
        <v>435</v>
      </c>
      <c r="T1456" s="13">
        <f>T1457</f>
        <v>0</v>
      </c>
      <c r="U1456" s="85">
        <f t="shared" si="325"/>
        <v>435</v>
      </c>
    </row>
    <row r="1457" spans="1:21" ht="33">
      <c r="A1457" s="61" t="str">
        <f ca="1">IF(ISERROR(MATCH(F1457,Код_КВР,0)),"",INDIRECT(ADDRESS(MATCH(F1457,Код_КВР,0)+1,2,,,"КВР")))</f>
        <v>Иные закупки товаров, работ и услуг для обеспечения муниципальных нужд</v>
      </c>
      <c r="B1457" s="145">
        <v>810</v>
      </c>
      <c r="C1457" s="8" t="s">
        <v>188</v>
      </c>
      <c r="D1457" s="8" t="s">
        <v>217</v>
      </c>
      <c r="E1457" s="145" t="s">
        <v>401</v>
      </c>
      <c r="F1457" s="145">
        <v>240</v>
      </c>
      <c r="G1457" s="69"/>
      <c r="H1457" s="69"/>
      <c r="I1457" s="69"/>
      <c r="J1457" s="69">
        <f>J1458</f>
        <v>435</v>
      </c>
      <c r="K1457" s="85">
        <f t="shared" si="326"/>
        <v>435</v>
      </c>
      <c r="L1457" s="13">
        <f>L1458</f>
        <v>0</v>
      </c>
      <c r="M1457" s="85">
        <f t="shared" si="320"/>
        <v>435</v>
      </c>
      <c r="N1457" s="13">
        <f>N1458</f>
        <v>0</v>
      </c>
      <c r="O1457" s="85">
        <f t="shared" si="321"/>
        <v>435</v>
      </c>
      <c r="P1457" s="13">
        <f>P1458</f>
        <v>0</v>
      </c>
      <c r="Q1457" s="85">
        <f t="shared" si="310"/>
        <v>435</v>
      </c>
      <c r="R1457" s="13">
        <f>R1458</f>
        <v>0</v>
      </c>
      <c r="S1457" s="85">
        <f t="shared" si="309"/>
        <v>435</v>
      </c>
      <c r="T1457" s="13">
        <f>T1458</f>
        <v>0</v>
      </c>
      <c r="U1457" s="85">
        <f t="shared" si="325"/>
        <v>435</v>
      </c>
    </row>
    <row r="1458" spans="1:21" ht="33">
      <c r="A1458" s="61" t="str">
        <f ca="1">IF(ISERROR(MATCH(F1458,Код_КВР,0)),"",INDIRECT(ADDRESS(MATCH(F1458,Код_КВР,0)+1,2,,,"КВР")))</f>
        <v xml:space="preserve">Прочая закупка товаров, работ и услуг для обеспечения муниципальных нужд         </v>
      </c>
      <c r="B1458" s="145">
        <v>810</v>
      </c>
      <c r="C1458" s="8" t="s">
        <v>188</v>
      </c>
      <c r="D1458" s="8" t="s">
        <v>217</v>
      </c>
      <c r="E1458" s="145" t="s">
        <v>401</v>
      </c>
      <c r="F1458" s="145">
        <v>244</v>
      </c>
      <c r="G1458" s="69"/>
      <c r="H1458" s="69"/>
      <c r="I1458" s="69"/>
      <c r="J1458" s="69">
        <v>435</v>
      </c>
      <c r="K1458" s="85">
        <f t="shared" si="326"/>
        <v>435</v>
      </c>
      <c r="L1458" s="13"/>
      <c r="M1458" s="85">
        <f t="shared" si="320"/>
        <v>435</v>
      </c>
      <c r="N1458" s="13"/>
      <c r="O1458" s="85">
        <f t="shared" si="321"/>
        <v>435</v>
      </c>
      <c r="P1458" s="13"/>
      <c r="Q1458" s="85">
        <f t="shared" si="310"/>
        <v>435</v>
      </c>
      <c r="R1458" s="13"/>
      <c r="S1458" s="85">
        <f t="shared" si="309"/>
        <v>435</v>
      </c>
      <c r="T1458" s="13"/>
      <c r="U1458" s="85">
        <f t="shared" si="325"/>
        <v>435</v>
      </c>
    </row>
    <row r="1459" spans="1:21" ht="82.5">
      <c r="A1459" s="61" t="str">
        <f ca="1">IF(ISERROR(MATCH(E1459,Код_КЦСР,0)),"",INDIRECT(ADDRESS(MATCH(E1459,Код_КЦСР,0)+1,2,,,"КЦСР")))</f>
        <v>Осуществление отдельных государственных полномочий в соответствии с законом области от 17 декабря 2007 года № 1718-ОЗ «О наделении органов местного самоуправления отдельными государственными полномочиями в сфере социальной защиты населения области» за счет субвенций из областного бюджета</v>
      </c>
      <c r="B1459" s="145">
        <v>810</v>
      </c>
      <c r="C1459" s="8" t="s">
        <v>188</v>
      </c>
      <c r="D1459" s="8" t="s">
        <v>217</v>
      </c>
      <c r="E1459" s="145" t="s">
        <v>399</v>
      </c>
      <c r="F1459" s="145"/>
      <c r="G1459" s="69">
        <f>G1460+G1462</f>
        <v>21882.500000000004</v>
      </c>
      <c r="H1459" s="69">
        <f>H1460+H1462</f>
        <v>0</v>
      </c>
      <c r="I1459" s="69">
        <f t="shared" si="306"/>
        <v>21882.500000000004</v>
      </c>
      <c r="J1459" s="69">
        <f>J1460+J1462+J1465</f>
        <v>0</v>
      </c>
      <c r="K1459" s="85">
        <f t="shared" si="326"/>
        <v>21882.500000000004</v>
      </c>
      <c r="L1459" s="13">
        <f>L1460+L1462+L1465</f>
        <v>0</v>
      </c>
      <c r="M1459" s="85">
        <f t="shared" si="320"/>
        <v>21882.500000000004</v>
      </c>
      <c r="N1459" s="13">
        <f>N1460+N1462+N1465</f>
        <v>0</v>
      </c>
      <c r="O1459" s="85">
        <f t="shared" si="321"/>
        <v>21882.500000000004</v>
      </c>
      <c r="P1459" s="13">
        <f>P1460+P1462+P1465</f>
        <v>0</v>
      </c>
      <c r="Q1459" s="85">
        <f t="shared" si="310"/>
        <v>21882.500000000004</v>
      </c>
      <c r="R1459" s="13">
        <f>R1460+R1462+R1465</f>
        <v>4672.6000000000004</v>
      </c>
      <c r="S1459" s="85">
        <f t="shared" si="309"/>
        <v>26555.100000000006</v>
      </c>
      <c r="T1459" s="13">
        <f>T1460+T1462+T1465</f>
        <v>0</v>
      </c>
      <c r="U1459" s="85">
        <f t="shared" si="325"/>
        <v>26555.100000000006</v>
      </c>
    </row>
    <row r="1460" spans="1:21" ht="33">
      <c r="A1460" s="61" t="str">
        <f ca="1">IF(ISERROR(MATCH(F1460,Код_КВР,0)),"",INDIRECT(ADDRESS(MATCH(F1460,Код_КВР,0)+1,2,,,"КВР")))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60" s="145">
        <v>810</v>
      </c>
      <c r="C1460" s="8" t="s">
        <v>188</v>
      </c>
      <c r="D1460" s="8" t="s">
        <v>217</v>
      </c>
      <c r="E1460" s="145" t="s">
        <v>399</v>
      </c>
      <c r="F1460" s="145">
        <v>100</v>
      </c>
      <c r="G1460" s="69">
        <f>G1461</f>
        <v>20191.300000000003</v>
      </c>
      <c r="H1460" s="69">
        <f>H1461</f>
        <v>0</v>
      </c>
      <c r="I1460" s="69">
        <f t="shared" si="306"/>
        <v>20191.300000000003</v>
      </c>
      <c r="J1460" s="69">
        <f>J1461</f>
        <v>7.5</v>
      </c>
      <c r="K1460" s="85">
        <f t="shared" si="326"/>
        <v>20198.800000000003</v>
      </c>
      <c r="L1460" s="13">
        <f>L1461</f>
        <v>0</v>
      </c>
      <c r="M1460" s="85">
        <f t="shared" si="320"/>
        <v>20198.800000000003</v>
      </c>
      <c r="N1460" s="13">
        <f>N1461</f>
        <v>0</v>
      </c>
      <c r="O1460" s="85">
        <f t="shared" si="321"/>
        <v>20198.800000000003</v>
      </c>
      <c r="P1460" s="13">
        <f>P1461</f>
        <v>0</v>
      </c>
      <c r="Q1460" s="85">
        <f t="shared" si="310"/>
        <v>20198.800000000003</v>
      </c>
      <c r="R1460" s="13">
        <f>R1461</f>
        <v>3240.9</v>
      </c>
      <c r="S1460" s="85">
        <f t="shared" si="309"/>
        <v>23439.700000000004</v>
      </c>
      <c r="T1460" s="13">
        <f>T1461</f>
        <v>0</v>
      </c>
      <c r="U1460" s="85">
        <f t="shared" si="325"/>
        <v>23439.700000000004</v>
      </c>
    </row>
    <row r="1461" spans="1:21">
      <c r="A1461" s="61" t="str">
        <f ca="1">IF(ISERROR(MATCH(F1461,Код_КВР,0)),"",INDIRECT(ADDRESS(MATCH(F1461,Код_КВР,0)+1,2,,,"КВР")))</f>
        <v>Расходы на выплаты персоналу муниципальных органов</v>
      </c>
      <c r="B1461" s="145">
        <v>810</v>
      </c>
      <c r="C1461" s="8" t="s">
        <v>188</v>
      </c>
      <c r="D1461" s="8" t="s">
        <v>217</v>
      </c>
      <c r="E1461" s="145" t="s">
        <v>399</v>
      </c>
      <c r="F1461" s="145">
        <v>120</v>
      </c>
      <c r="G1461" s="69">
        <f>20069.9+121.4</f>
        <v>20191.300000000003</v>
      </c>
      <c r="H1461" s="69"/>
      <c r="I1461" s="69">
        <f t="shared" si="306"/>
        <v>20191.300000000003</v>
      </c>
      <c r="J1461" s="69">
        <v>7.5</v>
      </c>
      <c r="K1461" s="85">
        <f t="shared" si="326"/>
        <v>20198.800000000003</v>
      </c>
      <c r="L1461" s="13"/>
      <c r="M1461" s="85">
        <f t="shared" si="320"/>
        <v>20198.800000000003</v>
      </c>
      <c r="N1461" s="13"/>
      <c r="O1461" s="85">
        <f t="shared" si="321"/>
        <v>20198.800000000003</v>
      </c>
      <c r="P1461" s="13"/>
      <c r="Q1461" s="85">
        <f t="shared" si="310"/>
        <v>20198.800000000003</v>
      </c>
      <c r="R1461" s="13">
        <f>953.1+287.8+2000</f>
        <v>3240.9</v>
      </c>
      <c r="S1461" s="85">
        <f t="shared" si="309"/>
        <v>23439.700000000004</v>
      </c>
      <c r="T1461" s="13"/>
      <c r="U1461" s="85">
        <f t="shared" si="325"/>
        <v>23439.700000000004</v>
      </c>
    </row>
    <row r="1462" spans="1:21">
      <c r="A1462" s="61" t="str">
        <f ca="1">IF(ISERROR(MATCH(F1462,Код_КВР,0)),"",INDIRECT(ADDRESS(MATCH(F1462,Код_КВР,0)+1,2,,,"КВР")))</f>
        <v>Закупка товаров, работ и услуг для муниципальных нужд</v>
      </c>
      <c r="B1462" s="145">
        <v>810</v>
      </c>
      <c r="C1462" s="8" t="s">
        <v>188</v>
      </c>
      <c r="D1462" s="8" t="s">
        <v>217</v>
      </c>
      <c r="E1462" s="145" t="s">
        <v>399</v>
      </c>
      <c r="F1462" s="145">
        <v>200</v>
      </c>
      <c r="G1462" s="69">
        <f>G1463</f>
        <v>1691.1999999999998</v>
      </c>
      <c r="H1462" s="69">
        <f>H1463</f>
        <v>0</v>
      </c>
      <c r="I1462" s="69">
        <f t="shared" si="306"/>
        <v>1691.1999999999998</v>
      </c>
      <c r="J1462" s="69">
        <f>J1463</f>
        <v>-24.9</v>
      </c>
      <c r="K1462" s="85">
        <f t="shared" si="326"/>
        <v>1666.2999999999997</v>
      </c>
      <c r="L1462" s="13">
        <f>L1463</f>
        <v>0</v>
      </c>
      <c r="M1462" s="85">
        <f t="shared" si="320"/>
        <v>1666.2999999999997</v>
      </c>
      <c r="N1462" s="13">
        <f>N1463</f>
        <v>0</v>
      </c>
      <c r="O1462" s="85">
        <f t="shared" si="321"/>
        <v>1666.2999999999997</v>
      </c>
      <c r="P1462" s="13">
        <f>P1463</f>
        <v>0</v>
      </c>
      <c r="Q1462" s="85">
        <f t="shared" si="310"/>
        <v>1666.2999999999997</v>
      </c>
      <c r="R1462" s="13">
        <f>R1463</f>
        <v>1431.4</v>
      </c>
      <c r="S1462" s="85">
        <f t="shared" si="309"/>
        <v>3097.7</v>
      </c>
      <c r="T1462" s="13">
        <f>T1463</f>
        <v>-0.8</v>
      </c>
      <c r="U1462" s="85">
        <f t="shared" si="325"/>
        <v>3096.8999999999996</v>
      </c>
    </row>
    <row r="1463" spans="1:21" ht="33">
      <c r="A1463" s="61" t="str">
        <f ca="1">IF(ISERROR(MATCH(F1463,Код_КВР,0)),"",INDIRECT(ADDRESS(MATCH(F1463,Код_КВР,0)+1,2,,,"КВР")))</f>
        <v>Иные закупки товаров, работ и услуг для обеспечения муниципальных нужд</v>
      </c>
      <c r="B1463" s="145">
        <v>810</v>
      </c>
      <c r="C1463" s="8" t="s">
        <v>188</v>
      </c>
      <c r="D1463" s="8" t="s">
        <v>217</v>
      </c>
      <c r="E1463" s="145" t="s">
        <v>399</v>
      </c>
      <c r="F1463" s="145">
        <v>240</v>
      </c>
      <c r="G1463" s="69">
        <f>G1464</f>
        <v>1691.1999999999998</v>
      </c>
      <c r="H1463" s="69">
        <f>H1464</f>
        <v>0</v>
      </c>
      <c r="I1463" s="69">
        <f t="shared" si="306"/>
        <v>1691.1999999999998</v>
      </c>
      <c r="J1463" s="69">
        <f>J1464</f>
        <v>-24.9</v>
      </c>
      <c r="K1463" s="85">
        <f t="shared" si="326"/>
        <v>1666.2999999999997</v>
      </c>
      <c r="L1463" s="13">
        <f>L1464</f>
        <v>0</v>
      </c>
      <c r="M1463" s="85">
        <f t="shared" si="320"/>
        <v>1666.2999999999997</v>
      </c>
      <c r="N1463" s="13">
        <f>N1464</f>
        <v>0</v>
      </c>
      <c r="O1463" s="85">
        <f t="shared" si="321"/>
        <v>1666.2999999999997</v>
      </c>
      <c r="P1463" s="13">
        <f>P1464</f>
        <v>0</v>
      </c>
      <c r="Q1463" s="85">
        <f t="shared" si="310"/>
        <v>1666.2999999999997</v>
      </c>
      <c r="R1463" s="13">
        <f>R1464</f>
        <v>1431.4</v>
      </c>
      <c r="S1463" s="85">
        <f t="shared" si="309"/>
        <v>3097.7</v>
      </c>
      <c r="T1463" s="13">
        <f>T1464</f>
        <v>-0.8</v>
      </c>
      <c r="U1463" s="85">
        <f t="shared" si="325"/>
        <v>3096.8999999999996</v>
      </c>
    </row>
    <row r="1464" spans="1:21" ht="33">
      <c r="A1464" s="61" t="str">
        <f ca="1">IF(ISERROR(MATCH(F1464,Код_КВР,0)),"",INDIRECT(ADDRESS(MATCH(F1464,Код_КВР,0)+1,2,,,"КВР")))</f>
        <v xml:space="preserve">Прочая закупка товаров, работ и услуг для обеспечения муниципальных нужд         </v>
      </c>
      <c r="B1464" s="145">
        <v>810</v>
      </c>
      <c r="C1464" s="8" t="s">
        <v>188</v>
      </c>
      <c r="D1464" s="8" t="s">
        <v>217</v>
      </c>
      <c r="E1464" s="145" t="s">
        <v>399</v>
      </c>
      <c r="F1464" s="145">
        <v>244</v>
      </c>
      <c r="G1464" s="69">
        <f>1509.1+182.1</f>
        <v>1691.1999999999998</v>
      </c>
      <c r="H1464" s="69"/>
      <c r="I1464" s="69">
        <f t="shared" si="306"/>
        <v>1691.1999999999998</v>
      </c>
      <c r="J1464" s="69">
        <v>-24.9</v>
      </c>
      <c r="K1464" s="85">
        <f t="shared" si="326"/>
        <v>1666.2999999999997</v>
      </c>
      <c r="L1464" s="13"/>
      <c r="M1464" s="85">
        <f t="shared" si="320"/>
        <v>1666.2999999999997</v>
      </c>
      <c r="N1464" s="13"/>
      <c r="O1464" s="85">
        <f t="shared" si="321"/>
        <v>1666.2999999999997</v>
      </c>
      <c r="P1464" s="13"/>
      <c r="Q1464" s="85">
        <f t="shared" si="310"/>
        <v>1666.2999999999997</v>
      </c>
      <c r="R1464" s="13">
        <f>66.7+171.1+56-0.3+1137.9</f>
        <v>1431.4</v>
      </c>
      <c r="S1464" s="85">
        <f t="shared" ref="S1464:S1549" si="327">Q1464+R1464</f>
        <v>3097.7</v>
      </c>
      <c r="T1464" s="13">
        <v>-0.8</v>
      </c>
      <c r="U1464" s="85">
        <f t="shared" si="325"/>
        <v>3096.8999999999996</v>
      </c>
    </row>
    <row r="1465" spans="1:21">
      <c r="A1465" s="61" t="str">
        <f t="shared" ref="A1465:A1468" ca="1" si="328">IF(ISERROR(MATCH(F1465,Код_КВР,0)),"",INDIRECT(ADDRESS(MATCH(F1465,Код_КВР,0)+1,2,,,"КВР")))</f>
        <v>Иные бюджетные ассигнования</v>
      </c>
      <c r="B1465" s="145">
        <v>810</v>
      </c>
      <c r="C1465" s="8" t="s">
        <v>188</v>
      </c>
      <c r="D1465" s="8" t="s">
        <v>217</v>
      </c>
      <c r="E1465" s="145" t="s">
        <v>399</v>
      </c>
      <c r="F1465" s="145">
        <v>800</v>
      </c>
      <c r="G1465" s="69"/>
      <c r="H1465" s="69"/>
      <c r="I1465" s="69"/>
      <c r="J1465" s="69">
        <f>J1468</f>
        <v>17.399999999999999</v>
      </c>
      <c r="K1465" s="85">
        <f t="shared" si="326"/>
        <v>17.399999999999999</v>
      </c>
      <c r="L1465" s="13">
        <f>L1468</f>
        <v>0</v>
      </c>
      <c r="M1465" s="85">
        <f t="shared" si="320"/>
        <v>17.399999999999999</v>
      </c>
      <c r="N1465" s="13">
        <f>N1468</f>
        <v>0</v>
      </c>
      <c r="O1465" s="85">
        <f t="shared" si="321"/>
        <v>17.399999999999999</v>
      </c>
      <c r="P1465" s="13">
        <f>P1468</f>
        <v>0</v>
      </c>
      <c r="Q1465" s="85">
        <f t="shared" si="310"/>
        <v>17.399999999999999</v>
      </c>
      <c r="R1465" s="13">
        <f>R1468+R1466</f>
        <v>0.29999999999999982</v>
      </c>
      <c r="S1465" s="85">
        <f t="shared" si="327"/>
        <v>17.7</v>
      </c>
      <c r="T1465" s="13">
        <f>T1468+T1466</f>
        <v>0.8</v>
      </c>
      <c r="U1465" s="85">
        <f t="shared" si="325"/>
        <v>18.5</v>
      </c>
    </row>
    <row r="1466" spans="1:21">
      <c r="A1466" s="61" t="str">
        <f t="shared" ref="A1466" ca="1" si="329">IF(ISERROR(MATCH(F1466,Код_КВР,0)),"",INDIRECT(ADDRESS(MATCH(F1466,Код_КВР,0)+1,2,,,"КВР")))</f>
        <v>Исполнение судебных актов</v>
      </c>
      <c r="B1466" s="145">
        <v>810</v>
      </c>
      <c r="C1466" s="8" t="s">
        <v>188</v>
      </c>
      <c r="D1466" s="8" t="s">
        <v>217</v>
      </c>
      <c r="E1466" s="145" t="s">
        <v>399</v>
      </c>
      <c r="F1466" s="145">
        <v>830</v>
      </c>
      <c r="G1466" s="69"/>
      <c r="H1466" s="69"/>
      <c r="I1466" s="69"/>
      <c r="J1466" s="69"/>
      <c r="K1466" s="85"/>
      <c r="L1466" s="13"/>
      <c r="M1466" s="85"/>
      <c r="N1466" s="13"/>
      <c r="O1466" s="85"/>
      <c r="P1466" s="13"/>
      <c r="Q1466" s="85"/>
      <c r="R1466" s="13">
        <f>R1467</f>
        <v>4.0999999999999996</v>
      </c>
      <c r="S1466" s="85">
        <f t="shared" si="327"/>
        <v>4.0999999999999996</v>
      </c>
      <c r="T1466" s="13">
        <f>T1467</f>
        <v>0.9</v>
      </c>
      <c r="U1466" s="85">
        <f t="shared" si="325"/>
        <v>5</v>
      </c>
    </row>
    <row r="1467" spans="1:21" ht="82.5">
      <c r="A1467" s="61" t="str">
        <f ca="1">IF(ISERROR(MATCH(F1467,Код_КВР,0)),"",INDIRECT(ADDRESS(MATCH(F1467,Код_КВР,0)+1,2,,,"КВР")))</f>
        <v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местного самоуправления либо должностных лиц этих органов, а также в результате деятельности казенных учреждений</v>
      </c>
      <c r="B1467" s="145">
        <v>810</v>
      </c>
      <c r="C1467" s="8" t="s">
        <v>188</v>
      </c>
      <c r="D1467" s="8" t="s">
        <v>217</v>
      </c>
      <c r="E1467" s="145" t="s">
        <v>399</v>
      </c>
      <c r="F1467" s="145">
        <v>831</v>
      </c>
      <c r="G1467" s="69"/>
      <c r="H1467" s="69"/>
      <c r="I1467" s="69"/>
      <c r="J1467" s="69"/>
      <c r="K1467" s="85"/>
      <c r="L1467" s="13"/>
      <c r="M1467" s="85"/>
      <c r="N1467" s="13"/>
      <c r="O1467" s="85"/>
      <c r="P1467" s="13"/>
      <c r="Q1467" s="85"/>
      <c r="R1467" s="13">
        <v>4.0999999999999996</v>
      </c>
      <c r="S1467" s="85">
        <f t="shared" si="327"/>
        <v>4.0999999999999996</v>
      </c>
      <c r="T1467" s="13">
        <v>0.9</v>
      </c>
      <c r="U1467" s="85">
        <f t="shared" si="325"/>
        <v>5</v>
      </c>
    </row>
    <row r="1468" spans="1:21">
      <c r="A1468" s="61" t="str">
        <f t="shared" ca="1" si="328"/>
        <v>Уплата налогов, сборов и иных платежей</v>
      </c>
      <c r="B1468" s="145">
        <v>810</v>
      </c>
      <c r="C1468" s="8" t="s">
        <v>188</v>
      </c>
      <c r="D1468" s="8" t="s">
        <v>217</v>
      </c>
      <c r="E1468" s="145" t="s">
        <v>399</v>
      </c>
      <c r="F1468" s="145">
        <v>850</v>
      </c>
      <c r="G1468" s="69"/>
      <c r="H1468" s="69"/>
      <c r="I1468" s="69"/>
      <c r="J1468" s="69">
        <f>J1469+J1470</f>
        <v>17.399999999999999</v>
      </c>
      <c r="K1468" s="85">
        <f t="shared" si="326"/>
        <v>17.399999999999999</v>
      </c>
      <c r="L1468" s="13">
        <f>L1469+L1470</f>
        <v>0</v>
      </c>
      <c r="M1468" s="85">
        <f t="shared" si="320"/>
        <v>17.399999999999999</v>
      </c>
      <c r="N1468" s="13">
        <f>N1469+N1470</f>
        <v>0</v>
      </c>
      <c r="O1468" s="85">
        <f t="shared" si="321"/>
        <v>17.399999999999999</v>
      </c>
      <c r="P1468" s="13">
        <f>P1469+P1470</f>
        <v>0</v>
      </c>
      <c r="Q1468" s="85">
        <f t="shared" si="310"/>
        <v>17.399999999999999</v>
      </c>
      <c r="R1468" s="13">
        <f>R1469+R1470</f>
        <v>-3.8</v>
      </c>
      <c r="S1468" s="85">
        <f t="shared" si="327"/>
        <v>13.599999999999998</v>
      </c>
      <c r="T1468" s="13">
        <f>T1469+T1470</f>
        <v>-0.1</v>
      </c>
      <c r="U1468" s="85">
        <f t="shared" si="325"/>
        <v>13.499999999999998</v>
      </c>
    </row>
    <row r="1469" spans="1:21">
      <c r="A1469" s="61" t="str">
        <f ca="1">IF(ISERROR(MATCH(F1469,Код_КВР,0)),"",INDIRECT(ADDRESS(MATCH(F1469,Код_КВР,0)+1,2,,,"КВР")))</f>
        <v>Уплата налога на имущество организаций и земельного налога</v>
      </c>
      <c r="B1469" s="145">
        <v>810</v>
      </c>
      <c r="C1469" s="8" t="s">
        <v>188</v>
      </c>
      <c r="D1469" s="8" t="s">
        <v>217</v>
      </c>
      <c r="E1469" s="145" t="s">
        <v>399</v>
      </c>
      <c r="F1469" s="145">
        <v>851</v>
      </c>
      <c r="G1469" s="69"/>
      <c r="H1469" s="69"/>
      <c r="I1469" s="69"/>
      <c r="J1469" s="69">
        <v>7.4</v>
      </c>
      <c r="K1469" s="85">
        <f t="shared" si="326"/>
        <v>7.4</v>
      </c>
      <c r="L1469" s="13"/>
      <c r="M1469" s="85">
        <f t="shared" si="320"/>
        <v>7.4</v>
      </c>
      <c r="N1469" s="13"/>
      <c r="O1469" s="85">
        <f t="shared" si="321"/>
        <v>7.4</v>
      </c>
      <c r="P1469" s="13"/>
      <c r="Q1469" s="85">
        <f t="shared" si="310"/>
        <v>7.4</v>
      </c>
      <c r="R1469" s="13">
        <v>-3</v>
      </c>
      <c r="S1469" s="85">
        <f>Q1469+R1469</f>
        <v>4.4000000000000004</v>
      </c>
      <c r="T1469" s="13">
        <v>-0.1</v>
      </c>
      <c r="U1469" s="85">
        <f t="shared" si="325"/>
        <v>4.3000000000000007</v>
      </c>
    </row>
    <row r="1470" spans="1:21">
      <c r="A1470" s="61" t="str">
        <f ca="1">IF(ISERROR(MATCH(F1470,Код_КВР,0)),"",INDIRECT(ADDRESS(MATCH(F1470,Код_КВР,0)+1,2,,,"КВР")))</f>
        <v>Уплата прочих налогов, сборов и иных платежей</v>
      </c>
      <c r="B1470" s="145">
        <v>810</v>
      </c>
      <c r="C1470" s="8" t="s">
        <v>188</v>
      </c>
      <c r="D1470" s="8" t="s">
        <v>217</v>
      </c>
      <c r="E1470" s="145" t="s">
        <v>399</v>
      </c>
      <c r="F1470" s="145">
        <v>852</v>
      </c>
      <c r="G1470" s="69"/>
      <c r="H1470" s="69"/>
      <c r="I1470" s="69"/>
      <c r="J1470" s="69">
        <v>10</v>
      </c>
      <c r="K1470" s="85">
        <f t="shared" si="326"/>
        <v>10</v>
      </c>
      <c r="L1470" s="13"/>
      <c r="M1470" s="85">
        <f t="shared" si="320"/>
        <v>10</v>
      </c>
      <c r="N1470" s="13"/>
      <c r="O1470" s="85">
        <f t="shared" si="321"/>
        <v>10</v>
      </c>
      <c r="P1470" s="13"/>
      <c r="Q1470" s="85">
        <f t="shared" si="310"/>
        <v>10</v>
      </c>
      <c r="R1470" s="13">
        <v>-0.8</v>
      </c>
      <c r="S1470" s="85">
        <f t="shared" si="327"/>
        <v>9.1999999999999993</v>
      </c>
      <c r="T1470" s="13"/>
      <c r="U1470" s="85">
        <f t="shared" si="325"/>
        <v>9.1999999999999993</v>
      </c>
    </row>
    <row r="1471" spans="1:21" ht="132">
      <c r="A1471" s="61" t="str">
        <f ca="1">IF(ISERROR(MATCH(E1471,Код_КЦСР,0)),"",INDIRECT(ADDRESS(MATCH(E1471,Код_КЦСР,0)+1,2,,,"КЦСР")))</f>
        <v>Осуществление отдельных государственных полномочий по организации и осуществлению деятельности по опеке и попечительству в отношении совершеннолетних граждан, нуждающихся в опеке или попечительстве в соответствии с законом области от 17 декабря 2007 года № 1720-ОЗ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попечительству» за счет субвенций из областного бюджета</v>
      </c>
      <c r="B1471" s="145">
        <v>810</v>
      </c>
      <c r="C1471" s="8" t="s">
        <v>188</v>
      </c>
      <c r="D1471" s="8" t="s">
        <v>217</v>
      </c>
      <c r="E1471" s="145" t="s">
        <v>394</v>
      </c>
      <c r="F1471" s="145"/>
      <c r="G1471" s="69">
        <f>G1472+G1474</f>
        <v>2682.5</v>
      </c>
      <c r="H1471" s="69">
        <f>H1472+H1474</f>
        <v>0</v>
      </c>
      <c r="I1471" s="69">
        <f t="shared" si="306"/>
        <v>2682.5</v>
      </c>
      <c r="J1471" s="69">
        <f>J1472+J1474</f>
        <v>0</v>
      </c>
      <c r="K1471" s="85">
        <f t="shared" si="326"/>
        <v>2682.5</v>
      </c>
      <c r="L1471" s="13">
        <f>L1472+L1474</f>
        <v>0</v>
      </c>
      <c r="M1471" s="85">
        <f t="shared" si="320"/>
        <v>2682.5</v>
      </c>
      <c r="N1471" s="13">
        <f>N1472+N1474</f>
        <v>0</v>
      </c>
      <c r="O1471" s="85">
        <f t="shared" si="321"/>
        <v>2682.5</v>
      </c>
      <c r="P1471" s="13">
        <f>P1472+P1474</f>
        <v>0</v>
      </c>
      <c r="Q1471" s="85">
        <f t="shared" si="310"/>
        <v>2682.5</v>
      </c>
      <c r="R1471" s="13">
        <f>R1472+R1474</f>
        <v>0</v>
      </c>
      <c r="S1471" s="85">
        <f t="shared" si="327"/>
        <v>2682.5</v>
      </c>
      <c r="T1471" s="13">
        <f>T1472+T1474</f>
        <v>0</v>
      </c>
      <c r="U1471" s="85">
        <f t="shared" si="325"/>
        <v>2682.5</v>
      </c>
    </row>
    <row r="1472" spans="1:21" ht="33">
      <c r="A1472" s="61" t="str">
        <f ca="1">IF(ISERROR(MATCH(F1472,Код_КВР,0)),"",INDIRECT(ADDRESS(MATCH(F1472,Код_КВР,0)+1,2,,,"КВР")))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72" s="145">
        <v>810</v>
      </c>
      <c r="C1472" s="8" t="s">
        <v>188</v>
      </c>
      <c r="D1472" s="8" t="s">
        <v>217</v>
      </c>
      <c r="E1472" s="145" t="s">
        <v>394</v>
      </c>
      <c r="F1472" s="145">
        <v>100</v>
      </c>
      <c r="G1472" s="69">
        <f>G1473</f>
        <v>2180.9</v>
      </c>
      <c r="H1472" s="69">
        <f>H1473</f>
        <v>0</v>
      </c>
      <c r="I1472" s="69">
        <f t="shared" si="306"/>
        <v>2180.9</v>
      </c>
      <c r="J1472" s="69">
        <f>J1473</f>
        <v>0</v>
      </c>
      <c r="K1472" s="85">
        <f t="shared" si="326"/>
        <v>2180.9</v>
      </c>
      <c r="L1472" s="13">
        <f>L1473</f>
        <v>0</v>
      </c>
      <c r="M1472" s="85">
        <f t="shared" si="320"/>
        <v>2180.9</v>
      </c>
      <c r="N1472" s="13">
        <f>N1473</f>
        <v>0</v>
      </c>
      <c r="O1472" s="85">
        <f t="shared" si="321"/>
        <v>2180.9</v>
      </c>
      <c r="P1472" s="13">
        <f>P1473</f>
        <v>0</v>
      </c>
      <c r="Q1472" s="85">
        <f t="shared" si="310"/>
        <v>2180.9</v>
      </c>
      <c r="R1472" s="13">
        <f>R1473</f>
        <v>0</v>
      </c>
      <c r="S1472" s="85">
        <f t="shared" si="327"/>
        <v>2180.9</v>
      </c>
      <c r="T1472" s="13">
        <f>T1473</f>
        <v>0</v>
      </c>
      <c r="U1472" s="85">
        <f t="shared" si="325"/>
        <v>2180.9</v>
      </c>
    </row>
    <row r="1473" spans="1:23">
      <c r="A1473" s="61" t="str">
        <f ca="1">IF(ISERROR(MATCH(F1473,Код_КВР,0)),"",INDIRECT(ADDRESS(MATCH(F1473,Код_КВР,0)+1,2,,,"КВР")))</f>
        <v>Расходы на выплаты персоналу муниципальных органов</v>
      </c>
      <c r="B1473" s="145">
        <v>810</v>
      </c>
      <c r="C1473" s="8" t="s">
        <v>188</v>
      </c>
      <c r="D1473" s="8" t="s">
        <v>217</v>
      </c>
      <c r="E1473" s="145" t="s">
        <v>394</v>
      </c>
      <c r="F1473" s="145">
        <v>120</v>
      </c>
      <c r="G1473" s="69">
        <v>2180.9</v>
      </c>
      <c r="H1473" s="69"/>
      <c r="I1473" s="69">
        <f t="shared" si="306"/>
        <v>2180.9</v>
      </c>
      <c r="J1473" s="69"/>
      <c r="K1473" s="85">
        <f t="shared" si="326"/>
        <v>2180.9</v>
      </c>
      <c r="L1473" s="13"/>
      <c r="M1473" s="85">
        <f t="shared" si="320"/>
        <v>2180.9</v>
      </c>
      <c r="N1473" s="13"/>
      <c r="O1473" s="85">
        <f t="shared" si="321"/>
        <v>2180.9</v>
      </c>
      <c r="P1473" s="13"/>
      <c r="Q1473" s="85">
        <f t="shared" si="310"/>
        <v>2180.9</v>
      </c>
      <c r="R1473" s="13"/>
      <c r="S1473" s="85">
        <f t="shared" si="327"/>
        <v>2180.9</v>
      </c>
      <c r="T1473" s="13"/>
      <c r="U1473" s="85">
        <f t="shared" si="325"/>
        <v>2180.9</v>
      </c>
    </row>
    <row r="1474" spans="1:23">
      <c r="A1474" s="61" t="str">
        <f ca="1">IF(ISERROR(MATCH(F1474,Код_КВР,0)),"",INDIRECT(ADDRESS(MATCH(F1474,Код_КВР,0)+1,2,,,"КВР")))</f>
        <v>Закупка товаров, работ и услуг для муниципальных нужд</v>
      </c>
      <c r="B1474" s="145">
        <v>810</v>
      </c>
      <c r="C1474" s="8" t="s">
        <v>188</v>
      </c>
      <c r="D1474" s="8" t="s">
        <v>217</v>
      </c>
      <c r="E1474" s="145" t="s">
        <v>394</v>
      </c>
      <c r="F1474" s="145">
        <v>200</v>
      </c>
      <c r="G1474" s="69">
        <f>G1475</f>
        <v>501.6</v>
      </c>
      <c r="H1474" s="69">
        <f>H1475</f>
        <v>0</v>
      </c>
      <c r="I1474" s="69">
        <f t="shared" si="306"/>
        <v>501.6</v>
      </c>
      <c r="J1474" s="69">
        <f>J1475</f>
        <v>0</v>
      </c>
      <c r="K1474" s="85">
        <f t="shared" si="326"/>
        <v>501.6</v>
      </c>
      <c r="L1474" s="13">
        <f>L1475</f>
        <v>0</v>
      </c>
      <c r="M1474" s="85">
        <f t="shared" si="320"/>
        <v>501.6</v>
      </c>
      <c r="N1474" s="13">
        <f>N1475</f>
        <v>0</v>
      </c>
      <c r="O1474" s="85">
        <f t="shared" si="321"/>
        <v>501.6</v>
      </c>
      <c r="P1474" s="13">
        <f>P1475</f>
        <v>0</v>
      </c>
      <c r="Q1474" s="85">
        <f t="shared" si="310"/>
        <v>501.6</v>
      </c>
      <c r="R1474" s="13">
        <f>R1475</f>
        <v>0</v>
      </c>
      <c r="S1474" s="85">
        <f t="shared" si="327"/>
        <v>501.6</v>
      </c>
      <c r="T1474" s="13">
        <f>T1475</f>
        <v>0</v>
      </c>
      <c r="U1474" s="85">
        <f t="shared" si="325"/>
        <v>501.6</v>
      </c>
    </row>
    <row r="1475" spans="1:23" ht="33">
      <c r="A1475" s="61" t="str">
        <f ca="1">IF(ISERROR(MATCH(F1475,Код_КВР,0)),"",INDIRECT(ADDRESS(MATCH(F1475,Код_КВР,0)+1,2,,,"КВР")))</f>
        <v>Иные закупки товаров, работ и услуг для обеспечения муниципальных нужд</v>
      </c>
      <c r="B1475" s="145">
        <v>810</v>
      </c>
      <c r="C1475" s="8" t="s">
        <v>188</v>
      </c>
      <c r="D1475" s="8" t="s">
        <v>217</v>
      </c>
      <c r="E1475" s="145" t="s">
        <v>394</v>
      </c>
      <c r="F1475" s="145">
        <v>240</v>
      </c>
      <c r="G1475" s="69">
        <f>G1476</f>
        <v>501.6</v>
      </c>
      <c r="H1475" s="69">
        <f>H1476</f>
        <v>0</v>
      </c>
      <c r="I1475" s="69">
        <f t="shared" ref="I1475:I1573" si="330">G1475+H1475</f>
        <v>501.6</v>
      </c>
      <c r="J1475" s="69">
        <f>J1476</f>
        <v>0</v>
      </c>
      <c r="K1475" s="85">
        <f t="shared" si="326"/>
        <v>501.6</v>
      </c>
      <c r="L1475" s="13">
        <f>L1476</f>
        <v>0</v>
      </c>
      <c r="M1475" s="85">
        <f t="shared" si="320"/>
        <v>501.6</v>
      </c>
      <c r="N1475" s="13">
        <f>N1476</f>
        <v>0</v>
      </c>
      <c r="O1475" s="85">
        <f t="shared" si="321"/>
        <v>501.6</v>
      </c>
      <c r="P1475" s="13">
        <f>P1476</f>
        <v>0</v>
      </c>
      <c r="Q1475" s="85">
        <f t="shared" ref="Q1475:Q1562" si="331">O1475+P1475</f>
        <v>501.6</v>
      </c>
      <c r="R1475" s="13">
        <f>R1476</f>
        <v>0</v>
      </c>
      <c r="S1475" s="85">
        <f t="shared" si="327"/>
        <v>501.6</v>
      </c>
      <c r="T1475" s="13">
        <f>T1476</f>
        <v>0</v>
      </c>
      <c r="U1475" s="85">
        <f t="shared" si="325"/>
        <v>501.6</v>
      </c>
    </row>
    <row r="1476" spans="1:23" ht="33">
      <c r="A1476" s="61" t="str">
        <f ca="1">IF(ISERROR(MATCH(F1476,Код_КВР,0)),"",INDIRECT(ADDRESS(MATCH(F1476,Код_КВР,0)+1,2,,,"КВР")))</f>
        <v xml:space="preserve">Прочая закупка товаров, работ и услуг для обеспечения муниципальных нужд         </v>
      </c>
      <c r="B1476" s="145">
        <v>810</v>
      </c>
      <c r="C1476" s="8" t="s">
        <v>188</v>
      </c>
      <c r="D1476" s="8" t="s">
        <v>217</v>
      </c>
      <c r="E1476" s="145" t="s">
        <v>394</v>
      </c>
      <c r="F1476" s="145">
        <v>244</v>
      </c>
      <c r="G1476" s="69">
        <v>501.6</v>
      </c>
      <c r="H1476" s="69"/>
      <c r="I1476" s="69">
        <f t="shared" si="330"/>
        <v>501.6</v>
      </c>
      <c r="J1476" s="69"/>
      <c r="K1476" s="85">
        <f t="shared" si="326"/>
        <v>501.6</v>
      </c>
      <c r="L1476" s="13"/>
      <c r="M1476" s="85">
        <f t="shared" si="320"/>
        <v>501.6</v>
      </c>
      <c r="N1476" s="13"/>
      <c r="O1476" s="85">
        <f t="shared" si="321"/>
        <v>501.6</v>
      </c>
      <c r="P1476" s="13"/>
      <c r="Q1476" s="85">
        <f t="shared" si="331"/>
        <v>501.6</v>
      </c>
      <c r="R1476" s="13"/>
      <c r="S1476" s="85">
        <f t="shared" si="327"/>
        <v>501.6</v>
      </c>
      <c r="T1476" s="13"/>
      <c r="U1476" s="85">
        <f t="shared" si="325"/>
        <v>501.6</v>
      </c>
    </row>
    <row r="1477" spans="1:23" ht="82.5">
      <c r="A1477" s="61" t="str">
        <f ca="1">IF(ISERROR(MATCH(E1477,Код_КЦСР,0)),"",INDIRECT(ADDRESS(MATCH(E1477,Код_КЦСР,0)+1,2,,,"КЦСР")))</f>
        <v>Осуществление отдельных государственных полномочий в соответствии с законом области от 8 ноября 2011 года № 2642-ОЗ «О наделении органов местного самоуправления городского округа «город Череповец» отдельными государственными полномочиями в сфере труда» за счет субвенций из областного бюджета</v>
      </c>
      <c r="B1477" s="145">
        <v>810</v>
      </c>
      <c r="C1477" s="8" t="s">
        <v>188</v>
      </c>
      <c r="D1477" s="8" t="s">
        <v>217</v>
      </c>
      <c r="E1477" s="145" t="s">
        <v>403</v>
      </c>
      <c r="F1477" s="145"/>
      <c r="G1477" s="69">
        <f>G1478+G1480</f>
        <v>902.7</v>
      </c>
      <c r="H1477" s="69">
        <f>H1478+H1480</f>
        <v>0</v>
      </c>
      <c r="I1477" s="69">
        <f t="shared" si="330"/>
        <v>902.7</v>
      </c>
      <c r="J1477" s="69">
        <f>J1478+J1480</f>
        <v>0</v>
      </c>
      <c r="K1477" s="85">
        <f t="shared" si="326"/>
        <v>902.7</v>
      </c>
      <c r="L1477" s="13">
        <f>L1478+L1480</f>
        <v>0</v>
      </c>
      <c r="M1477" s="85">
        <f t="shared" si="320"/>
        <v>902.7</v>
      </c>
      <c r="N1477" s="13">
        <f>N1478+N1480</f>
        <v>0</v>
      </c>
      <c r="O1477" s="85">
        <f t="shared" si="321"/>
        <v>902.7</v>
      </c>
      <c r="P1477" s="13">
        <f>P1478+P1480</f>
        <v>0</v>
      </c>
      <c r="Q1477" s="85">
        <f t="shared" si="331"/>
        <v>902.7</v>
      </c>
      <c r="R1477" s="13">
        <f>R1478+R1480</f>
        <v>-676.7</v>
      </c>
      <c r="S1477" s="85">
        <f t="shared" si="327"/>
        <v>226</v>
      </c>
      <c r="T1477" s="13">
        <f>T1478+T1480</f>
        <v>0</v>
      </c>
      <c r="U1477" s="85">
        <f t="shared" si="325"/>
        <v>226</v>
      </c>
    </row>
    <row r="1478" spans="1:23" ht="33">
      <c r="A1478" s="61" t="str">
        <f ca="1">IF(ISERROR(MATCH(F1478,Код_КВР,0)),"",INDIRECT(ADDRESS(MATCH(F1478,Код_КВР,0)+1,2,,,"КВР")))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478" s="145">
        <v>810</v>
      </c>
      <c r="C1478" s="8" t="s">
        <v>188</v>
      </c>
      <c r="D1478" s="8" t="s">
        <v>217</v>
      </c>
      <c r="E1478" s="145" t="s">
        <v>403</v>
      </c>
      <c r="F1478" s="145">
        <v>100</v>
      </c>
      <c r="G1478" s="69">
        <f>G1479</f>
        <v>722.2</v>
      </c>
      <c r="H1478" s="69">
        <f>H1479</f>
        <v>0</v>
      </c>
      <c r="I1478" s="69">
        <f t="shared" si="330"/>
        <v>722.2</v>
      </c>
      <c r="J1478" s="69">
        <f>J1479</f>
        <v>0</v>
      </c>
      <c r="K1478" s="85">
        <f t="shared" si="326"/>
        <v>722.2</v>
      </c>
      <c r="L1478" s="13">
        <f>L1479</f>
        <v>0</v>
      </c>
      <c r="M1478" s="85">
        <f t="shared" si="320"/>
        <v>722.2</v>
      </c>
      <c r="N1478" s="13">
        <f>N1479</f>
        <v>0</v>
      </c>
      <c r="O1478" s="85">
        <f t="shared" si="321"/>
        <v>722.2</v>
      </c>
      <c r="P1478" s="13">
        <f>P1479</f>
        <v>0</v>
      </c>
      <c r="Q1478" s="85">
        <f t="shared" si="331"/>
        <v>722.2</v>
      </c>
      <c r="R1478" s="13">
        <f>R1479</f>
        <v>-541.6</v>
      </c>
      <c r="S1478" s="85">
        <f t="shared" si="327"/>
        <v>180.60000000000002</v>
      </c>
      <c r="T1478" s="13">
        <f>T1479</f>
        <v>0</v>
      </c>
      <c r="U1478" s="85">
        <f t="shared" si="325"/>
        <v>180.60000000000002</v>
      </c>
    </row>
    <row r="1479" spans="1:23">
      <c r="A1479" s="61" t="str">
        <f ca="1">IF(ISERROR(MATCH(F1479,Код_КВР,0)),"",INDIRECT(ADDRESS(MATCH(F1479,Код_КВР,0)+1,2,,,"КВР")))</f>
        <v>Расходы на выплаты персоналу муниципальных органов</v>
      </c>
      <c r="B1479" s="145">
        <v>810</v>
      </c>
      <c r="C1479" s="8" t="s">
        <v>188</v>
      </c>
      <c r="D1479" s="8" t="s">
        <v>217</v>
      </c>
      <c r="E1479" s="145" t="s">
        <v>403</v>
      </c>
      <c r="F1479" s="145">
        <v>120</v>
      </c>
      <c r="G1479" s="69">
        <v>722.2</v>
      </c>
      <c r="H1479" s="69"/>
      <c r="I1479" s="69">
        <f t="shared" si="330"/>
        <v>722.2</v>
      </c>
      <c r="J1479" s="69"/>
      <c r="K1479" s="85">
        <f t="shared" si="326"/>
        <v>722.2</v>
      </c>
      <c r="L1479" s="13"/>
      <c r="M1479" s="85">
        <f t="shared" si="320"/>
        <v>722.2</v>
      </c>
      <c r="N1479" s="13"/>
      <c r="O1479" s="85">
        <f t="shared" si="321"/>
        <v>722.2</v>
      </c>
      <c r="P1479" s="13"/>
      <c r="Q1479" s="85">
        <f t="shared" si="331"/>
        <v>722.2</v>
      </c>
      <c r="R1479" s="13">
        <f>-416-125.6</f>
        <v>-541.6</v>
      </c>
      <c r="S1479" s="85">
        <f t="shared" si="327"/>
        <v>180.60000000000002</v>
      </c>
      <c r="T1479" s="13"/>
      <c r="U1479" s="85">
        <f t="shared" si="325"/>
        <v>180.60000000000002</v>
      </c>
    </row>
    <row r="1480" spans="1:23">
      <c r="A1480" s="61" t="str">
        <f ca="1">IF(ISERROR(MATCH(F1480,Код_КВР,0)),"",INDIRECT(ADDRESS(MATCH(F1480,Код_КВР,0)+1,2,,,"КВР")))</f>
        <v>Закупка товаров, работ и услуг для муниципальных нужд</v>
      </c>
      <c r="B1480" s="145">
        <v>810</v>
      </c>
      <c r="C1480" s="8" t="s">
        <v>188</v>
      </c>
      <c r="D1480" s="8" t="s">
        <v>217</v>
      </c>
      <c r="E1480" s="145" t="s">
        <v>403</v>
      </c>
      <c r="F1480" s="145">
        <v>200</v>
      </c>
      <c r="G1480" s="69">
        <f>G1481</f>
        <v>180.5</v>
      </c>
      <c r="H1480" s="69">
        <f>H1481</f>
        <v>0</v>
      </c>
      <c r="I1480" s="69">
        <f t="shared" si="330"/>
        <v>180.5</v>
      </c>
      <c r="J1480" s="69">
        <f>J1481</f>
        <v>0</v>
      </c>
      <c r="K1480" s="85">
        <f t="shared" si="326"/>
        <v>180.5</v>
      </c>
      <c r="L1480" s="13">
        <f>L1481</f>
        <v>0</v>
      </c>
      <c r="M1480" s="85">
        <f t="shared" si="320"/>
        <v>180.5</v>
      </c>
      <c r="N1480" s="13">
        <f>N1481</f>
        <v>0</v>
      </c>
      <c r="O1480" s="85">
        <f t="shared" si="321"/>
        <v>180.5</v>
      </c>
      <c r="P1480" s="13">
        <f>P1481</f>
        <v>0</v>
      </c>
      <c r="Q1480" s="85">
        <f t="shared" si="331"/>
        <v>180.5</v>
      </c>
      <c r="R1480" s="13">
        <f>R1481</f>
        <v>-135.1</v>
      </c>
      <c r="S1480" s="85">
        <f t="shared" si="327"/>
        <v>45.400000000000006</v>
      </c>
      <c r="T1480" s="13">
        <f>T1481</f>
        <v>0</v>
      </c>
      <c r="U1480" s="85">
        <f t="shared" si="325"/>
        <v>45.400000000000006</v>
      </c>
    </row>
    <row r="1481" spans="1:23" ht="33">
      <c r="A1481" s="61" t="str">
        <f ca="1">IF(ISERROR(MATCH(F1481,Код_КВР,0)),"",INDIRECT(ADDRESS(MATCH(F1481,Код_КВР,0)+1,2,,,"КВР")))</f>
        <v>Иные закупки товаров, работ и услуг для обеспечения муниципальных нужд</v>
      </c>
      <c r="B1481" s="145">
        <v>810</v>
      </c>
      <c r="C1481" s="8" t="s">
        <v>188</v>
      </c>
      <c r="D1481" s="8" t="s">
        <v>217</v>
      </c>
      <c r="E1481" s="145" t="s">
        <v>403</v>
      </c>
      <c r="F1481" s="145">
        <v>240</v>
      </c>
      <c r="G1481" s="69">
        <f>G1482</f>
        <v>180.5</v>
      </c>
      <c r="H1481" s="69">
        <f>H1482</f>
        <v>0</v>
      </c>
      <c r="I1481" s="69">
        <f t="shared" si="330"/>
        <v>180.5</v>
      </c>
      <c r="J1481" s="69">
        <f>J1482</f>
        <v>0</v>
      </c>
      <c r="K1481" s="85">
        <f t="shared" si="326"/>
        <v>180.5</v>
      </c>
      <c r="L1481" s="13">
        <f>L1482</f>
        <v>0</v>
      </c>
      <c r="M1481" s="85">
        <f t="shared" si="320"/>
        <v>180.5</v>
      </c>
      <c r="N1481" s="13">
        <f>N1482</f>
        <v>0</v>
      </c>
      <c r="O1481" s="85">
        <f t="shared" si="321"/>
        <v>180.5</v>
      </c>
      <c r="P1481" s="13">
        <f>P1482</f>
        <v>0</v>
      </c>
      <c r="Q1481" s="85">
        <f t="shared" si="331"/>
        <v>180.5</v>
      </c>
      <c r="R1481" s="13">
        <f>R1482</f>
        <v>-135.1</v>
      </c>
      <c r="S1481" s="85">
        <f t="shared" si="327"/>
        <v>45.400000000000006</v>
      </c>
      <c r="T1481" s="13">
        <f>T1482</f>
        <v>0</v>
      </c>
      <c r="U1481" s="85">
        <f t="shared" si="325"/>
        <v>45.400000000000006</v>
      </c>
    </row>
    <row r="1482" spans="1:23" ht="33">
      <c r="A1482" s="61" t="str">
        <f ca="1">IF(ISERROR(MATCH(F1482,Код_КВР,0)),"",INDIRECT(ADDRESS(MATCH(F1482,Код_КВР,0)+1,2,,,"КВР")))</f>
        <v xml:space="preserve">Прочая закупка товаров, работ и услуг для обеспечения муниципальных нужд         </v>
      </c>
      <c r="B1482" s="145">
        <v>810</v>
      </c>
      <c r="C1482" s="8" t="s">
        <v>188</v>
      </c>
      <c r="D1482" s="8" t="s">
        <v>217</v>
      </c>
      <c r="E1482" s="145" t="s">
        <v>403</v>
      </c>
      <c r="F1482" s="145">
        <v>244</v>
      </c>
      <c r="G1482" s="69">
        <v>180.5</v>
      </c>
      <c r="H1482" s="69"/>
      <c r="I1482" s="69">
        <f t="shared" si="330"/>
        <v>180.5</v>
      </c>
      <c r="J1482" s="69"/>
      <c r="K1482" s="85">
        <f t="shared" si="326"/>
        <v>180.5</v>
      </c>
      <c r="L1482" s="13"/>
      <c r="M1482" s="85">
        <f t="shared" si="320"/>
        <v>180.5</v>
      </c>
      <c r="N1482" s="13"/>
      <c r="O1482" s="85">
        <f t="shared" si="321"/>
        <v>180.5</v>
      </c>
      <c r="P1482" s="13"/>
      <c r="Q1482" s="85">
        <f t="shared" si="331"/>
        <v>180.5</v>
      </c>
      <c r="R1482" s="13">
        <f>-10.4-40.5-54.5-29.7</f>
        <v>-135.1</v>
      </c>
      <c r="S1482" s="85">
        <f t="shared" si="327"/>
        <v>45.400000000000006</v>
      </c>
      <c r="T1482" s="13"/>
      <c r="U1482" s="85">
        <f t="shared" si="325"/>
        <v>45.400000000000006</v>
      </c>
    </row>
    <row r="1483" spans="1:23">
      <c r="A1483" s="61" t="str">
        <f ca="1">IF(ISERROR(MATCH(B1483,Код_ППП,0)),"",INDIRECT(ADDRESS(MATCH(B1483,Код_ППП,0)+1,2,,,"ППП")))</f>
        <v>КОМИТЕТ ПО УПРАВЛЕНИЮ ИМУЩЕСТВОМ ГОРОДА</v>
      </c>
      <c r="B1483" s="145">
        <v>811</v>
      </c>
      <c r="C1483" s="8"/>
      <c r="D1483" s="8"/>
      <c r="E1483" s="145"/>
      <c r="F1483" s="145"/>
      <c r="G1483" s="69">
        <f>G1484+G1504+G1595+G1620+G1684</f>
        <v>339048.19999999995</v>
      </c>
      <c r="H1483" s="69">
        <f>H1484+H1504+H1595+H1620+H1684</f>
        <v>-15804.3</v>
      </c>
      <c r="I1483" s="69">
        <f t="shared" si="330"/>
        <v>323243.89999999997</v>
      </c>
      <c r="J1483" s="69">
        <f>J1484+J1504+J1595+J1620+J1684</f>
        <v>6019.6999999999989</v>
      </c>
      <c r="K1483" s="85">
        <f t="shared" si="326"/>
        <v>329263.59999999998</v>
      </c>
      <c r="L1483" s="13">
        <f>L1484+L1504+L1595+L1620+L1684+L1671</f>
        <v>-487.19999999999936</v>
      </c>
      <c r="M1483" s="85">
        <f t="shared" si="320"/>
        <v>328776.39999999997</v>
      </c>
      <c r="N1483" s="13">
        <f>N1484+N1504+N1595+N1620+N1684+N1671</f>
        <v>841</v>
      </c>
      <c r="O1483" s="85">
        <f t="shared" si="321"/>
        <v>329617.39999999997</v>
      </c>
      <c r="P1483" s="13">
        <f>P1484+P1504+P1595+P1620+P1684+P1671</f>
        <v>3959.5</v>
      </c>
      <c r="Q1483" s="85">
        <f t="shared" si="331"/>
        <v>333576.89999999997</v>
      </c>
      <c r="R1483" s="13">
        <f>R1484+R1504+R1595+R1620+R1684+R1671</f>
        <v>284959.90000000002</v>
      </c>
      <c r="S1483" s="85">
        <f t="shared" si="327"/>
        <v>618536.80000000005</v>
      </c>
      <c r="T1483" s="13">
        <f>T1484+T1504+T1595+T1620+T1684+T1671</f>
        <v>8649.5</v>
      </c>
      <c r="U1483" s="85">
        <f t="shared" si="325"/>
        <v>627186.30000000005</v>
      </c>
      <c r="W1483" s="67"/>
    </row>
    <row r="1484" spans="1:23">
      <c r="A1484" s="61" t="str">
        <f ca="1">IF(ISERROR(MATCH(C1484,Код_Раздел,0)),"",INDIRECT(ADDRESS(MATCH(C1484,Код_Раздел,0)+1,2,,,"Раздел")))</f>
        <v>Общегосударственные  вопросы</v>
      </c>
      <c r="B1484" s="145">
        <v>811</v>
      </c>
      <c r="C1484" s="8" t="s">
        <v>213</v>
      </c>
      <c r="D1484" s="8"/>
      <c r="E1484" s="145"/>
      <c r="F1484" s="145"/>
      <c r="G1484" s="69">
        <f>G1485</f>
        <v>25015.5</v>
      </c>
      <c r="H1484" s="69">
        <f>H1485</f>
        <v>0</v>
      </c>
      <c r="I1484" s="69">
        <f t="shared" si="330"/>
        <v>25015.5</v>
      </c>
      <c r="J1484" s="69">
        <f>J1485</f>
        <v>-7758.6</v>
      </c>
      <c r="K1484" s="85">
        <f t="shared" si="326"/>
        <v>17256.900000000001</v>
      </c>
      <c r="L1484" s="13">
        <f>L1485</f>
        <v>-778.2</v>
      </c>
      <c r="M1484" s="85">
        <f t="shared" si="320"/>
        <v>16478.7</v>
      </c>
      <c r="N1484" s="13">
        <f>N1485</f>
        <v>-365.3</v>
      </c>
      <c r="O1484" s="85">
        <f t="shared" si="321"/>
        <v>16113.400000000001</v>
      </c>
      <c r="P1484" s="13">
        <f>P1485</f>
        <v>0</v>
      </c>
      <c r="Q1484" s="85">
        <f t="shared" si="331"/>
        <v>16113.400000000001</v>
      </c>
      <c r="R1484" s="13">
        <f>R1485</f>
        <v>49.900000000000063</v>
      </c>
      <c r="S1484" s="85">
        <f t="shared" si="327"/>
        <v>16163.300000000001</v>
      </c>
      <c r="T1484" s="13">
        <f>T1485</f>
        <v>11317.199999999999</v>
      </c>
      <c r="U1484" s="85">
        <f t="shared" si="325"/>
        <v>27480.5</v>
      </c>
    </row>
    <row r="1485" spans="1:23">
      <c r="A1485" s="12" t="s">
        <v>237</v>
      </c>
      <c r="B1485" s="145">
        <v>811</v>
      </c>
      <c r="C1485" s="8" t="s">
        <v>213</v>
      </c>
      <c r="D1485" s="8" t="s">
        <v>190</v>
      </c>
      <c r="E1485" s="145"/>
      <c r="F1485" s="145"/>
      <c r="G1485" s="69">
        <f>G1486+G1495</f>
        <v>25015.5</v>
      </c>
      <c r="H1485" s="69">
        <f>H1486+H1495</f>
        <v>0</v>
      </c>
      <c r="I1485" s="69">
        <f t="shared" si="330"/>
        <v>25015.5</v>
      </c>
      <c r="J1485" s="69">
        <f>J1486+J1495</f>
        <v>-7758.6</v>
      </c>
      <c r="K1485" s="85">
        <f t="shared" si="326"/>
        <v>17256.900000000001</v>
      </c>
      <c r="L1485" s="13">
        <f>L1486+L1495</f>
        <v>-778.2</v>
      </c>
      <c r="M1485" s="85">
        <f t="shared" si="320"/>
        <v>16478.7</v>
      </c>
      <c r="N1485" s="13">
        <f>N1486+N1495</f>
        <v>-365.3</v>
      </c>
      <c r="O1485" s="85">
        <f t="shared" si="321"/>
        <v>16113.400000000001</v>
      </c>
      <c r="P1485" s="13">
        <f>P1486+P1495</f>
        <v>0</v>
      </c>
      <c r="Q1485" s="85">
        <f t="shared" si="331"/>
        <v>16113.400000000001</v>
      </c>
      <c r="R1485" s="13">
        <f>R1486+R1495</f>
        <v>49.900000000000063</v>
      </c>
      <c r="S1485" s="85">
        <f t="shared" si="327"/>
        <v>16163.300000000001</v>
      </c>
      <c r="T1485" s="13">
        <f>T1486+T1495</f>
        <v>11317.199999999999</v>
      </c>
      <c r="U1485" s="85">
        <f t="shared" si="325"/>
        <v>27480.5</v>
      </c>
    </row>
    <row r="1486" spans="1:23" ht="33">
      <c r="A1486" s="61" t="str">
        <f ca="1">IF(ISERROR(MATCH(E1486,Код_КЦСР,0)),"",INDIRECT(ADDRESS(MATCH(E1486,Код_КЦСР,0)+1,2,,,"КЦСР")))</f>
        <v>Муниципальная программа «Развитие земельно-имущественного комплекса  города Череповца» на 2014-2018 годы</v>
      </c>
      <c r="B1486" s="145">
        <v>811</v>
      </c>
      <c r="C1486" s="8" t="s">
        <v>213</v>
      </c>
      <c r="D1486" s="8" t="s">
        <v>190</v>
      </c>
      <c r="E1486" s="145" t="s">
        <v>61</v>
      </c>
      <c r="F1486" s="145"/>
      <c r="G1486" s="69">
        <f>G1487+G1491</f>
        <v>14904.6</v>
      </c>
      <c r="H1486" s="69">
        <f>H1487+H1491</f>
        <v>0</v>
      </c>
      <c r="I1486" s="69">
        <f t="shared" si="330"/>
        <v>14904.6</v>
      </c>
      <c r="J1486" s="69">
        <f>J1487+J1491</f>
        <v>-7758.6</v>
      </c>
      <c r="K1486" s="85">
        <f t="shared" si="326"/>
        <v>7146</v>
      </c>
      <c r="L1486" s="13">
        <f>L1487+L1491</f>
        <v>-778.2</v>
      </c>
      <c r="M1486" s="85">
        <f t="shared" si="320"/>
        <v>6367.8</v>
      </c>
      <c r="N1486" s="13">
        <f>N1487+N1491</f>
        <v>-365.3</v>
      </c>
      <c r="O1486" s="85">
        <f t="shared" si="321"/>
        <v>6002.5</v>
      </c>
      <c r="P1486" s="13">
        <f>P1487+P1491</f>
        <v>0</v>
      </c>
      <c r="Q1486" s="85">
        <f t="shared" si="331"/>
        <v>6002.5</v>
      </c>
      <c r="R1486" s="13">
        <f>R1487+R1491</f>
        <v>49.900000000000063</v>
      </c>
      <c r="S1486" s="85">
        <f t="shared" si="327"/>
        <v>6052.4</v>
      </c>
      <c r="T1486" s="13">
        <f>T1487+T1491</f>
        <v>0</v>
      </c>
      <c r="U1486" s="85">
        <f t="shared" si="325"/>
        <v>6052.4</v>
      </c>
    </row>
    <row r="1487" spans="1:23" ht="33">
      <c r="A1487" s="61" t="str">
        <f ca="1">IF(ISERROR(MATCH(E1487,Код_КЦСР,0)),"",INDIRECT(ADDRESS(MATCH(E1487,Код_КЦСР,0)+1,2,,,"КЦСР")))</f>
        <v>Формирование и обеспечение сохранности муниципального земельно-имущественного комплекса</v>
      </c>
      <c r="B1487" s="145">
        <v>811</v>
      </c>
      <c r="C1487" s="8" t="s">
        <v>213</v>
      </c>
      <c r="D1487" s="8" t="s">
        <v>190</v>
      </c>
      <c r="E1487" s="145" t="s">
        <v>63</v>
      </c>
      <c r="F1487" s="145"/>
      <c r="G1487" s="69">
        <f t="shared" ref="G1487:T1489" si="332">G1488</f>
        <v>10109.5</v>
      </c>
      <c r="H1487" s="69">
        <f t="shared" si="332"/>
        <v>0</v>
      </c>
      <c r="I1487" s="69">
        <f t="shared" si="330"/>
        <v>10109.5</v>
      </c>
      <c r="J1487" s="69">
        <f t="shared" si="332"/>
        <v>-7758.6</v>
      </c>
      <c r="K1487" s="85">
        <f t="shared" si="326"/>
        <v>2350.8999999999996</v>
      </c>
      <c r="L1487" s="13">
        <f t="shared" si="332"/>
        <v>0</v>
      </c>
      <c r="M1487" s="85">
        <f t="shared" si="320"/>
        <v>2350.8999999999996</v>
      </c>
      <c r="N1487" s="13">
        <f t="shared" si="332"/>
        <v>-365.3</v>
      </c>
      <c r="O1487" s="85">
        <f t="shared" si="321"/>
        <v>1985.5999999999997</v>
      </c>
      <c r="P1487" s="13">
        <f t="shared" si="332"/>
        <v>0</v>
      </c>
      <c r="Q1487" s="85">
        <f t="shared" si="331"/>
        <v>1985.5999999999997</v>
      </c>
      <c r="R1487" s="13">
        <f t="shared" si="332"/>
        <v>0</v>
      </c>
      <c r="S1487" s="85">
        <f t="shared" si="327"/>
        <v>1985.5999999999997</v>
      </c>
      <c r="T1487" s="13">
        <f t="shared" si="332"/>
        <v>0</v>
      </c>
      <c r="U1487" s="85">
        <f t="shared" si="325"/>
        <v>1985.5999999999997</v>
      </c>
    </row>
    <row r="1488" spans="1:23">
      <c r="A1488" s="61" t="str">
        <f ca="1">IF(ISERROR(MATCH(F1488,Код_КВР,0)),"",INDIRECT(ADDRESS(MATCH(F1488,Код_КВР,0)+1,2,,,"КВР")))</f>
        <v>Закупка товаров, работ и услуг для муниципальных нужд</v>
      </c>
      <c r="B1488" s="145">
        <v>811</v>
      </c>
      <c r="C1488" s="8" t="s">
        <v>213</v>
      </c>
      <c r="D1488" s="8" t="s">
        <v>190</v>
      </c>
      <c r="E1488" s="145" t="s">
        <v>63</v>
      </c>
      <c r="F1488" s="145">
        <v>200</v>
      </c>
      <c r="G1488" s="69">
        <f t="shared" si="332"/>
        <v>10109.5</v>
      </c>
      <c r="H1488" s="69">
        <f t="shared" si="332"/>
        <v>0</v>
      </c>
      <c r="I1488" s="69">
        <f t="shared" si="330"/>
        <v>10109.5</v>
      </c>
      <c r="J1488" s="69">
        <f t="shared" si="332"/>
        <v>-7758.6</v>
      </c>
      <c r="K1488" s="85">
        <f t="shared" si="326"/>
        <v>2350.8999999999996</v>
      </c>
      <c r="L1488" s="13">
        <f t="shared" si="332"/>
        <v>0</v>
      </c>
      <c r="M1488" s="85">
        <f t="shared" si="320"/>
        <v>2350.8999999999996</v>
      </c>
      <c r="N1488" s="13">
        <f t="shared" si="332"/>
        <v>-365.3</v>
      </c>
      <c r="O1488" s="85">
        <f t="shared" si="321"/>
        <v>1985.5999999999997</v>
      </c>
      <c r="P1488" s="13">
        <f t="shared" si="332"/>
        <v>0</v>
      </c>
      <c r="Q1488" s="85">
        <f t="shared" si="331"/>
        <v>1985.5999999999997</v>
      </c>
      <c r="R1488" s="13">
        <f t="shared" si="332"/>
        <v>0</v>
      </c>
      <c r="S1488" s="85">
        <f t="shared" si="327"/>
        <v>1985.5999999999997</v>
      </c>
      <c r="T1488" s="13">
        <f t="shared" si="332"/>
        <v>0</v>
      </c>
      <c r="U1488" s="85">
        <f t="shared" si="325"/>
        <v>1985.5999999999997</v>
      </c>
    </row>
    <row r="1489" spans="1:21" ht="33">
      <c r="A1489" s="61" t="str">
        <f ca="1">IF(ISERROR(MATCH(F1489,Код_КВР,0)),"",INDIRECT(ADDRESS(MATCH(F1489,Код_КВР,0)+1,2,,,"КВР")))</f>
        <v>Иные закупки товаров, работ и услуг для обеспечения муниципальных нужд</v>
      </c>
      <c r="B1489" s="145">
        <v>811</v>
      </c>
      <c r="C1489" s="8" t="s">
        <v>213</v>
      </c>
      <c r="D1489" s="8" t="s">
        <v>190</v>
      </c>
      <c r="E1489" s="145" t="s">
        <v>63</v>
      </c>
      <c r="F1489" s="145">
        <v>240</v>
      </c>
      <c r="G1489" s="69">
        <f t="shared" si="332"/>
        <v>10109.5</v>
      </c>
      <c r="H1489" s="69">
        <f t="shared" si="332"/>
        <v>0</v>
      </c>
      <c r="I1489" s="69">
        <f t="shared" si="330"/>
        <v>10109.5</v>
      </c>
      <c r="J1489" s="69">
        <f t="shared" si="332"/>
        <v>-7758.6</v>
      </c>
      <c r="K1489" s="85">
        <f t="shared" si="326"/>
        <v>2350.8999999999996</v>
      </c>
      <c r="L1489" s="13">
        <f t="shared" si="332"/>
        <v>0</v>
      </c>
      <c r="M1489" s="85">
        <f t="shared" si="320"/>
        <v>2350.8999999999996</v>
      </c>
      <c r="N1489" s="13">
        <f t="shared" si="332"/>
        <v>-365.3</v>
      </c>
      <c r="O1489" s="85">
        <f t="shared" si="321"/>
        <v>1985.5999999999997</v>
      </c>
      <c r="P1489" s="13">
        <f t="shared" si="332"/>
        <v>0</v>
      </c>
      <c r="Q1489" s="85">
        <f t="shared" si="331"/>
        <v>1985.5999999999997</v>
      </c>
      <c r="R1489" s="13">
        <f t="shared" si="332"/>
        <v>0</v>
      </c>
      <c r="S1489" s="85">
        <f t="shared" si="327"/>
        <v>1985.5999999999997</v>
      </c>
      <c r="T1489" s="13">
        <f t="shared" si="332"/>
        <v>0</v>
      </c>
      <c r="U1489" s="85">
        <f t="shared" si="325"/>
        <v>1985.5999999999997</v>
      </c>
    </row>
    <row r="1490" spans="1:21" ht="33">
      <c r="A1490" s="61" t="str">
        <f ca="1">IF(ISERROR(MATCH(F1490,Код_КВР,0)),"",INDIRECT(ADDRESS(MATCH(F1490,Код_КВР,0)+1,2,,,"КВР")))</f>
        <v xml:space="preserve">Прочая закупка товаров, работ и услуг для обеспечения муниципальных нужд         </v>
      </c>
      <c r="B1490" s="145">
        <v>811</v>
      </c>
      <c r="C1490" s="8" t="s">
        <v>213</v>
      </c>
      <c r="D1490" s="8" t="s">
        <v>190</v>
      </c>
      <c r="E1490" s="145" t="s">
        <v>63</v>
      </c>
      <c r="F1490" s="145">
        <v>244</v>
      </c>
      <c r="G1490" s="69">
        <v>10109.5</v>
      </c>
      <c r="H1490" s="69"/>
      <c r="I1490" s="69">
        <f t="shared" si="330"/>
        <v>10109.5</v>
      </c>
      <c r="J1490" s="69">
        <v>-7758.6</v>
      </c>
      <c r="K1490" s="85">
        <f t="shared" si="326"/>
        <v>2350.8999999999996</v>
      </c>
      <c r="L1490" s="13"/>
      <c r="M1490" s="85">
        <f t="shared" si="320"/>
        <v>2350.8999999999996</v>
      </c>
      <c r="N1490" s="13">
        <v>-365.3</v>
      </c>
      <c r="O1490" s="85">
        <f t="shared" si="321"/>
        <v>1985.5999999999997</v>
      </c>
      <c r="P1490" s="13"/>
      <c r="Q1490" s="85">
        <f t="shared" si="331"/>
        <v>1985.5999999999997</v>
      </c>
      <c r="R1490" s="13"/>
      <c r="S1490" s="85">
        <f t="shared" si="327"/>
        <v>1985.5999999999997</v>
      </c>
      <c r="T1490" s="13"/>
      <c r="U1490" s="85">
        <f t="shared" si="325"/>
        <v>1985.5999999999997</v>
      </c>
    </row>
    <row r="1491" spans="1:21" ht="33">
      <c r="A1491" s="61" t="str">
        <f ca="1">IF(ISERROR(MATCH(E1491,Код_КЦСР,0)),"",INDIRECT(ADDRESS(MATCH(E1491,Код_КЦСР,0)+1,2,,,"КЦСР")))</f>
        <v>Обеспечение поступлений в доход бюджета от использования и распоряжения земельно-имущественным комплексом</v>
      </c>
      <c r="B1491" s="145">
        <v>811</v>
      </c>
      <c r="C1491" s="8" t="s">
        <v>213</v>
      </c>
      <c r="D1491" s="8" t="s">
        <v>190</v>
      </c>
      <c r="E1491" s="145" t="s">
        <v>65</v>
      </c>
      <c r="F1491" s="145"/>
      <c r="G1491" s="69">
        <f t="shared" ref="G1491:T1493" si="333">G1492</f>
        <v>4795.1000000000004</v>
      </c>
      <c r="H1491" s="69">
        <f t="shared" si="333"/>
        <v>0</v>
      </c>
      <c r="I1491" s="69">
        <f t="shared" si="330"/>
        <v>4795.1000000000004</v>
      </c>
      <c r="J1491" s="69">
        <f t="shared" si="333"/>
        <v>0</v>
      </c>
      <c r="K1491" s="85">
        <f t="shared" si="326"/>
        <v>4795.1000000000004</v>
      </c>
      <c r="L1491" s="13">
        <f t="shared" si="333"/>
        <v>-778.2</v>
      </c>
      <c r="M1491" s="85">
        <f t="shared" si="320"/>
        <v>4016.9000000000005</v>
      </c>
      <c r="N1491" s="13">
        <f t="shared" si="333"/>
        <v>0</v>
      </c>
      <c r="O1491" s="85">
        <f t="shared" si="321"/>
        <v>4016.9000000000005</v>
      </c>
      <c r="P1491" s="13">
        <f t="shared" si="333"/>
        <v>0</v>
      </c>
      <c r="Q1491" s="85">
        <f t="shared" si="331"/>
        <v>4016.9000000000005</v>
      </c>
      <c r="R1491" s="13">
        <f t="shared" si="333"/>
        <v>49.900000000000063</v>
      </c>
      <c r="S1491" s="85">
        <f t="shared" si="327"/>
        <v>4066.8000000000006</v>
      </c>
      <c r="T1491" s="13">
        <f t="shared" si="333"/>
        <v>0</v>
      </c>
      <c r="U1491" s="85">
        <f t="shared" si="325"/>
        <v>4066.8000000000006</v>
      </c>
    </row>
    <row r="1492" spans="1:21">
      <c r="A1492" s="61" t="str">
        <f ca="1">IF(ISERROR(MATCH(F1492,Код_КВР,0)),"",INDIRECT(ADDRESS(MATCH(F1492,Код_КВР,0)+1,2,,,"КВР")))</f>
        <v>Закупка товаров, работ и услуг для муниципальных нужд</v>
      </c>
      <c r="B1492" s="145">
        <v>811</v>
      </c>
      <c r="C1492" s="8" t="s">
        <v>213</v>
      </c>
      <c r="D1492" s="8" t="s">
        <v>190</v>
      </c>
      <c r="E1492" s="145" t="s">
        <v>65</v>
      </c>
      <c r="F1492" s="145">
        <v>200</v>
      </c>
      <c r="G1492" s="69">
        <f t="shared" si="333"/>
        <v>4795.1000000000004</v>
      </c>
      <c r="H1492" s="69">
        <f t="shared" si="333"/>
        <v>0</v>
      </c>
      <c r="I1492" s="69">
        <f t="shared" si="330"/>
        <v>4795.1000000000004</v>
      </c>
      <c r="J1492" s="69">
        <f t="shared" si="333"/>
        <v>0</v>
      </c>
      <c r="K1492" s="85">
        <f t="shared" si="326"/>
        <v>4795.1000000000004</v>
      </c>
      <c r="L1492" s="13">
        <f t="shared" si="333"/>
        <v>-778.2</v>
      </c>
      <c r="M1492" s="85">
        <f t="shared" si="320"/>
        <v>4016.9000000000005</v>
      </c>
      <c r="N1492" s="13">
        <f t="shared" si="333"/>
        <v>0</v>
      </c>
      <c r="O1492" s="85">
        <f t="shared" si="321"/>
        <v>4016.9000000000005</v>
      </c>
      <c r="P1492" s="13">
        <f t="shared" si="333"/>
        <v>0</v>
      </c>
      <c r="Q1492" s="85">
        <f t="shared" si="331"/>
        <v>4016.9000000000005</v>
      </c>
      <c r="R1492" s="13">
        <f t="shared" si="333"/>
        <v>49.900000000000063</v>
      </c>
      <c r="S1492" s="85">
        <f t="shared" si="327"/>
        <v>4066.8000000000006</v>
      </c>
      <c r="T1492" s="13">
        <f t="shared" si="333"/>
        <v>0</v>
      </c>
      <c r="U1492" s="85">
        <f t="shared" si="325"/>
        <v>4066.8000000000006</v>
      </c>
    </row>
    <row r="1493" spans="1:21" ht="33">
      <c r="A1493" s="61" t="str">
        <f ca="1">IF(ISERROR(MATCH(F1493,Код_КВР,0)),"",INDIRECT(ADDRESS(MATCH(F1493,Код_КВР,0)+1,2,,,"КВР")))</f>
        <v>Иные закупки товаров, работ и услуг для обеспечения муниципальных нужд</v>
      </c>
      <c r="B1493" s="145">
        <v>811</v>
      </c>
      <c r="C1493" s="8" t="s">
        <v>213</v>
      </c>
      <c r="D1493" s="8" t="s">
        <v>190</v>
      </c>
      <c r="E1493" s="145" t="s">
        <v>65</v>
      </c>
      <c r="F1493" s="145">
        <v>240</v>
      </c>
      <c r="G1493" s="69">
        <f t="shared" si="333"/>
        <v>4795.1000000000004</v>
      </c>
      <c r="H1493" s="69">
        <f t="shared" si="333"/>
        <v>0</v>
      </c>
      <c r="I1493" s="69">
        <f t="shared" si="330"/>
        <v>4795.1000000000004</v>
      </c>
      <c r="J1493" s="69">
        <f t="shared" si="333"/>
        <v>0</v>
      </c>
      <c r="K1493" s="85">
        <f t="shared" si="326"/>
        <v>4795.1000000000004</v>
      </c>
      <c r="L1493" s="13">
        <f t="shared" si="333"/>
        <v>-778.2</v>
      </c>
      <c r="M1493" s="85">
        <f t="shared" si="320"/>
        <v>4016.9000000000005</v>
      </c>
      <c r="N1493" s="13">
        <f t="shared" si="333"/>
        <v>0</v>
      </c>
      <c r="O1493" s="85">
        <f t="shared" si="321"/>
        <v>4016.9000000000005</v>
      </c>
      <c r="P1493" s="13">
        <f t="shared" si="333"/>
        <v>0</v>
      </c>
      <c r="Q1493" s="85">
        <f t="shared" si="331"/>
        <v>4016.9000000000005</v>
      </c>
      <c r="R1493" s="13">
        <f t="shared" si="333"/>
        <v>49.900000000000063</v>
      </c>
      <c r="S1493" s="85">
        <f t="shared" si="327"/>
        <v>4066.8000000000006</v>
      </c>
      <c r="T1493" s="13">
        <f t="shared" si="333"/>
        <v>0</v>
      </c>
      <c r="U1493" s="85">
        <f t="shared" si="325"/>
        <v>4066.8000000000006</v>
      </c>
    </row>
    <row r="1494" spans="1:21" ht="33">
      <c r="A1494" s="61" t="str">
        <f ca="1">IF(ISERROR(MATCH(F1494,Код_КВР,0)),"",INDIRECT(ADDRESS(MATCH(F1494,Код_КВР,0)+1,2,,,"КВР")))</f>
        <v xml:space="preserve">Прочая закупка товаров, работ и услуг для обеспечения муниципальных нужд         </v>
      </c>
      <c r="B1494" s="145">
        <v>811</v>
      </c>
      <c r="C1494" s="8" t="s">
        <v>213</v>
      </c>
      <c r="D1494" s="8" t="s">
        <v>190</v>
      </c>
      <c r="E1494" s="145" t="s">
        <v>65</v>
      </c>
      <c r="F1494" s="145">
        <v>244</v>
      </c>
      <c r="G1494" s="69">
        <v>4795.1000000000004</v>
      </c>
      <c r="H1494" s="69"/>
      <c r="I1494" s="69">
        <f t="shared" si="330"/>
        <v>4795.1000000000004</v>
      </c>
      <c r="J1494" s="69"/>
      <c r="K1494" s="85">
        <f t="shared" si="326"/>
        <v>4795.1000000000004</v>
      </c>
      <c r="L1494" s="13">
        <f>-208.8-100-469.4</f>
        <v>-778.2</v>
      </c>
      <c r="M1494" s="85">
        <f t="shared" si="320"/>
        <v>4016.9000000000005</v>
      </c>
      <c r="N1494" s="13"/>
      <c r="O1494" s="85">
        <f t="shared" si="321"/>
        <v>4016.9000000000005</v>
      </c>
      <c r="P1494" s="13"/>
      <c r="Q1494" s="85">
        <f t="shared" si="331"/>
        <v>4016.9000000000005</v>
      </c>
      <c r="R1494" s="13">
        <f>733.7-676.9-3.7-0.1-1.9-1.2</f>
        <v>49.900000000000063</v>
      </c>
      <c r="S1494" s="85">
        <f t="shared" si="327"/>
        <v>4066.8000000000006</v>
      </c>
      <c r="T1494" s="13"/>
      <c r="U1494" s="85">
        <f t="shared" si="325"/>
        <v>4066.8000000000006</v>
      </c>
    </row>
    <row r="1495" spans="1:21" ht="49.5">
      <c r="A1495" s="61" t="str">
        <f ca="1">IF(ISERROR(MATCH(E1495,Код_КЦСР,0)),"",INDIRECT(ADDRESS(MATCH(E1495,Код_КЦСР,0)+1,2,,,"КЦСР")))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495" s="145">
        <v>811</v>
      </c>
      <c r="C1495" s="8" t="s">
        <v>213</v>
      </c>
      <c r="D1495" s="8" t="s">
        <v>190</v>
      </c>
      <c r="E1495" s="145" t="s">
        <v>69</v>
      </c>
      <c r="F1495" s="145"/>
      <c r="G1495" s="69">
        <f t="shared" ref="G1495:T1502" si="334">G1496</f>
        <v>10110.9</v>
      </c>
      <c r="H1495" s="69">
        <f t="shared" si="334"/>
        <v>0</v>
      </c>
      <c r="I1495" s="69">
        <f t="shared" si="330"/>
        <v>10110.9</v>
      </c>
      <c r="J1495" s="69">
        <f t="shared" si="334"/>
        <v>0</v>
      </c>
      <c r="K1495" s="85">
        <f t="shared" si="326"/>
        <v>10110.9</v>
      </c>
      <c r="L1495" s="13">
        <f t="shared" si="334"/>
        <v>0</v>
      </c>
      <c r="M1495" s="85">
        <f t="shared" si="320"/>
        <v>10110.9</v>
      </c>
      <c r="N1495" s="13">
        <f t="shared" si="334"/>
        <v>0</v>
      </c>
      <c r="O1495" s="85">
        <f t="shared" si="321"/>
        <v>10110.9</v>
      </c>
      <c r="P1495" s="13">
        <f t="shared" si="334"/>
        <v>0</v>
      </c>
      <c r="Q1495" s="85">
        <f t="shared" si="331"/>
        <v>10110.9</v>
      </c>
      <c r="R1495" s="13">
        <f t="shared" si="334"/>
        <v>0</v>
      </c>
      <c r="S1495" s="85">
        <f>Q1495+R1495</f>
        <v>10110.9</v>
      </c>
      <c r="T1495" s="13">
        <f>T1496+T1500</f>
        <v>11317.199999999999</v>
      </c>
      <c r="U1495" s="85">
        <f t="shared" si="325"/>
        <v>21428.1</v>
      </c>
    </row>
    <row r="1496" spans="1:21">
      <c r="A1496" s="61" t="str">
        <f ca="1">IF(ISERROR(MATCH(E1496,Код_КЦСР,0)),"",INDIRECT(ADDRESS(MATCH(E1496,Код_КЦСР,0)+1,2,,,"КЦСР")))</f>
        <v>Капитальный ремонт  объектов муниципальной собственности</v>
      </c>
      <c r="B1496" s="145">
        <v>811</v>
      </c>
      <c r="C1496" s="8" t="s">
        <v>213</v>
      </c>
      <c r="D1496" s="8" t="s">
        <v>190</v>
      </c>
      <c r="E1496" s="145" t="s">
        <v>77</v>
      </c>
      <c r="F1496" s="145"/>
      <c r="G1496" s="69">
        <f t="shared" si="334"/>
        <v>10110.9</v>
      </c>
      <c r="H1496" s="69">
        <f t="shared" si="334"/>
        <v>0</v>
      </c>
      <c r="I1496" s="69">
        <f t="shared" si="330"/>
        <v>10110.9</v>
      </c>
      <c r="J1496" s="69">
        <f t="shared" si="334"/>
        <v>0</v>
      </c>
      <c r="K1496" s="85">
        <f t="shared" si="326"/>
        <v>10110.9</v>
      </c>
      <c r="L1496" s="13">
        <f t="shared" si="334"/>
        <v>0</v>
      </c>
      <c r="M1496" s="85">
        <f t="shared" si="320"/>
        <v>10110.9</v>
      </c>
      <c r="N1496" s="13">
        <f t="shared" si="334"/>
        <v>0</v>
      </c>
      <c r="O1496" s="85">
        <f t="shared" si="321"/>
        <v>10110.9</v>
      </c>
      <c r="P1496" s="13">
        <f t="shared" si="334"/>
        <v>0</v>
      </c>
      <c r="Q1496" s="85">
        <f t="shared" si="331"/>
        <v>10110.9</v>
      </c>
      <c r="R1496" s="13">
        <f t="shared" si="334"/>
        <v>0</v>
      </c>
      <c r="S1496" s="85">
        <f t="shared" si="327"/>
        <v>10110.9</v>
      </c>
      <c r="T1496" s="13">
        <f t="shared" si="334"/>
        <v>-2086.1</v>
      </c>
      <c r="U1496" s="85">
        <f t="shared" si="325"/>
        <v>8024.7999999999993</v>
      </c>
    </row>
    <row r="1497" spans="1:21">
      <c r="A1497" s="61" t="str">
        <f ca="1">IF(ISERROR(MATCH(F1497,Код_КВР,0)),"",INDIRECT(ADDRESS(MATCH(F1497,Код_КВР,0)+1,2,,,"КВР")))</f>
        <v>Закупка товаров, работ и услуг для муниципальных нужд</v>
      </c>
      <c r="B1497" s="145">
        <v>811</v>
      </c>
      <c r="C1497" s="8" t="s">
        <v>213</v>
      </c>
      <c r="D1497" s="8" t="s">
        <v>190</v>
      </c>
      <c r="E1497" s="145" t="s">
        <v>77</v>
      </c>
      <c r="F1497" s="145">
        <v>200</v>
      </c>
      <c r="G1497" s="69">
        <f t="shared" si="334"/>
        <v>10110.9</v>
      </c>
      <c r="H1497" s="69">
        <f t="shared" si="334"/>
        <v>0</v>
      </c>
      <c r="I1497" s="69">
        <f t="shared" si="330"/>
        <v>10110.9</v>
      </c>
      <c r="J1497" s="69">
        <f t="shared" si="334"/>
        <v>0</v>
      </c>
      <c r="K1497" s="85">
        <f t="shared" si="326"/>
        <v>10110.9</v>
      </c>
      <c r="L1497" s="13">
        <f t="shared" si="334"/>
        <v>0</v>
      </c>
      <c r="M1497" s="85">
        <f t="shared" si="320"/>
        <v>10110.9</v>
      </c>
      <c r="N1497" s="13">
        <f t="shared" si="334"/>
        <v>0</v>
      </c>
      <c r="O1497" s="85">
        <f t="shared" si="321"/>
        <v>10110.9</v>
      </c>
      <c r="P1497" s="13">
        <f t="shared" si="334"/>
        <v>0</v>
      </c>
      <c r="Q1497" s="85">
        <f t="shared" si="331"/>
        <v>10110.9</v>
      </c>
      <c r="R1497" s="13">
        <f t="shared" si="334"/>
        <v>0</v>
      </c>
      <c r="S1497" s="85">
        <f t="shared" si="327"/>
        <v>10110.9</v>
      </c>
      <c r="T1497" s="13">
        <f t="shared" si="334"/>
        <v>-2086.1</v>
      </c>
      <c r="U1497" s="85">
        <f t="shared" si="325"/>
        <v>8024.7999999999993</v>
      </c>
    </row>
    <row r="1498" spans="1:21" ht="33">
      <c r="A1498" s="61" t="str">
        <f ca="1">IF(ISERROR(MATCH(F1498,Код_КВР,0)),"",INDIRECT(ADDRESS(MATCH(F1498,Код_КВР,0)+1,2,,,"КВР")))</f>
        <v>Иные закупки товаров, работ и услуг для обеспечения муниципальных нужд</v>
      </c>
      <c r="B1498" s="145">
        <v>811</v>
      </c>
      <c r="C1498" s="8" t="s">
        <v>213</v>
      </c>
      <c r="D1498" s="8" t="s">
        <v>190</v>
      </c>
      <c r="E1498" s="145" t="s">
        <v>77</v>
      </c>
      <c r="F1498" s="145">
        <v>240</v>
      </c>
      <c r="G1498" s="69">
        <f t="shared" si="334"/>
        <v>10110.9</v>
      </c>
      <c r="H1498" s="69">
        <f t="shared" si="334"/>
        <v>0</v>
      </c>
      <c r="I1498" s="69">
        <f t="shared" si="330"/>
        <v>10110.9</v>
      </c>
      <c r="J1498" s="69">
        <f t="shared" si="334"/>
        <v>0</v>
      </c>
      <c r="K1498" s="85">
        <f t="shared" si="326"/>
        <v>10110.9</v>
      </c>
      <c r="L1498" s="13">
        <f t="shared" si="334"/>
        <v>0</v>
      </c>
      <c r="M1498" s="85">
        <f t="shared" si="320"/>
        <v>10110.9</v>
      </c>
      <c r="N1498" s="13">
        <f t="shared" si="334"/>
        <v>0</v>
      </c>
      <c r="O1498" s="85">
        <f t="shared" si="321"/>
        <v>10110.9</v>
      </c>
      <c r="P1498" s="13">
        <f t="shared" si="334"/>
        <v>0</v>
      </c>
      <c r="Q1498" s="85">
        <f t="shared" si="331"/>
        <v>10110.9</v>
      </c>
      <c r="R1498" s="13">
        <f t="shared" si="334"/>
        <v>0</v>
      </c>
      <c r="S1498" s="85">
        <f t="shared" si="327"/>
        <v>10110.9</v>
      </c>
      <c r="T1498" s="13">
        <f t="shared" si="334"/>
        <v>-2086.1</v>
      </c>
      <c r="U1498" s="85">
        <f t="shared" si="325"/>
        <v>8024.7999999999993</v>
      </c>
    </row>
    <row r="1499" spans="1:21" ht="33">
      <c r="A1499" s="61" t="str">
        <f ca="1">IF(ISERROR(MATCH(F1499,Код_КВР,0)),"",INDIRECT(ADDRESS(MATCH(F1499,Код_КВР,0)+1,2,,,"КВР")))</f>
        <v>Закупка товаров, работ, услуг в целях капитального ремонта муниципального имущества</v>
      </c>
      <c r="B1499" s="145">
        <v>811</v>
      </c>
      <c r="C1499" s="8" t="s">
        <v>213</v>
      </c>
      <c r="D1499" s="8" t="s">
        <v>190</v>
      </c>
      <c r="E1499" s="145" t="s">
        <v>77</v>
      </c>
      <c r="F1499" s="145">
        <v>243</v>
      </c>
      <c r="G1499" s="69">
        <v>10110.9</v>
      </c>
      <c r="H1499" s="69"/>
      <c r="I1499" s="69">
        <f t="shared" si="330"/>
        <v>10110.9</v>
      </c>
      <c r="J1499" s="69"/>
      <c r="K1499" s="85">
        <f t="shared" si="326"/>
        <v>10110.9</v>
      </c>
      <c r="L1499" s="13"/>
      <c r="M1499" s="85">
        <f t="shared" si="320"/>
        <v>10110.9</v>
      </c>
      <c r="N1499" s="13"/>
      <c r="O1499" s="85">
        <f t="shared" si="321"/>
        <v>10110.9</v>
      </c>
      <c r="P1499" s="13"/>
      <c r="Q1499" s="85">
        <f t="shared" si="331"/>
        <v>10110.9</v>
      </c>
      <c r="R1499" s="13"/>
      <c r="S1499" s="85">
        <f t="shared" si="327"/>
        <v>10110.9</v>
      </c>
      <c r="T1499" s="13">
        <f>-2086.1</f>
        <v>-2086.1</v>
      </c>
      <c r="U1499" s="85">
        <f t="shared" si="325"/>
        <v>8024.7999999999993</v>
      </c>
    </row>
    <row r="1500" spans="1:21" ht="49.5">
      <c r="A1500" s="61" t="str">
        <f ca="1">IF(ISERROR(MATCH(E1500,Код_КЦСР,0)),"",INDIRECT(ADDRESS(MATCH(E1500,Код_КЦСР,0)+1,2,,,"КЦСР")))</f>
        <v>Создание и развитие сети многофункциональных центров предоставления государственных и муниципальных услуг за счет иных межбюджетных трасфертов из федерального бюджета</v>
      </c>
      <c r="B1500" s="145">
        <v>811</v>
      </c>
      <c r="C1500" s="8" t="s">
        <v>213</v>
      </c>
      <c r="D1500" s="8" t="s">
        <v>190</v>
      </c>
      <c r="E1500" s="145" t="s">
        <v>692</v>
      </c>
      <c r="F1500" s="145"/>
      <c r="G1500" s="69"/>
      <c r="H1500" s="69"/>
      <c r="I1500" s="69"/>
      <c r="J1500" s="69"/>
      <c r="K1500" s="85"/>
      <c r="L1500" s="13"/>
      <c r="M1500" s="85"/>
      <c r="N1500" s="13"/>
      <c r="O1500" s="85"/>
      <c r="P1500" s="13"/>
      <c r="Q1500" s="85"/>
      <c r="R1500" s="13"/>
      <c r="S1500" s="85">
        <f>Q1500+R1500</f>
        <v>0</v>
      </c>
      <c r="T1500" s="13">
        <f t="shared" si="334"/>
        <v>13403.3</v>
      </c>
      <c r="U1500" s="85">
        <f t="shared" si="325"/>
        <v>13403.3</v>
      </c>
    </row>
    <row r="1501" spans="1:21">
      <c r="A1501" s="61" t="str">
        <f ca="1">IF(ISERROR(MATCH(F1501,Код_КВР,0)),"",INDIRECT(ADDRESS(MATCH(F1501,Код_КВР,0)+1,2,,,"КВР")))</f>
        <v>Закупка товаров, работ и услуг для муниципальных нужд</v>
      </c>
      <c r="B1501" s="145">
        <v>811</v>
      </c>
      <c r="C1501" s="8" t="s">
        <v>213</v>
      </c>
      <c r="D1501" s="8" t="s">
        <v>190</v>
      </c>
      <c r="E1501" s="145" t="s">
        <v>692</v>
      </c>
      <c r="F1501" s="145">
        <v>200</v>
      </c>
      <c r="G1501" s="69"/>
      <c r="H1501" s="69"/>
      <c r="I1501" s="69"/>
      <c r="J1501" s="69"/>
      <c r="K1501" s="85"/>
      <c r="L1501" s="13"/>
      <c r="M1501" s="85"/>
      <c r="N1501" s="13"/>
      <c r="O1501" s="85"/>
      <c r="P1501" s="13"/>
      <c r="Q1501" s="85"/>
      <c r="R1501" s="13"/>
      <c r="S1501" s="85">
        <f t="shared" si="327"/>
        <v>0</v>
      </c>
      <c r="T1501" s="13">
        <f t="shared" si="334"/>
        <v>13403.3</v>
      </c>
      <c r="U1501" s="85">
        <f t="shared" si="325"/>
        <v>13403.3</v>
      </c>
    </row>
    <row r="1502" spans="1:21" ht="33">
      <c r="A1502" s="61" t="str">
        <f ca="1">IF(ISERROR(MATCH(F1502,Код_КВР,0)),"",INDIRECT(ADDRESS(MATCH(F1502,Код_КВР,0)+1,2,,,"КВР")))</f>
        <v>Иные закупки товаров, работ и услуг для обеспечения муниципальных нужд</v>
      </c>
      <c r="B1502" s="145">
        <v>811</v>
      </c>
      <c r="C1502" s="8" t="s">
        <v>213</v>
      </c>
      <c r="D1502" s="8" t="s">
        <v>190</v>
      </c>
      <c r="E1502" s="145" t="s">
        <v>692</v>
      </c>
      <c r="F1502" s="145">
        <v>240</v>
      </c>
      <c r="G1502" s="69"/>
      <c r="H1502" s="69"/>
      <c r="I1502" s="69"/>
      <c r="J1502" s="69"/>
      <c r="K1502" s="85"/>
      <c r="L1502" s="13"/>
      <c r="M1502" s="85"/>
      <c r="N1502" s="13"/>
      <c r="O1502" s="85"/>
      <c r="P1502" s="13"/>
      <c r="Q1502" s="85"/>
      <c r="R1502" s="13"/>
      <c r="S1502" s="85">
        <f t="shared" si="327"/>
        <v>0</v>
      </c>
      <c r="T1502" s="13">
        <f t="shared" si="334"/>
        <v>13403.3</v>
      </c>
      <c r="U1502" s="85">
        <f t="shared" si="325"/>
        <v>13403.3</v>
      </c>
    </row>
    <row r="1503" spans="1:21" ht="33">
      <c r="A1503" s="61" t="str">
        <f ca="1">IF(ISERROR(MATCH(F1503,Код_КВР,0)),"",INDIRECT(ADDRESS(MATCH(F1503,Код_КВР,0)+1,2,,,"КВР")))</f>
        <v>Закупка товаров, работ, услуг в целях капитального ремонта муниципального имущества</v>
      </c>
      <c r="B1503" s="145">
        <v>811</v>
      </c>
      <c r="C1503" s="8" t="s">
        <v>213</v>
      </c>
      <c r="D1503" s="8" t="s">
        <v>190</v>
      </c>
      <c r="E1503" s="145" t="s">
        <v>692</v>
      </c>
      <c r="F1503" s="145">
        <v>243</v>
      </c>
      <c r="G1503" s="69"/>
      <c r="H1503" s="69"/>
      <c r="I1503" s="69"/>
      <c r="J1503" s="69"/>
      <c r="K1503" s="85"/>
      <c r="L1503" s="13"/>
      <c r="M1503" s="85"/>
      <c r="N1503" s="13"/>
      <c r="O1503" s="85"/>
      <c r="P1503" s="13"/>
      <c r="Q1503" s="85"/>
      <c r="R1503" s="13"/>
      <c r="S1503" s="85">
        <f t="shared" si="327"/>
        <v>0</v>
      </c>
      <c r="T1503" s="13">
        <v>13403.3</v>
      </c>
      <c r="U1503" s="85">
        <f t="shared" si="325"/>
        <v>13403.3</v>
      </c>
    </row>
    <row r="1504" spans="1:21">
      <c r="A1504" s="61" t="str">
        <f ca="1">IF(ISERROR(MATCH(C1504,Код_Раздел,0)),"",INDIRECT(ADDRESS(MATCH(C1504,Код_Раздел,0)+1,2,,,"Раздел")))</f>
        <v>Национальная экономика</v>
      </c>
      <c r="B1504" s="145">
        <v>811</v>
      </c>
      <c r="C1504" s="8" t="s">
        <v>216</v>
      </c>
      <c r="D1504" s="8"/>
      <c r="E1504" s="145"/>
      <c r="F1504" s="145"/>
      <c r="G1504" s="69">
        <f>G1505+G1516+G1546</f>
        <v>172390.99999999997</v>
      </c>
      <c r="H1504" s="69">
        <f>H1505+H1516+H1546</f>
        <v>-15804.3</v>
      </c>
      <c r="I1504" s="69">
        <f t="shared" si="330"/>
        <v>156586.69999999998</v>
      </c>
      <c r="J1504" s="69">
        <f>J1505+J1516+J1546</f>
        <v>0</v>
      </c>
      <c r="K1504" s="85">
        <f t="shared" si="326"/>
        <v>156586.69999999998</v>
      </c>
      <c r="L1504" s="13">
        <f>L1505+L1516+L1546+L1539</f>
        <v>3322.3</v>
      </c>
      <c r="M1504" s="85">
        <f t="shared" si="320"/>
        <v>159908.99999999997</v>
      </c>
      <c r="N1504" s="13">
        <f>N1505+N1516+N1546+N1539</f>
        <v>-2635.8999999999996</v>
      </c>
      <c r="O1504" s="85">
        <f t="shared" si="321"/>
        <v>157273.09999999998</v>
      </c>
      <c r="P1504" s="13">
        <f>P1505+P1516+P1546+P1539</f>
        <v>0</v>
      </c>
      <c r="Q1504" s="85">
        <f t="shared" si="331"/>
        <v>157273.09999999998</v>
      </c>
      <c r="R1504" s="13">
        <f>R1505+R1516+R1546+R1539</f>
        <v>7540.6</v>
      </c>
      <c r="S1504" s="85">
        <f t="shared" si="327"/>
        <v>164813.69999999998</v>
      </c>
      <c r="T1504" s="13">
        <f>T1505+T1516+T1546+T1539</f>
        <v>2312.900000000001</v>
      </c>
      <c r="U1504" s="85">
        <f t="shared" si="325"/>
        <v>167126.59999999998</v>
      </c>
    </row>
    <row r="1505" spans="1:21">
      <c r="A1505" s="77" t="s">
        <v>361</v>
      </c>
      <c r="B1505" s="145">
        <v>811</v>
      </c>
      <c r="C1505" s="8" t="s">
        <v>216</v>
      </c>
      <c r="D1505" s="8" t="s">
        <v>222</v>
      </c>
      <c r="E1505" s="145"/>
      <c r="F1505" s="145"/>
      <c r="G1505" s="69">
        <f>G1506+G1511</f>
        <v>82953.899999999994</v>
      </c>
      <c r="H1505" s="69">
        <f>H1506+H1511</f>
        <v>-15804.3</v>
      </c>
      <c r="I1505" s="69">
        <f t="shared" si="330"/>
        <v>67149.599999999991</v>
      </c>
      <c r="J1505" s="69">
        <f>J1506+J1511</f>
        <v>0</v>
      </c>
      <c r="K1505" s="85">
        <f t="shared" si="326"/>
        <v>67149.599999999991</v>
      </c>
      <c r="L1505" s="13">
        <f>L1506+L1511</f>
        <v>0</v>
      </c>
      <c r="M1505" s="85">
        <f t="shared" si="320"/>
        <v>67149.599999999991</v>
      </c>
      <c r="N1505" s="13">
        <f>N1506+N1511</f>
        <v>-2565.6999999999998</v>
      </c>
      <c r="O1505" s="85">
        <f t="shared" si="321"/>
        <v>64583.899999999994</v>
      </c>
      <c r="P1505" s="13">
        <f>P1506+P1511</f>
        <v>0</v>
      </c>
      <c r="Q1505" s="85">
        <f t="shared" si="331"/>
        <v>64583.899999999994</v>
      </c>
      <c r="R1505" s="13">
        <f>R1506+R1511</f>
        <v>-49.9</v>
      </c>
      <c r="S1505" s="85">
        <f t="shared" si="327"/>
        <v>64533.999999999993</v>
      </c>
      <c r="T1505" s="13">
        <f>T1506+T1511</f>
        <v>0</v>
      </c>
      <c r="U1505" s="85">
        <f t="shared" si="325"/>
        <v>64533.999999999993</v>
      </c>
    </row>
    <row r="1506" spans="1:21" ht="33">
      <c r="A1506" s="61" t="str">
        <f ca="1">IF(ISERROR(MATCH(E1506,Код_КЦСР,0)),"",INDIRECT(ADDRESS(MATCH(E1506,Код_КЦСР,0)+1,2,,,"КЦСР")))</f>
        <v>Муниципальная программа «Развитие городского общественного транспорта» на 2014-2016 годы</v>
      </c>
      <c r="B1506" s="145">
        <v>811</v>
      </c>
      <c r="C1506" s="8" t="s">
        <v>216</v>
      </c>
      <c r="D1506" s="8" t="s">
        <v>222</v>
      </c>
      <c r="E1506" s="145" t="s">
        <v>38</v>
      </c>
      <c r="F1506" s="145"/>
      <c r="G1506" s="69">
        <f t="shared" ref="G1506:T1509" si="335">G1507</f>
        <v>18724.900000000001</v>
      </c>
      <c r="H1506" s="69">
        <f t="shared" si="335"/>
        <v>0</v>
      </c>
      <c r="I1506" s="69">
        <f t="shared" si="330"/>
        <v>18724.900000000001</v>
      </c>
      <c r="J1506" s="69">
        <f t="shared" si="335"/>
        <v>0</v>
      </c>
      <c r="K1506" s="85">
        <f t="shared" si="326"/>
        <v>18724.900000000001</v>
      </c>
      <c r="L1506" s="13">
        <f t="shared" si="335"/>
        <v>0</v>
      </c>
      <c r="M1506" s="85">
        <f t="shared" si="320"/>
        <v>18724.900000000001</v>
      </c>
      <c r="N1506" s="13">
        <f t="shared" si="335"/>
        <v>0</v>
      </c>
      <c r="O1506" s="85">
        <f t="shared" si="321"/>
        <v>18724.900000000001</v>
      </c>
      <c r="P1506" s="13">
        <f t="shared" si="335"/>
        <v>0</v>
      </c>
      <c r="Q1506" s="85">
        <f t="shared" si="331"/>
        <v>18724.900000000001</v>
      </c>
      <c r="R1506" s="13">
        <f t="shared" si="335"/>
        <v>0</v>
      </c>
      <c r="S1506" s="85">
        <f t="shared" si="327"/>
        <v>18724.900000000001</v>
      </c>
      <c r="T1506" s="13">
        <f t="shared" si="335"/>
        <v>0</v>
      </c>
      <c r="U1506" s="85">
        <f t="shared" si="325"/>
        <v>18724.900000000001</v>
      </c>
    </row>
    <row r="1507" spans="1:21">
      <c r="A1507" s="61" t="str">
        <f ca="1">IF(ISERROR(MATCH(E1507,Код_КЦСР,0)),"",INDIRECT(ADDRESS(MATCH(E1507,Код_КЦСР,0)+1,2,,,"КЦСР")))</f>
        <v>Приобретение автобусов в муниципальную собственность</v>
      </c>
      <c r="B1507" s="145">
        <v>811</v>
      </c>
      <c r="C1507" s="8" t="s">
        <v>216</v>
      </c>
      <c r="D1507" s="8" t="s">
        <v>222</v>
      </c>
      <c r="E1507" s="145" t="s">
        <v>40</v>
      </c>
      <c r="F1507" s="145"/>
      <c r="G1507" s="69">
        <f t="shared" si="335"/>
        <v>18724.900000000001</v>
      </c>
      <c r="H1507" s="69">
        <f t="shared" si="335"/>
        <v>0</v>
      </c>
      <c r="I1507" s="69">
        <f t="shared" si="330"/>
        <v>18724.900000000001</v>
      </c>
      <c r="J1507" s="69">
        <f t="shared" si="335"/>
        <v>0</v>
      </c>
      <c r="K1507" s="85">
        <f t="shared" si="326"/>
        <v>18724.900000000001</v>
      </c>
      <c r="L1507" s="13">
        <f t="shared" si="335"/>
        <v>0</v>
      </c>
      <c r="M1507" s="85">
        <f t="shared" si="320"/>
        <v>18724.900000000001</v>
      </c>
      <c r="N1507" s="13">
        <f t="shared" si="335"/>
        <v>0</v>
      </c>
      <c r="O1507" s="85">
        <f t="shared" si="321"/>
        <v>18724.900000000001</v>
      </c>
      <c r="P1507" s="13">
        <f t="shared" si="335"/>
        <v>0</v>
      </c>
      <c r="Q1507" s="85">
        <f t="shared" si="331"/>
        <v>18724.900000000001</v>
      </c>
      <c r="R1507" s="13">
        <f t="shared" si="335"/>
        <v>0</v>
      </c>
      <c r="S1507" s="85">
        <f t="shared" si="327"/>
        <v>18724.900000000001</v>
      </c>
      <c r="T1507" s="13">
        <f t="shared" si="335"/>
        <v>0</v>
      </c>
      <c r="U1507" s="85">
        <f t="shared" si="325"/>
        <v>18724.900000000001</v>
      </c>
    </row>
    <row r="1508" spans="1:21">
      <c r="A1508" s="61" t="str">
        <f ca="1">IF(ISERROR(MATCH(F1508,Код_КВР,0)),"",INDIRECT(ADDRESS(MATCH(F1508,Код_КВР,0)+1,2,,,"КВР")))</f>
        <v>Закупка товаров, работ и услуг для муниципальных нужд</v>
      </c>
      <c r="B1508" s="145">
        <v>811</v>
      </c>
      <c r="C1508" s="8" t="s">
        <v>216</v>
      </c>
      <c r="D1508" s="8" t="s">
        <v>222</v>
      </c>
      <c r="E1508" s="145" t="s">
        <v>40</v>
      </c>
      <c r="F1508" s="145">
        <v>200</v>
      </c>
      <c r="G1508" s="69">
        <f t="shared" si="335"/>
        <v>18724.900000000001</v>
      </c>
      <c r="H1508" s="69">
        <f t="shared" si="335"/>
        <v>0</v>
      </c>
      <c r="I1508" s="69">
        <f t="shared" si="330"/>
        <v>18724.900000000001</v>
      </c>
      <c r="J1508" s="69">
        <f t="shared" si="335"/>
        <v>0</v>
      </c>
      <c r="K1508" s="85">
        <f t="shared" si="326"/>
        <v>18724.900000000001</v>
      </c>
      <c r="L1508" s="13">
        <f t="shared" si="335"/>
        <v>0</v>
      </c>
      <c r="M1508" s="85">
        <f t="shared" si="320"/>
        <v>18724.900000000001</v>
      </c>
      <c r="N1508" s="13">
        <f t="shared" si="335"/>
        <v>0</v>
      </c>
      <c r="O1508" s="85">
        <f t="shared" si="321"/>
        <v>18724.900000000001</v>
      </c>
      <c r="P1508" s="13">
        <f t="shared" si="335"/>
        <v>0</v>
      </c>
      <c r="Q1508" s="85">
        <f t="shared" si="331"/>
        <v>18724.900000000001</v>
      </c>
      <c r="R1508" s="13">
        <f t="shared" si="335"/>
        <v>0</v>
      </c>
      <c r="S1508" s="85">
        <f t="shared" si="327"/>
        <v>18724.900000000001</v>
      </c>
      <c r="T1508" s="13">
        <f t="shared" si="335"/>
        <v>0</v>
      </c>
      <c r="U1508" s="85">
        <f t="shared" si="325"/>
        <v>18724.900000000001</v>
      </c>
    </row>
    <row r="1509" spans="1:21" ht="33">
      <c r="A1509" s="61" t="str">
        <f ca="1">IF(ISERROR(MATCH(F1509,Код_КВР,0)),"",INDIRECT(ADDRESS(MATCH(F1509,Код_КВР,0)+1,2,,,"КВР")))</f>
        <v>Иные закупки товаров, работ и услуг для обеспечения муниципальных нужд</v>
      </c>
      <c r="B1509" s="145">
        <v>811</v>
      </c>
      <c r="C1509" s="8" t="s">
        <v>216</v>
      </c>
      <c r="D1509" s="8" t="s">
        <v>222</v>
      </c>
      <c r="E1509" s="145" t="s">
        <v>40</v>
      </c>
      <c r="F1509" s="145">
        <v>240</v>
      </c>
      <c r="G1509" s="69">
        <f t="shared" si="335"/>
        <v>18724.900000000001</v>
      </c>
      <c r="H1509" s="69">
        <f t="shared" si="335"/>
        <v>0</v>
      </c>
      <c r="I1509" s="69">
        <f t="shared" si="330"/>
        <v>18724.900000000001</v>
      </c>
      <c r="J1509" s="69">
        <f t="shared" si="335"/>
        <v>0</v>
      </c>
      <c r="K1509" s="85">
        <f t="shared" si="326"/>
        <v>18724.900000000001</v>
      </c>
      <c r="L1509" s="13">
        <f t="shared" si="335"/>
        <v>0</v>
      </c>
      <c r="M1509" s="85">
        <f t="shared" si="320"/>
        <v>18724.900000000001</v>
      </c>
      <c r="N1509" s="13">
        <f t="shared" si="335"/>
        <v>0</v>
      </c>
      <c r="O1509" s="85">
        <f t="shared" si="321"/>
        <v>18724.900000000001</v>
      </c>
      <c r="P1509" s="13">
        <f t="shared" si="335"/>
        <v>0</v>
      </c>
      <c r="Q1509" s="85">
        <f t="shared" si="331"/>
        <v>18724.900000000001</v>
      </c>
      <c r="R1509" s="13">
        <f t="shared" si="335"/>
        <v>0</v>
      </c>
      <c r="S1509" s="85">
        <f t="shared" si="327"/>
        <v>18724.900000000001</v>
      </c>
      <c r="T1509" s="13">
        <f t="shared" si="335"/>
        <v>0</v>
      </c>
      <c r="U1509" s="85">
        <f t="shared" si="325"/>
        <v>18724.900000000001</v>
      </c>
    </row>
    <row r="1510" spans="1:21" ht="33">
      <c r="A1510" s="61" t="str">
        <f ca="1">IF(ISERROR(MATCH(F1510,Код_КВР,0)),"",INDIRECT(ADDRESS(MATCH(F1510,Код_КВР,0)+1,2,,,"КВР")))</f>
        <v xml:space="preserve">Прочая закупка товаров, работ и услуг для обеспечения муниципальных нужд         </v>
      </c>
      <c r="B1510" s="145">
        <v>811</v>
      </c>
      <c r="C1510" s="8" t="s">
        <v>216</v>
      </c>
      <c r="D1510" s="8" t="s">
        <v>222</v>
      </c>
      <c r="E1510" s="145" t="s">
        <v>40</v>
      </c>
      <c r="F1510" s="145">
        <v>244</v>
      </c>
      <c r="G1510" s="69">
        <v>18724.900000000001</v>
      </c>
      <c r="H1510" s="69"/>
      <c r="I1510" s="69">
        <f t="shared" si="330"/>
        <v>18724.900000000001</v>
      </c>
      <c r="J1510" s="69"/>
      <c r="K1510" s="85">
        <f t="shared" si="326"/>
        <v>18724.900000000001</v>
      </c>
      <c r="L1510" s="13"/>
      <c r="M1510" s="85">
        <f t="shared" ref="M1510:M1614" si="336">K1510+L1510</f>
        <v>18724.900000000001</v>
      </c>
      <c r="N1510" s="13"/>
      <c r="O1510" s="85">
        <f t="shared" ref="O1510:O1614" si="337">M1510+N1510</f>
        <v>18724.900000000001</v>
      </c>
      <c r="P1510" s="13"/>
      <c r="Q1510" s="85">
        <f t="shared" si="331"/>
        <v>18724.900000000001</v>
      </c>
      <c r="R1510" s="13"/>
      <c r="S1510" s="85">
        <f t="shared" si="327"/>
        <v>18724.900000000001</v>
      </c>
      <c r="T1510" s="13"/>
      <c r="U1510" s="85">
        <f t="shared" ref="U1510:U1573" si="338">S1510+T1510</f>
        <v>18724.900000000001</v>
      </c>
    </row>
    <row r="1511" spans="1:21" ht="33">
      <c r="A1511" s="61" t="str">
        <f ca="1">IF(ISERROR(MATCH(E1511,Код_КЦСР,0)),"",INDIRECT(ADDRESS(MATCH(E1511,Код_КЦСР,0)+1,2,,,"КЦСР")))</f>
        <v>Муниципальная программа «Развитие земельно-имущественного комплекса  города Череповца» на 2014-2018 годы</v>
      </c>
      <c r="B1511" s="145">
        <v>811</v>
      </c>
      <c r="C1511" s="8" t="s">
        <v>216</v>
      </c>
      <c r="D1511" s="8" t="s">
        <v>222</v>
      </c>
      <c r="E1511" s="145" t="s">
        <v>61</v>
      </c>
      <c r="F1511" s="145"/>
      <c r="G1511" s="69">
        <f t="shared" ref="G1511:T1514" si="339">G1512</f>
        <v>64229</v>
      </c>
      <c r="H1511" s="69">
        <f t="shared" si="339"/>
        <v>-15804.3</v>
      </c>
      <c r="I1511" s="69">
        <f t="shared" si="330"/>
        <v>48424.7</v>
      </c>
      <c r="J1511" s="69">
        <f t="shared" si="339"/>
        <v>0</v>
      </c>
      <c r="K1511" s="85">
        <f t="shared" si="326"/>
        <v>48424.7</v>
      </c>
      <c r="L1511" s="13">
        <f t="shared" si="339"/>
        <v>0</v>
      </c>
      <c r="M1511" s="85">
        <f t="shared" si="336"/>
        <v>48424.7</v>
      </c>
      <c r="N1511" s="13">
        <f t="shared" si="339"/>
        <v>-2565.6999999999998</v>
      </c>
      <c r="O1511" s="85">
        <f t="shared" si="337"/>
        <v>45859</v>
      </c>
      <c r="P1511" s="13">
        <f t="shared" si="339"/>
        <v>0</v>
      </c>
      <c r="Q1511" s="85">
        <f t="shared" si="331"/>
        <v>45859</v>
      </c>
      <c r="R1511" s="13">
        <f t="shared" si="339"/>
        <v>-49.9</v>
      </c>
      <c r="S1511" s="85">
        <f t="shared" si="327"/>
        <v>45809.1</v>
      </c>
      <c r="T1511" s="13">
        <f t="shared" si="339"/>
        <v>0</v>
      </c>
      <c r="U1511" s="85">
        <f t="shared" si="338"/>
        <v>45809.1</v>
      </c>
    </row>
    <row r="1512" spans="1:21" ht="33">
      <c r="A1512" s="61" t="str">
        <f ca="1">IF(ISERROR(MATCH(E1512,Код_КЦСР,0)),"",INDIRECT(ADDRESS(MATCH(E1512,Код_КЦСР,0)+1,2,,,"КЦСР")))</f>
        <v>Формирование и обеспечение сохранности муниципального земельно-имущественного комплекса</v>
      </c>
      <c r="B1512" s="145">
        <v>811</v>
      </c>
      <c r="C1512" s="8" t="s">
        <v>216</v>
      </c>
      <c r="D1512" s="8" t="s">
        <v>222</v>
      </c>
      <c r="E1512" s="145" t="s">
        <v>63</v>
      </c>
      <c r="F1512" s="145"/>
      <c r="G1512" s="69">
        <f t="shared" si="339"/>
        <v>64229</v>
      </c>
      <c r="H1512" s="69">
        <f t="shared" si="339"/>
        <v>-15804.3</v>
      </c>
      <c r="I1512" s="69">
        <f t="shared" si="330"/>
        <v>48424.7</v>
      </c>
      <c r="J1512" s="69">
        <f t="shared" si="339"/>
        <v>0</v>
      </c>
      <c r="K1512" s="85">
        <f t="shared" si="326"/>
        <v>48424.7</v>
      </c>
      <c r="L1512" s="13">
        <f t="shared" si="339"/>
        <v>0</v>
      </c>
      <c r="M1512" s="85">
        <f t="shared" si="336"/>
        <v>48424.7</v>
      </c>
      <c r="N1512" s="13">
        <f t="shared" si="339"/>
        <v>-2565.6999999999998</v>
      </c>
      <c r="O1512" s="85">
        <f t="shared" si="337"/>
        <v>45859</v>
      </c>
      <c r="P1512" s="13">
        <f t="shared" si="339"/>
        <v>0</v>
      </c>
      <c r="Q1512" s="85">
        <f t="shared" si="331"/>
        <v>45859</v>
      </c>
      <c r="R1512" s="13">
        <f t="shared" si="339"/>
        <v>-49.9</v>
      </c>
      <c r="S1512" s="85">
        <f t="shared" si="327"/>
        <v>45809.1</v>
      </c>
      <c r="T1512" s="13">
        <f t="shared" si="339"/>
        <v>0</v>
      </c>
      <c r="U1512" s="85">
        <f t="shared" si="338"/>
        <v>45809.1</v>
      </c>
    </row>
    <row r="1513" spans="1:21">
      <c r="A1513" s="61" t="str">
        <f ca="1">IF(ISERROR(MATCH(F1513,Код_КВР,0)),"",INDIRECT(ADDRESS(MATCH(F1513,Код_КВР,0)+1,2,,,"КВР")))</f>
        <v>Закупка товаров, работ и услуг для муниципальных нужд</v>
      </c>
      <c r="B1513" s="145">
        <v>811</v>
      </c>
      <c r="C1513" s="8" t="s">
        <v>216</v>
      </c>
      <c r="D1513" s="8" t="s">
        <v>222</v>
      </c>
      <c r="E1513" s="145" t="s">
        <v>63</v>
      </c>
      <c r="F1513" s="145">
        <v>200</v>
      </c>
      <c r="G1513" s="69">
        <f t="shared" si="339"/>
        <v>64229</v>
      </c>
      <c r="H1513" s="69">
        <f t="shared" si="339"/>
        <v>-15804.3</v>
      </c>
      <c r="I1513" s="69">
        <f t="shared" si="330"/>
        <v>48424.7</v>
      </c>
      <c r="J1513" s="69">
        <f t="shared" si="339"/>
        <v>0</v>
      </c>
      <c r="K1513" s="85">
        <f t="shared" si="326"/>
        <v>48424.7</v>
      </c>
      <c r="L1513" s="13">
        <f t="shared" si="339"/>
        <v>0</v>
      </c>
      <c r="M1513" s="85">
        <f t="shared" si="336"/>
        <v>48424.7</v>
      </c>
      <c r="N1513" s="13">
        <f t="shared" si="339"/>
        <v>-2565.6999999999998</v>
      </c>
      <c r="O1513" s="85">
        <f t="shared" si="337"/>
        <v>45859</v>
      </c>
      <c r="P1513" s="13">
        <f t="shared" si="339"/>
        <v>0</v>
      </c>
      <c r="Q1513" s="85">
        <f t="shared" si="331"/>
        <v>45859</v>
      </c>
      <c r="R1513" s="13">
        <f t="shared" si="339"/>
        <v>-49.9</v>
      </c>
      <c r="S1513" s="85">
        <f t="shared" si="327"/>
        <v>45809.1</v>
      </c>
      <c r="T1513" s="13">
        <f t="shared" si="339"/>
        <v>0</v>
      </c>
      <c r="U1513" s="85">
        <f t="shared" si="338"/>
        <v>45809.1</v>
      </c>
    </row>
    <row r="1514" spans="1:21" ht="33">
      <c r="A1514" s="61" t="str">
        <f ca="1">IF(ISERROR(MATCH(F1514,Код_КВР,0)),"",INDIRECT(ADDRESS(MATCH(F1514,Код_КВР,0)+1,2,,,"КВР")))</f>
        <v>Иные закупки товаров, работ и услуг для обеспечения муниципальных нужд</v>
      </c>
      <c r="B1514" s="145">
        <v>811</v>
      </c>
      <c r="C1514" s="8" t="s">
        <v>216</v>
      </c>
      <c r="D1514" s="8" t="s">
        <v>222</v>
      </c>
      <c r="E1514" s="145" t="s">
        <v>63</v>
      </c>
      <c r="F1514" s="145">
        <v>240</v>
      </c>
      <c r="G1514" s="69">
        <f t="shared" si="339"/>
        <v>64229</v>
      </c>
      <c r="H1514" s="69">
        <f t="shared" si="339"/>
        <v>-15804.3</v>
      </c>
      <c r="I1514" s="69">
        <f t="shared" si="330"/>
        <v>48424.7</v>
      </c>
      <c r="J1514" s="69">
        <f t="shared" si="339"/>
        <v>0</v>
      </c>
      <c r="K1514" s="85">
        <f t="shared" si="326"/>
        <v>48424.7</v>
      </c>
      <c r="L1514" s="13">
        <f t="shared" si="339"/>
        <v>0</v>
      </c>
      <c r="M1514" s="85">
        <f t="shared" si="336"/>
        <v>48424.7</v>
      </c>
      <c r="N1514" s="13">
        <f t="shared" si="339"/>
        <v>-2565.6999999999998</v>
      </c>
      <c r="O1514" s="85">
        <f t="shared" si="337"/>
        <v>45859</v>
      </c>
      <c r="P1514" s="13">
        <f t="shared" si="339"/>
        <v>0</v>
      </c>
      <c r="Q1514" s="85">
        <f t="shared" si="331"/>
        <v>45859</v>
      </c>
      <c r="R1514" s="13">
        <f t="shared" si="339"/>
        <v>-49.9</v>
      </c>
      <c r="S1514" s="85">
        <f t="shared" si="327"/>
        <v>45809.1</v>
      </c>
      <c r="T1514" s="13">
        <f t="shared" si="339"/>
        <v>0</v>
      </c>
      <c r="U1514" s="85">
        <f t="shared" si="338"/>
        <v>45809.1</v>
      </c>
    </row>
    <row r="1515" spans="1:21" ht="33">
      <c r="A1515" s="61" t="str">
        <f ca="1">IF(ISERROR(MATCH(F1515,Код_КВР,0)),"",INDIRECT(ADDRESS(MATCH(F1515,Код_КВР,0)+1,2,,,"КВР")))</f>
        <v xml:space="preserve">Прочая закупка товаров, работ и услуг для обеспечения муниципальных нужд         </v>
      </c>
      <c r="B1515" s="145">
        <v>811</v>
      </c>
      <c r="C1515" s="8" t="s">
        <v>216</v>
      </c>
      <c r="D1515" s="8" t="s">
        <v>222</v>
      </c>
      <c r="E1515" s="145" t="s">
        <v>63</v>
      </c>
      <c r="F1515" s="145">
        <v>244</v>
      </c>
      <c r="G1515" s="69">
        <v>64229</v>
      </c>
      <c r="H1515" s="69">
        <v>-15804.3</v>
      </c>
      <c r="I1515" s="69">
        <f t="shared" si="330"/>
        <v>48424.7</v>
      </c>
      <c r="J1515" s="69"/>
      <c r="K1515" s="85">
        <f t="shared" si="326"/>
        <v>48424.7</v>
      </c>
      <c r="L1515" s="13"/>
      <c r="M1515" s="85">
        <f t="shared" si="336"/>
        <v>48424.7</v>
      </c>
      <c r="N1515" s="13">
        <v>-2565.6999999999998</v>
      </c>
      <c r="O1515" s="85">
        <f t="shared" si="337"/>
        <v>45859</v>
      </c>
      <c r="P1515" s="13"/>
      <c r="Q1515" s="85">
        <f t="shared" si="331"/>
        <v>45859</v>
      </c>
      <c r="R1515" s="13">
        <v>-49.9</v>
      </c>
      <c r="S1515" s="85">
        <f t="shared" si="327"/>
        <v>45809.1</v>
      </c>
      <c r="T1515" s="13"/>
      <c r="U1515" s="85">
        <f t="shared" si="338"/>
        <v>45809.1</v>
      </c>
    </row>
    <row r="1516" spans="1:21">
      <c r="A1516" s="77" t="s">
        <v>180</v>
      </c>
      <c r="B1516" s="145">
        <v>811</v>
      </c>
      <c r="C1516" s="8" t="s">
        <v>216</v>
      </c>
      <c r="D1516" s="8" t="s">
        <v>219</v>
      </c>
      <c r="E1516" s="145"/>
      <c r="F1516" s="145"/>
      <c r="G1516" s="69">
        <f t="shared" ref="G1516:T1521" si="340">G1517</f>
        <v>2004.9</v>
      </c>
      <c r="H1516" s="69">
        <f t="shared" si="340"/>
        <v>0</v>
      </c>
      <c r="I1516" s="69">
        <f t="shared" si="330"/>
        <v>2004.9</v>
      </c>
      <c r="J1516" s="69">
        <f t="shared" si="340"/>
        <v>-594.6</v>
      </c>
      <c r="K1516" s="85">
        <f t="shared" si="326"/>
        <v>1410.3000000000002</v>
      </c>
      <c r="L1516" s="13">
        <f t="shared" si="340"/>
        <v>2159</v>
      </c>
      <c r="M1516" s="85">
        <f t="shared" si="336"/>
        <v>3569.3</v>
      </c>
      <c r="N1516" s="13">
        <f t="shared" si="340"/>
        <v>0</v>
      </c>
      <c r="O1516" s="85">
        <f t="shared" si="337"/>
        <v>3569.3</v>
      </c>
      <c r="P1516" s="13">
        <f t="shared" si="340"/>
        <v>0</v>
      </c>
      <c r="Q1516" s="85">
        <f t="shared" si="331"/>
        <v>3569.3</v>
      </c>
      <c r="R1516" s="13">
        <f t="shared" si="340"/>
        <v>4378.7</v>
      </c>
      <c r="S1516" s="85">
        <f t="shared" si="327"/>
        <v>7948</v>
      </c>
      <c r="T1516" s="13">
        <f t="shared" si="340"/>
        <v>-2466.2999999999997</v>
      </c>
      <c r="U1516" s="85">
        <f t="shared" si="338"/>
        <v>5481.7000000000007</v>
      </c>
    </row>
    <row r="1517" spans="1:21" ht="49.5">
      <c r="A1517" s="61" t="str">
        <f ca="1">IF(ISERROR(MATCH(E1517,Код_КЦСР,0)),"",INDIRECT(ADDRESS(MATCH(E1517,Код_КЦСР,0)+1,2,,,"КЦСР")))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517" s="145">
        <v>811</v>
      </c>
      <c r="C1517" s="8" t="s">
        <v>216</v>
      </c>
      <c r="D1517" s="8" t="s">
        <v>219</v>
      </c>
      <c r="E1517" s="145" t="s">
        <v>69</v>
      </c>
      <c r="F1517" s="145"/>
      <c r="G1517" s="69">
        <f t="shared" si="340"/>
        <v>2004.9</v>
      </c>
      <c r="H1517" s="69">
        <f t="shared" si="340"/>
        <v>0</v>
      </c>
      <c r="I1517" s="69">
        <f t="shared" si="330"/>
        <v>2004.9</v>
      </c>
      <c r="J1517" s="69">
        <f t="shared" si="340"/>
        <v>-594.6</v>
      </c>
      <c r="K1517" s="85">
        <f t="shared" si="326"/>
        <v>1410.3000000000002</v>
      </c>
      <c r="L1517" s="13">
        <f t="shared" si="340"/>
        <v>2159</v>
      </c>
      <c r="M1517" s="85">
        <f t="shared" si="336"/>
        <v>3569.3</v>
      </c>
      <c r="N1517" s="13">
        <f t="shared" si="340"/>
        <v>0</v>
      </c>
      <c r="O1517" s="85">
        <f t="shared" si="337"/>
        <v>3569.3</v>
      </c>
      <c r="P1517" s="13">
        <f t="shared" si="340"/>
        <v>0</v>
      </c>
      <c r="Q1517" s="85">
        <f t="shared" si="331"/>
        <v>3569.3</v>
      </c>
      <c r="R1517" s="13">
        <f>R1518</f>
        <v>4378.7</v>
      </c>
      <c r="S1517" s="85">
        <f t="shared" si="327"/>
        <v>7948</v>
      </c>
      <c r="T1517" s="13">
        <f>T1518</f>
        <v>-2466.2999999999997</v>
      </c>
      <c r="U1517" s="85">
        <f t="shared" si="338"/>
        <v>5481.7000000000007</v>
      </c>
    </row>
    <row r="1518" spans="1:21" ht="33">
      <c r="A1518" s="61" t="str">
        <f ca="1">IF(ISERROR(MATCH(E1518,Код_КЦСР,0)),"",INDIRECT(ADDRESS(MATCH(E1518,Код_КЦСР,0)+1,2,,,"КЦСР")))</f>
        <v>Капитальное строительство и реконструкция объектов муниципальной собственности</v>
      </c>
      <c r="B1518" s="145">
        <v>811</v>
      </c>
      <c r="C1518" s="8" t="s">
        <v>216</v>
      </c>
      <c r="D1518" s="8" t="s">
        <v>219</v>
      </c>
      <c r="E1518" s="145" t="s">
        <v>71</v>
      </c>
      <c r="F1518" s="145"/>
      <c r="G1518" s="69">
        <f t="shared" si="340"/>
        <v>2004.9</v>
      </c>
      <c r="H1518" s="69">
        <f t="shared" si="340"/>
        <v>0</v>
      </c>
      <c r="I1518" s="69">
        <f t="shared" si="330"/>
        <v>2004.9</v>
      </c>
      <c r="J1518" s="69">
        <f t="shared" si="340"/>
        <v>-594.6</v>
      </c>
      <c r="K1518" s="85">
        <f t="shared" si="326"/>
        <v>1410.3000000000002</v>
      </c>
      <c r="L1518" s="13">
        <f t="shared" si="340"/>
        <v>2159</v>
      </c>
      <c r="M1518" s="85">
        <f t="shared" si="336"/>
        <v>3569.3</v>
      </c>
      <c r="N1518" s="13">
        <f t="shared" si="340"/>
        <v>0</v>
      </c>
      <c r="O1518" s="85">
        <f t="shared" si="337"/>
        <v>3569.3</v>
      </c>
      <c r="P1518" s="13">
        <f t="shared" si="340"/>
        <v>0</v>
      </c>
      <c r="Q1518" s="85">
        <f t="shared" si="331"/>
        <v>3569.3</v>
      </c>
      <c r="R1518" s="13">
        <f>R1519+R1523+R1527+R1531+R1535</f>
        <v>4378.7</v>
      </c>
      <c r="S1518" s="85">
        <f t="shared" si="327"/>
        <v>7948</v>
      </c>
      <c r="T1518" s="13">
        <f>T1519+T1523+T1527+T1531+T1535</f>
        <v>-2466.2999999999997</v>
      </c>
      <c r="U1518" s="85">
        <f t="shared" si="338"/>
        <v>5481.7000000000007</v>
      </c>
    </row>
    <row r="1519" spans="1:21">
      <c r="A1519" s="61" t="str">
        <f ca="1">IF(ISERROR(MATCH(E1519,Код_КЦСР,0)),"",INDIRECT(ADDRESS(MATCH(E1519,Код_КЦСР,0)+1,2,,,"КЦСР")))</f>
        <v>Строительство объектов сметной стоимостью до 100 млн. рублей</v>
      </c>
      <c r="B1519" s="145">
        <v>811</v>
      </c>
      <c r="C1519" s="8" t="s">
        <v>216</v>
      </c>
      <c r="D1519" s="8" t="s">
        <v>219</v>
      </c>
      <c r="E1519" s="145" t="s">
        <v>72</v>
      </c>
      <c r="F1519" s="145"/>
      <c r="G1519" s="69">
        <f t="shared" si="340"/>
        <v>2004.9</v>
      </c>
      <c r="H1519" s="69">
        <f t="shared" si="340"/>
        <v>0</v>
      </c>
      <c r="I1519" s="69">
        <f t="shared" si="330"/>
        <v>2004.9</v>
      </c>
      <c r="J1519" s="69">
        <f t="shared" si="340"/>
        <v>-594.6</v>
      </c>
      <c r="K1519" s="85">
        <f t="shared" si="326"/>
        <v>1410.3000000000002</v>
      </c>
      <c r="L1519" s="13">
        <f t="shared" si="340"/>
        <v>2159</v>
      </c>
      <c r="M1519" s="85">
        <f t="shared" si="336"/>
        <v>3569.3</v>
      </c>
      <c r="N1519" s="13">
        <f t="shared" si="340"/>
        <v>0</v>
      </c>
      <c r="O1519" s="85">
        <f t="shared" si="337"/>
        <v>3569.3</v>
      </c>
      <c r="P1519" s="13">
        <f t="shared" si="340"/>
        <v>0</v>
      </c>
      <c r="Q1519" s="85">
        <f t="shared" si="331"/>
        <v>3569.3</v>
      </c>
      <c r="R1519" s="13">
        <f t="shared" si="340"/>
        <v>806.19999999999993</v>
      </c>
      <c r="S1519" s="85">
        <f t="shared" si="327"/>
        <v>4375.5</v>
      </c>
      <c r="T1519" s="13">
        <f t="shared" si="340"/>
        <v>-758.5</v>
      </c>
      <c r="U1519" s="85">
        <f t="shared" si="338"/>
        <v>3617</v>
      </c>
    </row>
    <row r="1520" spans="1:21" ht="33">
      <c r="A1520" s="61" t="str">
        <f ca="1">IF(ISERROR(MATCH(F1520,Код_КВР,0)),"",INDIRECT(ADDRESS(MATCH(F1520,Код_КВР,0)+1,2,,,"КВР")))</f>
        <v>Капитальные вложения в объекты недвижимого имущества муниципальной собственности</v>
      </c>
      <c r="B1520" s="145">
        <v>811</v>
      </c>
      <c r="C1520" s="8" t="s">
        <v>216</v>
      </c>
      <c r="D1520" s="8" t="s">
        <v>219</v>
      </c>
      <c r="E1520" s="145" t="s">
        <v>72</v>
      </c>
      <c r="F1520" s="145">
        <v>400</v>
      </c>
      <c r="G1520" s="69">
        <f t="shared" si="340"/>
        <v>2004.9</v>
      </c>
      <c r="H1520" s="69">
        <f t="shared" si="340"/>
        <v>0</v>
      </c>
      <c r="I1520" s="69">
        <f t="shared" si="330"/>
        <v>2004.9</v>
      </c>
      <c r="J1520" s="69">
        <f t="shared" si="340"/>
        <v>-594.6</v>
      </c>
      <c r="K1520" s="85">
        <f t="shared" si="326"/>
        <v>1410.3000000000002</v>
      </c>
      <c r="L1520" s="13">
        <f t="shared" si="340"/>
        <v>2159</v>
      </c>
      <c r="M1520" s="85">
        <f t="shared" si="336"/>
        <v>3569.3</v>
      </c>
      <c r="N1520" s="13">
        <f t="shared" si="340"/>
        <v>0</v>
      </c>
      <c r="O1520" s="85">
        <f t="shared" si="337"/>
        <v>3569.3</v>
      </c>
      <c r="P1520" s="13">
        <f t="shared" si="340"/>
        <v>0</v>
      </c>
      <c r="Q1520" s="85">
        <f t="shared" si="331"/>
        <v>3569.3</v>
      </c>
      <c r="R1520" s="13">
        <f t="shared" si="340"/>
        <v>806.19999999999993</v>
      </c>
      <c r="S1520" s="85">
        <f t="shared" si="327"/>
        <v>4375.5</v>
      </c>
      <c r="T1520" s="13">
        <f t="shared" si="340"/>
        <v>-758.5</v>
      </c>
      <c r="U1520" s="85">
        <f t="shared" si="338"/>
        <v>3617</v>
      </c>
    </row>
    <row r="1521" spans="1:21">
      <c r="A1521" s="61" t="str">
        <f ca="1">IF(ISERROR(MATCH(F1521,Код_КВР,0)),"",INDIRECT(ADDRESS(MATCH(F1521,Код_КВР,0)+1,2,,,"КВР")))</f>
        <v>Бюджетные инвестиции</v>
      </c>
      <c r="B1521" s="145">
        <v>811</v>
      </c>
      <c r="C1521" s="8" t="s">
        <v>216</v>
      </c>
      <c r="D1521" s="8" t="s">
        <v>219</v>
      </c>
      <c r="E1521" s="145" t="s">
        <v>72</v>
      </c>
      <c r="F1521" s="145">
        <v>410</v>
      </c>
      <c r="G1521" s="69">
        <f t="shared" si="340"/>
        <v>2004.9</v>
      </c>
      <c r="H1521" s="69">
        <f t="shared" si="340"/>
        <v>0</v>
      </c>
      <c r="I1521" s="69">
        <f t="shared" si="330"/>
        <v>2004.9</v>
      </c>
      <c r="J1521" s="69">
        <f t="shared" si="340"/>
        <v>-594.6</v>
      </c>
      <c r="K1521" s="85">
        <f t="shared" si="326"/>
        <v>1410.3000000000002</v>
      </c>
      <c r="L1521" s="13">
        <f t="shared" si="340"/>
        <v>2159</v>
      </c>
      <c r="M1521" s="85">
        <f t="shared" si="336"/>
        <v>3569.3</v>
      </c>
      <c r="N1521" s="13">
        <f t="shared" si="340"/>
        <v>0</v>
      </c>
      <c r="O1521" s="85">
        <f t="shared" si="337"/>
        <v>3569.3</v>
      </c>
      <c r="P1521" s="13">
        <f t="shared" si="340"/>
        <v>0</v>
      </c>
      <c r="Q1521" s="85">
        <f t="shared" si="331"/>
        <v>3569.3</v>
      </c>
      <c r="R1521" s="13">
        <f t="shared" si="340"/>
        <v>806.19999999999993</v>
      </c>
      <c r="S1521" s="85">
        <f t="shared" si="327"/>
        <v>4375.5</v>
      </c>
      <c r="T1521" s="13">
        <f t="shared" si="340"/>
        <v>-758.5</v>
      </c>
      <c r="U1521" s="85">
        <f t="shared" si="338"/>
        <v>3617</v>
      </c>
    </row>
    <row r="1522" spans="1:21" ht="33">
      <c r="A1522" s="61" t="str">
        <f ca="1">IF(ISERROR(MATCH(F1522,Код_КВР,0)),"",INDIRECT(ADDRESS(MATCH(F1522,Код_КВР,0)+1,2,,,"КВР")))</f>
        <v>Бюджетные инвестиции в объекты капитального строительства муниципальной собственности</v>
      </c>
      <c r="B1522" s="145">
        <v>811</v>
      </c>
      <c r="C1522" s="8" t="s">
        <v>216</v>
      </c>
      <c r="D1522" s="8" t="s">
        <v>219</v>
      </c>
      <c r="E1522" s="145" t="s">
        <v>72</v>
      </c>
      <c r="F1522" s="145">
        <v>414</v>
      </c>
      <c r="G1522" s="69">
        <v>2004.9</v>
      </c>
      <c r="H1522" s="69"/>
      <c r="I1522" s="69">
        <f t="shared" si="330"/>
        <v>2004.9</v>
      </c>
      <c r="J1522" s="69">
        <v>-594.6</v>
      </c>
      <c r="K1522" s="85">
        <f t="shared" si="326"/>
        <v>1410.3000000000002</v>
      </c>
      <c r="L1522" s="13">
        <f>2196+1318-1355</f>
        <v>2159</v>
      </c>
      <c r="M1522" s="85">
        <f t="shared" si="336"/>
        <v>3569.3</v>
      </c>
      <c r="N1522" s="13"/>
      <c r="O1522" s="85">
        <f t="shared" si="337"/>
        <v>3569.3</v>
      </c>
      <c r="P1522" s="13"/>
      <c r="Q1522" s="85">
        <f t="shared" si="331"/>
        <v>3569.3</v>
      </c>
      <c r="R1522" s="13">
        <f>672.4+204-70.2</f>
        <v>806.19999999999993</v>
      </c>
      <c r="S1522" s="85">
        <f t="shared" si="327"/>
        <v>4375.5</v>
      </c>
      <c r="T1522" s="13">
        <f>-455.7-220-82.8</f>
        <v>-758.5</v>
      </c>
      <c r="U1522" s="85">
        <f t="shared" si="338"/>
        <v>3617</v>
      </c>
    </row>
    <row r="1523" spans="1:21" ht="33">
      <c r="A1523" s="61" t="str">
        <f ca="1">IF(ISERROR(MATCH(E1523,Код_КЦСР,0)),"",INDIRECT(ADDRESS(MATCH(E1523,Код_КЦСР,0)+1,2,,,"КЦСР")))</f>
        <v>Реконструкция Октябрьского проспекта на участке от Октябрьского моста до ул. Любецкой</v>
      </c>
      <c r="B1523" s="145">
        <v>811</v>
      </c>
      <c r="C1523" s="8" t="s">
        <v>216</v>
      </c>
      <c r="D1523" s="8" t="s">
        <v>219</v>
      </c>
      <c r="E1523" s="145" t="s">
        <v>650</v>
      </c>
      <c r="F1523" s="145"/>
      <c r="G1523" s="69"/>
      <c r="H1523" s="69"/>
      <c r="I1523" s="69"/>
      <c r="J1523" s="69"/>
      <c r="K1523" s="85"/>
      <c r="L1523" s="13"/>
      <c r="M1523" s="85"/>
      <c r="N1523" s="13"/>
      <c r="O1523" s="85"/>
      <c r="P1523" s="13"/>
      <c r="Q1523" s="85"/>
      <c r="R1523" s="13">
        <f>R1524</f>
        <v>1944</v>
      </c>
      <c r="S1523" s="85">
        <f t="shared" si="327"/>
        <v>1944</v>
      </c>
      <c r="T1523" s="13">
        <f>T1524</f>
        <v>-1063.9000000000001</v>
      </c>
      <c r="U1523" s="85">
        <f t="shared" si="338"/>
        <v>880.09999999999991</v>
      </c>
    </row>
    <row r="1524" spans="1:21" ht="33">
      <c r="A1524" s="61" t="str">
        <f ca="1">IF(ISERROR(MATCH(F1524,Код_КВР,0)),"",INDIRECT(ADDRESS(MATCH(F1524,Код_КВР,0)+1,2,,,"КВР")))</f>
        <v>Капитальные вложения в объекты недвижимого имущества муниципальной собственности</v>
      </c>
      <c r="B1524" s="145">
        <v>811</v>
      </c>
      <c r="C1524" s="8" t="s">
        <v>216</v>
      </c>
      <c r="D1524" s="8" t="s">
        <v>219</v>
      </c>
      <c r="E1524" s="145" t="s">
        <v>650</v>
      </c>
      <c r="F1524" s="145">
        <v>400</v>
      </c>
      <c r="G1524" s="69"/>
      <c r="H1524" s="69"/>
      <c r="I1524" s="69"/>
      <c r="J1524" s="69"/>
      <c r="K1524" s="85"/>
      <c r="L1524" s="13"/>
      <c r="M1524" s="85"/>
      <c r="N1524" s="13"/>
      <c r="O1524" s="85"/>
      <c r="P1524" s="13"/>
      <c r="Q1524" s="85"/>
      <c r="R1524" s="13">
        <f>R1525</f>
        <v>1944</v>
      </c>
      <c r="S1524" s="85">
        <f t="shared" si="327"/>
        <v>1944</v>
      </c>
      <c r="T1524" s="13">
        <f>T1525</f>
        <v>-1063.9000000000001</v>
      </c>
      <c r="U1524" s="85">
        <f t="shared" si="338"/>
        <v>880.09999999999991</v>
      </c>
    </row>
    <row r="1525" spans="1:21">
      <c r="A1525" s="61" t="str">
        <f ca="1">IF(ISERROR(MATCH(F1525,Код_КВР,0)),"",INDIRECT(ADDRESS(MATCH(F1525,Код_КВР,0)+1,2,,,"КВР")))</f>
        <v>Бюджетные инвестиции</v>
      </c>
      <c r="B1525" s="145">
        <v>811</v>
      </c>
      <c r="C1525" s="8" t="s">
        <v>216</v>
      </c>
      <c r="D1525" s="8" t="s">
        <v>219</v>
      </c>
      <c r="E1525" s="145" t="s">
        <v>650</v>
      </c>
      <c r="F1525" s="145">
        <v>410</v>
      </c>
      <c r="G1525" s="69"/>
      <c r="H1525" s="69"/>
      <c r="I1525" s="69"/>
      <c r="J1525" s="69"/>
      <c r="K1525" s="85"/>
      <c r="L1525" s="13"/>
      <c r="M1525" s="85"/>
      <c r="N1525" s="13"/>
      <c r="O1525" s="85"/>
      <c r="P1525" s="13"/>
      <c r="Q1525" s="85"/>
      <c r="R1525" s="13">
        <f>R1526</f>
        <v>1944</v>
      </c>
      <c r="S1525" s="85">
        <f t="shared" si="327"/>
        <v>1944</v>
      </c>
      <c r="T1525" s="13">
        <f>T1526</f>
        <v>-1063.9000000000001</v>
      </c>
      <c r="U1525" s="85">
        <f t="shared" si="338"/>
        <v>880.09999999999991</v>
      </c>
    </row>
    <row r="1526" spans="1:21" ht="33">
      <c r="A1526" s="61" t="str">
        <f ca="1">IF(ISERROR(MATCH(F1526,Код_КВР,0)),"",INDIRECT(ADDRESS(MATCH(F1526,Код_КВР,0)+1,2,,,"КВР")))</f>
        <v>Бюджетные инвестиции в объекты капитального строительства муниципальной собственности</v>
      </c>
      <c r="B1526" s="145">
        <v>811</v>
      </c>
      <c r="C1526" s="8" t="s">
        <v>216</v>
      </c>
      <c r="D1526" s="8" t="s">
        <v>219</v>
      </c>
      <c r="E1526" s="145" t="s">
        <v>650</v>
      </c>
      <c r="F1526" s="145">
        <v>414</v>
      </c>
      <c r="G1526" s="69"/>
      <c r="H1526" s="69"/>
      <c r="I1526" s="69"/>
      <c r="J1526" s="69"/>
      <c r="K1526" s="85"/>
      <c r="L1526" s="13"/>
      <c r="M1526" s="85"/>
      <c r="N1526" s="13"/>
      <c r="O1526" s="85"/>
      <c r="P1526" s="13"/>
      <c r="Q1526" s="85"/>
      <c r="R1526" s="13">
        <f>1944</f>
        <v>1944</v>
      </c>
      <c r="S1526" s="85">
        <f t="shared" si="327"/>
        <v>1944</v>
      </c>
      <c r="T1526" s="13">
        <v>-1063.9000000000001</v>
      </c>
      <c r="U1526" s="85">
        <f t="shared" si="338"/>
        <v>880.09999999999991</v>
      </c>
    </row>
    <row r="1527" spans="1:21">
      <c r="A1527" s="61" t="str">
        <f ca="1">IF(ISERROR(MATCH(E1527,Код_КЦСР,0)),"",INDIRECT(ADDRESS(MATCH(E1527,Код_КЦСР,0)+1,2,,,"КЦСР")))</f>
        <v>Реконструкция пр. Строителей</v>
      </c>
      <c r="B1527" s="145">
        <v>811</v>
      </c>
      <c r="C1527" s="8" t="s">
        <v>216</v>
      </c>
      <c r="D1527" s="8" t="s">
        <v>219</v>
      </c>
      <c r="E1527" s="145" t="s">
        <v>652</v>
      </c>
      <c r="F1527" s="145"/>
      <c r="G1527" s="69"/>
      <c r="H1527" s="69"/>
      <c r="I1527" s="69"/>
      <c r="J1527" s="69"/>
      <c r="K1527" s="85"/>
      <c r="L1527" s="13"/>
      <c r="M1527" s="85"/>
      <c r="N1527" s="13"/>
      <c r="O1527" s="85"/>
      <c r="P1527" s="13"/>
      <c r="Q1527" s="85"/>
      <c r="R1527" s="13">
        <f>R1528</f>
        <v>585.4</v>
      </c>
      <c r="S1527" s="85">
        <f t="shared" si="327"/>
        <v>585.4</v>
      </c>
      <c r="T1527" s="13">
        <f>T1528</f>
        <v>-322.2</v>
      </c>
      <c r="U1527" s="85">
        <f t="shared" si="338"/>
        <v>263.2</v>
      </c>
    </row>
    <row r="1528" spans="1:21" ht="33">
      <c r="A1528" s="61" t="str">
        <f ca="1">IF(ISERROR(MATCH(F1528,Код_КВР,0)),"",INDIRECT(ADDRESS(MATCH(F1528,Код_КВР,0)+1,2,,,"КВР")))</f>
        <v>Капитальные вложения в объекты недвижимого имущества муниципальной собственности</v>
      </c>
      <c r="B1528" s="145">
        <v>811</v>
      </c>
      <c r="C1528" s="8" t="s">
        <v>216</v>
      </c>
      <c r="D1528" s="8" t="s">
        <v>219</v>
      </c>
      <c r="E1528" s="145" t="s">
        <v>652</v>
      </c>
      <c r="F1528" s="145">
        <v>400</v>
      </c>
      <c r="G1528" s="69"/>
      <c r="H1528" s="69"/>
      <c r="I1528" s="69"/>
      <c r="J1528" s="69"/>
      <c r="K1528" s="85"/>
      <c r="L1528" s="13"/>
      <c r="M1528" s="85"/>
      <c r="N1528" s="13"/>
      <c r="O1528" s="85"/>
      <c r="P1528" s="13"/>
      <c r="Q1528" s="85"/>
      <c r="R1528" s="13">
        <f>R1529</f>
        <v>585.4</v>
      </c>
      <c r="S1528" s="85">
        <f t="shared" si="327"/>
        <v>585.4</v>
      </c>
      <c r="T1528" s="13">
        <f>T1529</f>
        <v>-322.2</v>
      </c>
      <c r="U1528" s="85">
        <f t="shared" si="338"/>
        <v>263.2</v>
      </c>
    </row>
    <row r="1529" spans="1:21">
      <c r="A1529" s="61" t="str">
        <f ca="1">IF(ISERROR(MATCH(F1529,Код_КВР,0)),"",INDIRECT(ADDRESS(MATCH(F1529,Код_КВР,0)+1,2,,,"КВР")))</f>
        <v>Бюджетные инвестиции</v>
      </c>
      <c r="B1529" s="145">
        <v>811</v>
      </c>
      <c r="C1529" s="8" t="s">
        <v>216</v>
      </c>
      <c r="D1529" s="8" t="s">
        <v>219</v>
      </c>
      <c r="E1529" s="145" t="s">
        <v>652</v>
      </c>
      <c r="F1529" s="145">
        <v>410</v>
      </c>
      <c r="G1529" s="69"/>
      <c r="H1529" s="69"/>
      <c r="I1529" s="69"/>
      <c r="J1529" s="69"/>
      <c r="K1529" s="85"/>
      <c r="L1529" s="13"/>
      <c r="M1529" s="85"/>
      <c r="N1529" s="13"/>
      <c r="O1529" s="85"/>
      <c r="P1529" s="13"/>
      <c r="Q1529" s="85"/>
      <c r="R1529" s="13">
        <f>R1530</f>
        <v>585.4</v>
      </c>
      <c r="S1529" s="85">
        <f t="shared" si="327"/>
        <v>585.4</v>
      </c>
      <c r="T1529" s="13">
        <f>T1530</f>
        <v>-322.2</v>
      </c>
      <c r="U1529" s="85">
        <f t="shared" si="338"/>
        <v>263.2</v>
      </c>
    </row>
    <row r="1530" spans="1:21" ht="33">
      <c r="A1530" s="61" t="str">
        <f ca="1">IF(ISERROR(MATCH(F1530,Код_КВР,0)),"",INDIRECT(ADDRESS(MATCH(F1530,Код_КВР,0)+1,2,,,"КВР")))</f>
        <v>Бюджетные инвестиции в объекты капитального строительства муниципальной собственности</v>
      </c>
      <c r="B1530" s="145">
        <v>811</v>
      </c>
      <c r="C1530" s="8" t="s">
        <v>216</v>
      </c>
      <c r="D1530" s="8" t="s">
        <v>219</v>
      </c>
      <c r="E1530" s="145" t="s">
        <v>652</v>
      </c>
      <c r="F1530" s="145">
        <v>414</v>
      </c>
      <c r="G1530" s="69"/>
      <c r="H1530" s="69"/>
      <c r="I1530" s="69"/>
      <c r="J1530" s="69"/>
      <c r="K1530" s="85"/>
      <c r="L1530" s="13"/>
      <c r="M1530" s="85"/>
      <c r="N1530" s="13"/>
      <c r="O1530" s="85"/>
      <c r="P1530" s="13"/>
      <c r="Q1530" s="85"/>
      <c r="R1530" s="13">
        <v>585.4</v>
      </c>
      <c r="S1530" s="85">
        <f t="shared" si="327"/>
        <v>585.4</v>
      </c>
      <c r="T1530" s="13">
        <v>-322.2</v>
      </c>
      <c r="U1530" s="85">
        <f t="shared" si="338"/>
        <v>263.2</v>
      </c>
    </row>
    <row r="1531" spans="1:21">
      <c r="A1531" s="61" t="str">
        <f ca="1">IF(ISERROR(MATCH(E1531,Код_КЦСР,0)),"",INDIRECT(ADDRESS(MATCH(E1531,Код_КЦСР,0)+1,2,,,"КЦСР")))</f>
        <v>Реконструкция ул. Мамлеева</v>
      </c>
      <c r="B1531" s="145">
        <v>811</v>
      </c>
      <c r="C1531" s="8" t="s">
        <v>216</v>
      </c>
      <c r="D1531" s="8" t="s">
        <v>219</v>
      </c>
      <c r="E1531" s="145" t="s">
        <v>654</v>
      </c>
      <c r="F1531" s="145"/>
      <c r="G1531" s="69"/>
      <c r="H1531" s="69"/>
      <c r="I1531" s="69"/>
      <c r="J1531" s="69"/>
      <c r="K1531" s="85"/>
      <c r="L1531" s="13"/>
      <c r="M1531" s="85"/>
      <c r="N1531" s="13"/>
      <c r="O1531" s="85"/>
      <c r="P1531" s="13"/>
      <c r="Q1531" s="85"/>
      <c r="R1531" s="13">
        <f>R1532</f>
        <v>524.70000000000005</v>
      </c>
      <c r="S1531" s="85">
        <f t="shared" si="327"/>
        <v>524.70000000000005</v>
      </c>
      <c r="T1531" s="13">
        <f>T1532</f>
        <v>-130.69999999999999</v>
      </c>
      <c r="U1531" s="85">
        <f t="shared" si="338"/>
        <v>394.00000000000006</v>
      </c>
    </row>
    <row r="1532" spans="1:21" ht="33">
      <c r="A1532" s="61" t="str">
        <f ca="1">IF(ISERROR(MATCH(F1532,Код_КВР,0)),"",INDIRECT(ADDRESS(MATCH(F1532,Код_КВР,0)+1,2,,,"КВР")))</f>
        <v>Капитальные вложения в объекты недвижимого имущества муниципальной собственности</v>
      </c>
      <c r="B1532" s="145">
        <v>811</v>
      </c>
      <c r="C1532" s="8" t="s">
        <v>216</v>
      </c>
      <c r="D1532" s="8" t="s">
        <v>219</v>
      </c>
      <c r="E1532" s="145" t="s">
        <v>654</v>
      </c>
      <c r="F1532" s="145">
        <v>400</v>
      </c>
      <c r="G1532" s="69"/>
      <c r="H1532" s="69"/>
      <c r="I1532" s="69"/>
      <c r="J1532" s="69"/>
      <c r="K1532" s="85"/>
      <c r="L1532" s="13"/>
      <c r="M1532" s="85"/>
      <c r="N1532" s="13"/>
      <c r="O1532" s="85"/>
      <c r="P1532" s="13"/>
      <c r="Q1532" s="85"/>
      <c r="R1532" s="13">
        <f>R1533</f>
        <v>524.70000000000005</v>
      </c>
      <c r="S1532" s="85">
        <f t="shared" si="327"/>
        <v>524.70000000000005</v>
      </c>
      <c r="T1532" s="13">
        <f>T1533</f>
        <v>-130.69999999999999</v>
      </c>
      <c r="U1532" s="85">
        <f t="shared" si="338"/>
        <v>394.00000000000006</v>
      </c>
    </row>
    <row r="1533" spans="1:21">
      <c r="A1533" s="61" t="str">
        <f ca="1">IF(ISERROR(MATCH(F1533,Код_КВР,0)),"",INDIRECT(ADDRESS(MATCH(F1533,Код_КВР,0)+1,2,,,"КВР")))</f>
        <v>Бюджетные инвестиции</v>
      </c>
      <c r="B1533" s="145">
        <v>811</v>
      </c>
      <c r="C1533" s="8" t="s">
        <v>216</v>
      </c>
      <c r="D1533" s="8" t="s">
        <v>219</v>
      </c>
      <c r="E1533" s="145" t="s">
        <v>654</v>
      </c>
      <c r="F1533" s="145">
        <v>410</v>
      </c>
      <c r="G1533" s="69"/>
      <c r="H1533" s="69"/>
      <c r="I1533" s="69"/>
      <c r="J1533" s="69"/>
      <c r="K1533" s="85"/>
      <c r="L1533" s="13"/>
      <c r="M1533" s="85"/>
      <c r="N1533" s="13"/>
      <c r="O1533" s="85"/>
      <c r="P1533" s="13"/>
      <c r="Q1533" s="85"/>
      <c r="R1533" s="13">
        <f>R1534</f>
        <v>524.70000000000005</v>
      </c>
      <c r="S1533" s="85">
        <f t="shared" si="327"/>
        <v>524.70000000000005</v>
      </c>
      <c r="T1533" s="13">
        <f>T1534</f>
        <v>-130.69999999999999</v>
      </c>
      <c r="U1533" s="85">
        <f t="shared" si="338"/>
        <v>394.00000000000006</v>
      </c>
    </row>
    <row r="1534" spans="1:21" ht="33">
      <c r="A1534" s="61" t="str">
        <f ca="1">IF(ISERROR(MATCH(F1534,Код_КВР,0)),"",INDIRECT(ADDRESS(MATCH(F1534,Код_КВР,0)+1,2,,,"КВР")))</f>
        <v>Бюджетные инвестиции в объекты капитального строительства муниципальной собственности</v>
      </c>
      <c r="B1534" s="145">
        <v>811</v>
      </c>
      <c r="C1534" s="8" t="s">
        <v>216</v>
      </c>
      <c r="D1534" s="8" t="s">
        <v>219</v>
      </c>
      <c r="E1534" s="145" t="s">
        <v>654</v>
      </c>
      <c r="F1534" s="145">
        <v>414</v>
      </c>
      <c r="G1534" s="69"/>
      <c r="H1534" s="69"/>
      <c r="I1534" s="69"/>
      <c r="J1534" s="69"/>
      <c r="K1534" s="85"/>
      <c r="L1534" s="13"/>
      <c r="M1534" s="85"/>
      <c r="N1534" s="13"/>
      <c r="O1534" s="85"/>
      <c r="P1534" s="13"/>
      <c r="Q1534" s="85"/>
      <c r="R1534" s="13">
        <f>524.7</f>
        <v>524.70000000000005</v>
      </c>
      <c r="S1534" s="85">
        <f t="shared" si="327"/>
        <v>524.70000000000005</v>
      </c>
      <c r="T1534" s="13">
        <v>-130.69999999999999</v>
      </c>
      <c r="U1534" s="85">
        <f t="shared" si="338"/>
        <v>394.00000000000006</v>
      </c>
    </row>
    <row r="1535" spans="1:21">
      <c r="A1535" s="61" t="str">
        <f ca="1">IF(ISERROR(MATCH(E1535,Код_КЦСР,0)),"",INDIRECT(ADDRESS(MATCH(E1535,Код_КЦСР,0)+1,2,,,"КЦСР")))</f>
        <v>Реконструкция ул. Данилова</v>
      </c>
      <c r="B1535" s="145">
        <v>811</v>
      </c>
      <c r="C1535" s="8" t="s">
        <v>216</v>
      </c>
      <c r="D1535" s="8" t="s">
        <v>219</v>
      </c>
      <c r="E1535" s="145" t="s">
        <v>656</v>
      </c>
      <c r="F1535" s="145"/>
      <c r="G1535" s="69"/>
      <c r="H1535" s="69"/>
      <c r="I1535" s="69"/>
      <c r="J1535" s="69"/>
      <c r="K1535" s="85"/>
      <c r="L1535" s="13"/>
      <c r="M1535" s="85"/>
      <c r="N1535" s="13"/>
      <c r="O1535" s="85"/>
      <c r="P1535" s="13"/>
      <c r="Q1535" s="85"/>
      <c r="R1535" s="13">
        <f>R1536</f>
        <v>518.4</v>
      </c>
      <c r="S1535" s="85">
        <f t="shared" si="327"/>
        <v>518.4</v>
      </c>
      <c r="T1535" s="13">
        <f>T1536</f>
        <v>-191</v>
      </c>
      <c r="U1535" s="85">
        <f t="shared" si="338"/>
        <v>327.39999999999998</v>
      </c>
    </row>
    <row r="1536" spans="1:21" ht="33">
      <c r="A1536" s="61" t="str">
        <f ca="1">IF(ISERROR(MATCH(F1536,Код_КВР,0)),"",INDIRECT(ADDRESS(MATCH(F1536,Код_КВР,0)+1,2,,,"КВР")))</f>
        <v>Капитальные вложения в объекты недвижимого имущества муниципальной собственности</v>
      </c>
      <c r="B1536" s="145">
        <v>811</v>
      </c>
      <c r="C1536" s="8" t="s">
        <v>216</v>
      </c>
      <c r="D1536" s="8" t="s">
        <v>219</v>
      </c>
      <c r="E1536" s="145" t="s">
        <v>656</v>
      </c>
      <c r="F1536" s="145">
        <v>400</v>
      </c>
      <c r="G1536" s="69"/>
      <c r="H1536" s="69"/>
      <c r="I1536" s="69"/>
      <c r="J1536" s="69"/>
      <c r="K1536" s="85"/>
      <c r="L1536" s="13"/>
      <c r="M1536" s="85"/>
      <c r="N1536" s="13"/>
      <c r="O1536" s="85"/>
      <c r="P1536" s="13"/>
      <c r="Q1536" s="85"/>
      <c r="R1536" s="13">
        <f>R1537</f>
        <v>518.4</v>
      </c>
      <c r="S1536" s="85">
        <f t="shared" si="327"/>
        <v>518.4</v>
      </c>
      <c r="T1536" s="13">
        <f>T1537</f>
        <v>-191</v>
      </c>
      <c r="U1536" s="85">
        <f t="shared" si="338"/>
        <v>327.39999999999998</v>
      </c>
    </row>
    <row r="1537" spans="1:22">
      <c r="A1537" s="61" t="str">
        <f ca="1">IF(ISERROR(MATCH(F1537,Код_КВР,0)),"",INDIRECT(ADDRESS(MATCH(F1537,Код_КВР,0)+1,2,,,"КВР")))</f>
        <v>Бюджетные инвестиции</v>
      </c>
      <c r="B1537" s="145">
        <v>811</v>
      </c>
      <c r="C1537" s="8" t="s">
        <v>216</v>
      </c>
      <c r="D1537" s="8" t="s">
        <v>219</v>
      </c>
      <c r="E1537" s="145" t="s">
        <v>656</v>
      </c>
      <c r="F1537" s="145">
        <v>410</v>
      </c>
      <c r="G1537" s="69"/>
      <c r="H1537" s="69"/>
      <c r="I1537" s="69"/>
      <c r="J1537" s="69"/>
      <c r="K1537" s="85"/>
      <c r="L1537" s="13"/>
      <c r="M1537" s="85"/>
      <c r="N1537" s="13"/>
      <c r="O1537" s="85"/>
      <c r="P1537" s="13"/>
      <c r="Q1537" s="85"/>
      <c r="R1537" s="13">
        <f>R1538</f>
        <v>518.4</v>
      </c>
      <c r="S1537" s="85">
        <f t="shared" si="327"/>
        <v>518.4</v>
      </c>
      <c r="T1537" s="13">
        <f>T1538</f>
        <v>-191</v>
      </c>
      <c r="U1537" s="85">
        <f t="shared" si="338"/>
        <v>327.39999999999998</v>
      </c>
    </row>
    <row r="1538" spans="1:22" ht="33">
      <c r="A1538" s="61" t="str">
        <f ca="1">IF(ISERROR(MATCH(F1538,Код_КВР,0)),"",INDIRECT(ADDRESS(MATCH(F1538,Код_КВР,0)+1,2,,,"КВР")))</f>
        <v>Бюджетные инвестиции в объекты капитального строительства муниципальной собственности</v>
      </c>
      <c r="B1538" s="145">
        <v>811</v>
      </c>
      <c r="C1538" s="8" t="s">
        <v>216</v>
      </c>
      <c r="D1538" s="8" t="s">
        <v>219</v>
      </c>
      <c r="E1538" s="145" t="s">
        <v>656</v>
      </c>
      <c r="F1538" s="145">
        <v>414</v>
      </c>
      <c r="G1538" s="69"/>
      <c r="H1538" s="69"/>
      <c r="I1538" s="69"/>
      <c r="J1538" s="69"/>
      <c r="K1538" s="85"/>
      <c r="L1538" s="13"/>
      <c r="M1538" s="85"/>
      <c r="N1538" s="13"/>
      <c r="O1538" s="85"/>
      <c r="P1538" s="13"/>
      <c r="Q1538" s="85"/>
      <c r="R1538" s="13">
        <f>518.4</f>
        <v>518.4</v>
      </c>
      <c r="S1538" s="85">
        <f t="shared" si="327"/>
        <v>518.4</v>
      </c>
      <c r="T1538" s="13">
        <v>-191</v>
      </c>
      <c r="U1538" s="85">
        <f t="shared" si="338"/>
        <v>327.39999999999998</v>
      </c>
    </row>
    <row r="1539" spans="1:22">
      <c r="A1539" s="12" t="s">
        <v>230</v>
      </c>
      <c r="B1539" s="145">
        <v>811</v>
      </c>
      <c r="C1539" s="8" t="s">
        <v>216</v>
      </c>
      <c r="D1539" s="8" t="s">
        <v>188</v>
      </c>
      <c r="E1539" s="145"/>
      <c r="F1539" s="145"/>
      <c r="G1539" s="69"/>
      <c r="H1539" s="69"/>
      <c r="I1539" s="69"/>
      <c r="J1539" s="69"/>
      <c r="K1539" s="85"/>
      <c r="L1539" s="13">
        <f>L1540</f>
        <v>1150</v>
      </c>
      <c r="M1539" s="85">
        <f t="shared" si="336"/>
        <v>1150</v>
      </c>
      <c r="N1539" s="13">
        <f>N1540</f>
        <v>0</v>
      </c>
      <c r="O1539" s="85">
        <f t="shared" si="337"/>
        <v>1150</v>
      </c>
      <c r="P1539" s="13">
        <f>P1540</f>
        <v>0</v>
      </c>
      <c r="Q1539" s="85">
        <f t="shared" si="331"/>
        <v>1150</v>
      </c>
      <c r="R1539" s="13">
        <f>R1540</f>
        <v>-56.3</v>
      </c>
      <c r="S1539" s="85">
        <f t="shared" si="327"/>
        <v>1093.7</v>
      </c>
      <c r="T1539" s="13">
        <f>T1540</f>
        <v>-98.7</v>
      </c>
      <c r="U1539" s="85">
        <f t="shared" si="338"/>
        <v>995</v>
      </c>
    </row>
    <row r="1540" spans="1:22" ht="49.5">
      <c r="A1540" s="61" t="str">
        <f ca="1">IF(ISERROR(MATCH(E1540,Код_КЦСР,0)),"",INDIRECT(ADDRESS(MATCH(E1540,Код_КЦСР,0)+1,2,,,"КЦСР")))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540" s="145">
        <v>811</v>
      </c>
      <c r="C1540" s="8" t="s">
        <v>216</v>
      </c>
      <c r="D1540" s="8" t="s">
        <v>188</v>
      </c>
      <c r="E1540" s="145" t="s">
        <v>69</v>
      </c>
      <c r="F1540" s="145"/>
      <c r="G1540" s="69"/>
      <c r="H1540" s="69"/>
      <c r="I1540" s="69"/>
      <c r="J1540" s="69"/>
      <c r="K1540" s="85"/>
      <c r="L1540" s="13">
        <f t="shared" ref="L1540:T1544" si="341">L1541</f>
        <v>1150</v>
      </c>
      <c r="M1540" s="85">
        <f t="shared" si="336"/>
        <v>1150</v>
      </c>
      <c r="N1540" s="13">
        <f t="shared" si="341"/>
        <v>0</v>
      </c>
      <c r="O1540" s="85">
        <f t="shared" si="337"/>
        <v>1150</v>
      </c>
      <c r="P1540" s="13">
        <f t="shared" si="341"/>
        <v>0</v>
      </c>
      <c r="Q1540" s="85">
        <f t="shared" si="331"/>
        <v>1150</v>
      </c>
      <c r="R1540" s="13">
        <f t="shared" si="341"/>
        <v>-56.3</v>
      </c>
      <c r="S1540" s="85">
        <f t="shared" si="327"/>
        <v>1093.7</v>
      </c>
      <c r="T1540" s="13">
        <f t="shared" si="341"/>
        <v>-98.7</v>
      </c>
      <c r="U1540" s="85">
        <f t="shared" si="338"/>
        <v>995</v>
      </c>
    </row>
    <row r="1541" spans="1:22" ht="33">
      <c r="A1541" s="61" t="str">
        <f ca="1">IF(ISERROR(MATCH(E1541,Код_КЦСР,0)),"",INDIRECT(ADDRESS(MATCH(E1541,Код_КЦСР,0)+1,2,,,"КЦСР")))</f>
        <v>Капитальное строительство и реконструкция объектов муниципальной собственности</v>
      </c>
      <c r="B1541" s="145">
        <v>811</v>
      </c>
      <c r="C1541" s="8" t="s">
        <v>216</v>
      </c>
      <c r="D1541" s="8" t="s">
        <v>188</v>
      </c>
      <c r="E1541" s="145" t="s">
        <v>71</v>
      </c>
      <c r="F1541" s="145"/>
      <c r="G1541" s="69"/>
      <c r="H1541" s="69"/>
      <c r="I1541" s="69"/>
      <c r="J1541" s="69"/>
      <c r="K1541" s="85"/>
      <c r="L1541" s="13">
        <f t="shared" si="341"/>
        <v>1150</v>
      </c>
      <c r="M1541" s="85">
        <f t="shared" si="336"/>
        <v>1150</v>
      </c>
      <c r="N1541" s="13">
        <f t="shared" si="341"/>
        <v>0</v>
      </c>
      <c r="O1541" s="85">
        <f t="shared" si="337"/>
        <v>1150</v>
      </c>
      <c r="P1541" s="13">
        <f t="shared" si="341"/>
        <v>0</v>
      </c>
      <c r="Q1541" s="85">
        <f t="shared" si="331"/>
        <v>1150</v>
      </c>
      <c r="R1541" s="13">
        <f t="shared" si="341"/>
        <v>-56.3</v>
      </c>
      <c r="S1541" s="85">
        <f t="shared" si="327"/>
        <v>1093.7</v>
      </c>
      <c r="T1541" s="13">
        <f t="shared" si="341"/>
        <v>-98.7</v>
      </c>
      <c r="U1541" s="85">
        <f t="shared" si="338"/>
        <v>995</v>
      </c>
    </row>
    <row r="1542" spans="1:22">
      <c r="A1542" s="61" t="str">
        <f ca="1">IF(ISERROR(MATCH(E1542,Код_КЦСР,0)),"",INDIRECT(ADDRESS(MATCH(E1542,Код_КЦСР,0)+1,2,,,"КЦСР")))</f>
        <v>Строительство объектов сметной стоимостью до 100 млн. рублей</v>
      </c>
      <c r="B1542" s="145">
        <v>811</v>
      </c>
      <c r="C1542" s="8" t="s">
        <v>216</v>
      </c>
      <c r="D1542" s="8" t="s">
        <v>188</v>
      </c>
      <c r="E1542" s="145" t="s">
        <v>72</v>
      </c>
      <c r="F1542" s="145"/>
      <c r="G1542" s="69"/>
      <c r="H1542" s="69"/>
      <c r="I1542" s="69"/>
      <c r="J1542" s="69"/>
      <c r="K1542" s="85"/>
      <c r="L1542" s="13">
        <f t="shared" si="341"/>
        <v>1150</v>
      </c>
      <c r="M1542" s="85">
        <f t="shared" si="336"/>
        <v>1150</v>
      </c>
      <c r="N1542" s="13">
        <f t="shared" si="341"/>
        <v>0</v>
      </c>
      <c r="O1542" s="85">
        <f t="shared" si="337"/>
        <v>1150</v>
      </c>
      <c r="P1542" s="13">
        <f t="shared" si="341"/>
        <v>0</v>
      </c>
      <c r="Q1542" s="85">
        <f t="shared" si="331"/>
        <v>1150</v>
      </c>
      <c r="R1542" s="13">
        <f t="shared" si="341"/>
        <v>-56.3</v>
      </c>
      <c r="S1542" s="85">
        <f t="shared" si="327"/>
        <v>1093.7</v>
      </c>
      <c r="T1542" s="13">
        <f t="shared" si="341"/>
        <v>-98.7</v>
      </c>
      <c r="U1542" s="85">
        <f t="shared" si="338"/>
        <v>995</v>
      </c>
    </row>
    <row r="1543" spans="1:22" ht="33">
      <c r="A1543" s="61" t="str">
        <f ca="1">IF(ISERROR(MATCH(F1543,Код_КВР,0)),"",INDIRECT(ADDRESS(MATCH(F1543,Код_КВР,0)+1,2,,,"КВР")))</f>
        <v>Капитальные вложения в объекты недвижимого имущества муниципальной собственности</v>
      </c>
      <c r="B1543" s="145">
        <v>811</v>
      </c>
      <c r="C1543" s="8" t="s">
        <v>216</v>
      </c>
      <c r="D1543" s="8" t="s">
        <v>188</v>
      </c>
      <c r="E1543" s="145" t="s">
        <v>72</v>
      </c>
      <c r="F1543" s="145">
        <v>400</v>
      </c>
      <c r="G1543" s="69"/>
      <c r="H1543" s="69"/>
      <c r="I1543" s="69"/>
      <c r="J1543" s="69"/>
      <c r="K1543" s="85"/>
      <c r="L1543" s="13">
        <f t="shared" si="341"/>
        <v>1150</v>
      </c>
      <c r="M1543" s="85">
        <f t="shared" si="336"/>
        <v>1150</v>
      </c>
      <c r="N1543" s="13">
        <f t="shared" si="341"/>
        <v>0</v>
      </c>
      <c r="O1543" s="85">
        <f t="shared" si="337"/>
        <v>1150</v>
      </c>
      <c r="P1543" s="13">
        <f t="shared" si="341"/>
        <v>0</v>
      </c>
      <c r="Q1543" s="85">
        <f t="shared" si="331"/>
        <v>1150</v>
      </c>
      <c r="R1543" s="13">
        <f t="shared" si="341"/>
        <v>-56.3</v>
      </c>
      <c r="S1543" s="85">
        <f t="shared" si="327"/>
        <v>1093.7</v>
      </c>
      <c r="T1543" s="13">
        <f t="shared" si="341"/>
        <v>-98.7</v>
      </c>
      <c r="U1543" s="85">
        <f t="shared" si="338"/>
        <v>995</v>
      </c>
    </row>
    <row r="1544" spans="1:22">
      <c r="A1544" s="61" t="str">
        <f ca="1">IF(ISERROR(MATCH(F1544,Код_КВР,0)),"",INDIRECT(ADDRESS(MATCH(F1544,Код_КВР,0)+1,2,,,"КВР")))</f>
        <v>Бюджетные инвестиции</v>
      </c>
      <c r="B1544" s="145">
        <v>811</v>
      </c>
      <c r="C1544" s="8" t="s">
        <v>216</v>
      </c>
      <c r="D1544" s="8" t="s">
        <v>188</v>
      </c>
      <c r="E1544" s="145" t="s">
        <v>72</v>
      </c>
      <c r="F1544" s="145">
        <v>410</v>
      </c>
      <c r="G1544" s="69"/>
      <c r="H1544" s="69"/>
      <c r="I1544" s="69"/>
      <c r="J1544" s="69"/>
      <c r="K1544" s="85"/>
      <c r="L1544" s="13">
        <f t="shared" si="341"/>
        <v>1150</v>
      </c>
      <c r="M1544" s="85">
        <f t="shared" si="336"/>
        <v>1150</v>
      </c>
      <c r="N1544" s="13">
        <f t="shared" si="341"/>
        <v>0</v>
      </c>
      <c r="O1544" s="85">
        <f t="shared" si="337"/>
        <v>1150</v>
      </c>
      <c r="P1544" s="13">
        <f t="shared" si="341"/>
        <v>0</v>
      </c>
      <c r="Q1544" s="85">
        <f t="shared" si="331"/>
        <v>1150</v>
      </c>
      <c r="R1544" s="13">
        <f t="shared" si="341"/>
        <v>-56.3</v>
      </c>
      <c r="S1544" s="85">
        <f t="shared" si="327"/>
        <v>1093.7</v>
      </c>
      <c r="T1544" s="13">
        <f t="shared" si="341"/>
        <v>-98.7</v>
      </c>
      <c r="U1544" s="85">
        <f t="shared" si="338"/>
        <v>995</v>
      </c>
    </row>
    <row r="1545" spans="1:22" ht="33">
      <c r="A1545" s="61" t="str">
        <f ca="1">IF(ISERROR(MATCH(F1545,Код_КВР,0)),"",INDIRECT(ADDRESS(MATCH(F1545,Код_КВР,0)+1,2,,,"КВР")))</f>
        <v>Бюджетные инвестиции в объекты капитального строительства муниципальной собственности</v>
      </c>
      <c r="B1545" s="145">
        <v>811</v>
      </c>
      <c r="C1545" s="8" t="s">
        <v>216</v>
      </c>
      <c r="D1545" s="8" t="s">
        <v>188</v>
      </c>
      <c r="E1545" s="145" t="s">
        <v>72</v>
      </c>
      <c r="F1545" s="145">
        <v>414</v>
      </c>
      <c r="G1545" s="69"/>
      <c r="H1545" s="69"/>
      <c r="I1545" s="69"/>
      <c r="J1545" s="69"/>
      <c r="K1545" s="85"/>
      <c r="L1545" s="13">
        <v>1150</v>
      </c>
      <c r="M1545" s="85">
        <f t="shared" si="336"/>
        <v>1150</v>
      </c>
      <c r="N1545" s="13"/>
      <c r="O1545" s="85">
        <f t="shared" si="337"/>
        <v>1150</v>
      </c>
      <c r="P1545" s="13"/>
      <c r="Q1545" s="85">
        <f t="shared" si="331"/>
        <v>1150</v>
      </c>
      <c r="R1545" s="13">
        <v>-56.3</v>
      </c>
      <c r="S1545" s="85">
        <f t="shared" si="327"/>
        <v>1093.7</v>
      </c>
      <c r="T1545" s="13">
        <f>-98.7</f>
        <v>-98.7</v>
      </c>
      <c r="U1545" s="85">
        <f t="shared" si="338"/>
        <v>995</v>
      </c>
    </row>
    <row r="1546" spans="1:22">
      <c r="A1546" s="12" t="s">
        <v>223</v>
      </c>
      <c r="B1546" s="145">
        <v>811</v>
      </c>
      <c r="C1546" s="8" t="s">
        <v>216</v>
      </c>
      <c r="D1546" s="8" t="s">
        <v>196</v>
      </c>
      <c r="E1546" s="145"/>
      <c r="F1546" s="145"/>
      <c r="G1546" s="69">
        <f>G1547+G1552+G1557+G1580</f>
        <v>87432.199999999983</v>
      </c>
      <c r="H1546" s="69">
        <f>H1547+H1552+H1557+H1580</f>
        <v>0</v>
      </c>
      <c r="I1546" s="69">
        <f t="shared" si="330"/>
        <v>87432.199999999983</v>
      </c>
      <c r="J1546" s="69">
        <f>J1547+J1552+J1557+J1580</f>
        <v>594.6</v>
      </c>
      <c r="K1546" s="85">
        <f t="shared" si="326"/>
        <v>88026.799999999988</v>
      </c>
      <c r="L1546" s="13">
        <f>L1547+L1552+L1557+L1580</f>
        <v>13.300000000000011</v>
      </c>
      <c r="M1546" s="85">
        <f t="shared" si="336"/>
        <v>88040.099999999991</v>
      </c>
      <c r="N1546" s="13">
        <f>N1547+N1552+N1557+N1580</f>
        <v>-70.2</v>
      </c>
      <c r="O1546" s="85">
        <f t="shared" si="337"/>
        <v>87969.9</v>
      </c>
      <c r="P1546" s="13">
        <f>P1547+P1552+P1557+P1580</f>
        <v>0</v>
      </c>
      <c r="Q1546" s="85">
        <f t="shared" si="331"/>
        <v>87969.9</v>
      </c>
      <c r="R1546" s="13">
        <f>R1547+R1552+R1557+R1580</f>
        <v>3268.1000000000004</v>
      </c>
      <c r="S1546" s="85">
        <f t="shared" si="327"/>
        <v>91238</v>
      </c>
      <c r="T1546" s="13">
        <f>T1547+T1552+T1557+T1580</f>
        <v>4877.9000000000005</v>
      </c>
      <c r="U1546" s="85">
        <f t="shared" si="338"/>
        <v>96115.9</v>
      </c>
    </row>
    <row r="1547" spans="1:22" ht="33" hidden="1">
      <c r="A1547" s="61" t="str">
        <f ca="1">IF(ISERROR(MATCH(E1547,Код_КЦСР,0)),"",INDIRECT(ADDRESS(MATCH(E1547,Код_КЦСР,0)+1,2,,,"КЦСР")))</f>
        <v>Муниципальная программа «Развитие внутреннего и въездного туризма в г. Череповце» на 2014-2022 годы</v>
      </c>
      <c r="B1547" s="145">
        <v>811</v>
      </c>
      <c r="C1547" s="8" t="s">
        <v>216</v>
      </c>
      <c r="D1547" s="8" t="s">
        <v>196</v>
      </c>
      <c r="E1547" s="145" t="s">
        <v>1</v>
      </c>
      <c r="F1547" s="145"/>
      <c r="G1547" s="69">
        <f t="shared" ref="G1547:T1550" si="342">G1548</f>
        <v>0</v>
      </c>
      <c r="H1547" s="69">
        <f t="shared" si="342"/>
        <v>0</v>
      </c>
      <c r="I1547" s="69">
        <f t="shared" si="330"/>
        <v>0</v>
      </c>
      <c r="J1547" s="69">
        <f t="shared" si="342"/>
        <v>0</v>
      </c>
      <c r="K1547" s="85">
        <f t="shared" si="326"/>
        <v>0</v>
      </c>
      <c r="L1547" s="13">
        <f t="shared" si="342"/>
        <v>0</v>
      </c>
      <c r="M1547" s="85">
        <f t="shared" si="336"/>
        <v>0</v>
      </c>
      <c r="N1547" s="13">
        <f t="shared" si="342"/>
        <v>0</v>
      </c>
      <c r="O1547" s="85">
        <f t="shared" si="337"/>
        <v>0</v>
      </c>
      <c r="P1547" s="13">
        <f t="shared" si="342"/>
        <v>0</v>
      </c>
      <c r="Q1547" s="85">
        <f t="shared" si="331"/>
        <v>0</v>
      </c>
      <c r="R1547" s="13">
        <f t="shared" si="342"/>
        <v>0</v>
      </c>
      <c r="S1547" s="85">
        <f t="shared" si="327"/>
        <v>0</v>
      </c>
      <c r="T1547" s="13">
        <f t="shared" si="342"/>
        <v>0</v>
      </c>
      <c r="U1547" s="85">
        <f t="shared" si="338"/>
        <v>0</v>
      </c>
      <c r="V1547" s="155" t="s">
        <v>715</v>
      </c>
    </row>
    <row r="1548" spans="1:22" hidden="1">
      <c r="A1548" s="61" t="str">
        <f ca="1">IF(ISERROR(MATCH(E1548,Код_КЦСР,0)),"",INDIRECT(ADDRESS(MATCH(E1548,Код_КЦСР,0)+1,2,,,"КЦСР")))</f>
        <v>Продвижение городского туристского продукта на российском рынке</v>
      </c>
      <c r="B1548" s="145">
        <v>811</v>
      </c>
      <c r="C1548" s="8" t="s">
        <v>216</v>
      </c>
      <c r="D1548" s="8" t="s">
        <v>196</v>
      </c>
      <c r="E1548" s="145" t="s">
        <v>2</v>
      </c>
      <c r="F1548" s="145"/>
      <c r="G1548" s="69">
        <f t="shared" si="342"/>
        <v>0</v>
      </c>
      <c r="H1548" s="69">
        <f t="shared" si="342"/>
        <v>0</v>
      </c>
      <c r="I1548" s="69">
        <f t="shared" si="330"/>
        <v>0</v>
      </c>
      <c r="J1548" s="69">
        <f t="shared" si="342"/>
        <v>0</v>
      </c>
      <c r="K1548" s="85">
        <f t="shared" si="326"/>
        <v>0</v>
      </c>
      <c r="L1548" s="13">
        <f t="shared" si="342"/>
        <v>0</v>
      </c>
      <c r="M1548" s="85">
        <f t="shared" si="336"/>
        <v>0</v>
      </c>
      <c r="N1548" s="13">
        <f t="shared" si="342"/>
        <v>0</v>
      </c>
      <c r="O1548" s="85">
        <f t="shared" si="337"/>
        <v>0</v>
      </c>
      <c r="P1548" s="13">
        <f t="shared" si="342"/>
        <v>0</v>
      </c>
      <c r="Q1548" s="85">
        <f t="shared" si="331"/>
        <v>0</v>
      </c>
      <c r="R1548" s="13">
        <f t="shared" si="342"/>
        <v>0</v>
      </c>
      <c r="S1548" s="85">
        <f t="shared" si="327"/>
        <v>0</v>
      </c>
      <c r="T1548" s="13">
        <f t="shared" si="342"/>
        <v>0</v>
      </c>
      <c r="U1548" s="85">
        <f t="shared" si="338"/>
        <v>0</v>
      </c>
      <c r="V1548" s="155" t="s">
        <v>715</v>
      </c>
    </row>
    <row r="1549" spans="1:22" hidden="1">
      <c r="A1549" s="61" t="str">
        <f ca="1">IF(ISERROR(MATCH(F1549,Код_КВР,0)),"",INDIRECT(ADDRESS(MATCH(F1549,Код_КВР,0)+1,2,,,"КВР")))</f>
        <v>Закупка товаров, работ и услуг для муниципальных нужд</v>
      </c>
      <c r="B1549" s="145">
        <v>811</v>
      </c>
      <c r="C1549" s="8" t="s">
        <v>216</v>
      </c>
      <c r="D1549" s="8" t="s">
        <v>196</v>
      </c>
      <c r="E1549" s="145" t="s">
        <v>2</v>
      </c>
      <c r="F1549" s="145">
        <v>200</v>
      </c>
      <c r="G1549" s="69">
        <f t="shared" si="342"/>
        <v>0</v>
      </c>
      <c r="H1549" s="69">
        <f t="shared" si="342"/>
        <v>0</v>
      </c>
      <c r="I1549" s="69">
        <f t="shared" si="330"/>
        <v>0</v>
      </c>
      <c r="J1549" s="69">
        <f t="shared" si="342"/>
        <v>0</v>
      </c>
      <c r="K1549" s="85">
        <f t="shared" si="326"/>
        <v>0</v>
      </c>
      <c r="L1549" s="13">
        <f t="shared" si="342"/>
        <v>0</v>
      </c>
      <c r="M1549" s="85">
        <f t="shared" si="336"/>
        <v>0</v>
      </c>
      <c r="N1549" s="13">
        <f t="shared" si="342"/>
        <v>0</v>
      </c>
      <c r="O1549" s="85">
        <f t="shared" si="337"/>
        <v>0</v>
      </c>
      <c r="P1549" s="13">
        <f t="shared" si="342"/>
        <v>0</v>
      </c>
      <c r="Q1549" s="85">
        <f t="shared" si="331"/>
        <v>0</v>
      </c>
      <c r="R1549" s="13">
        <f t="shared" si="342"/>
        <v>0</v>
      </c>
      <c r="S1549" s="85">
        <f t="shared" si="327"/>
        <v>0</v>
      </c>
      <c r="T1549" s="13">
        <f t="shared" si="342"/>
        <v>0</v>
      </c>
      <c r="U1549" s="85">
        <f t="shared" si="338"/>
        <v>0</v>
      </c>
      <c r="V1549" s="155" t="s">
        <v>715</v>
      </c>
    </row>
    <row r="1550" spans="1:22" ht="33" hidden="1">
      <c r="A1550" s="61" t="str">
        <f ca="1">IF(ISERROR(MATCH(F1550,Код_КВР,0)),"",INDIRECT(ADDRESS(MATCH(F1550,Код_КВР,0)+1,2,,,"КВР")))</f>
        <v>Иные закупки товаров, работ и услуг для обеспечения муниципальных нужд</v>
      </c>
      <c r="B1550" s="145">
        <v>811</v>
      </c>
      <c r="C1550" s="8" t="s">
        <v>216</v>
      </c>
      <c r="D1550" s="8" t="s">
        <v>196</v>
      </c>
      <c r="E1550" s="145" t="s">
        <v>2</v>
      </c>
      <c r="F1550" s="145">
        <v>240</v>
      </c>
      <c r="G1550" s="69">
        <f t="shared" si="342"/>
        <v>0</v>
      </c>
      <c r="H1550" s="69">
        <f t="shared" si="342"/>
        <v>0</v>
      </c>
      <c r="I1550" s="69">
        <f t="shared" si="330"/>
        <v>0</v>
      </c>
      <c r="J1550" s="69">
        <f t="shared" si="342"/>
        <v>0</v>
      </c>
      <c r="K1550" s="85">
        <f t="shared" si="326"/>
        <v>0</v>
      </c>
      <c r="L1550" s="13">
        <f t="shared" si="342"/>
        <v>0</v>
      </c>
      <c r="M1550" s="85">
        <f t="shared" si="336"/>
        <v>0</v>
      </c>
      <c r="N1550" s="13">
        <f t="shared" si="342"/>
        <v>0</v>
      </c>
      <c r="O1550" s="85">
        <f t="shared" si="337"/>
        <v>0</v>
      </c>
      <c r="P1550" s="13">
        <f t="shared" si="342"/>
        <v>0</v>
      </c>
      <c r="Q1550" s="85">
        <f t="shared" si="331"/>
        <v>0</v>
      </c>
      <c r="R1550" s="13">
        <f t="shared" si="342"/>
        <v>0</v>
      </c>
      <c r="S1550" s="85">
        <f t="shared" ref="S1550:S1627" si="343">Q1550+R1550</f>
        <v>0</v>
      </c>
      <c r="T1550" s="13">
        <f t="shared" si="342"/>
        <v>0</v>
      </c>
      <c r="U1550" s="85">
        <f t="shared" si="338"/>
        <v>0</v>
      </c>
      <c r="V1550" s="155" t="s">
        <v>715</v>
      </c>
    </row>
    <row r="1551" spans="1:22" ht="33" hidden="1">
      <c r="A1551" s="61" t="str">
        <f ca="1">IF(ISERROR(MATCH(F1551,Код_КВР,0)),"",INDIRECT(ADDRESS(MATCH(F1551,Код_КВР,0)+1,2,,,"КВР")))</f>
        <v xml:space="preserve">Прочая закупка товаров, работ и услуг для обеспечения муниципальных нужд         </v>
      </c>
      <c r="B1551" s="145">
        <v>811</v>
      </c>
      <c r="C1551" s="8" t="s">
        <v>216</v>
      </c>
      <c r="D1551" s="8" t="s">
        <v>196</v>
      </c>
      <c r="E1551" s="145" t="s">
        <v>2</v>
      </c>
      <c r="F1551" s="145">
        <v>244</v>
      </c>
      <c r="G1551" s="69"/>
      <c r="H1551" s="69"/>
      <c r="I1551" s="69">
        <f t="shared" si="330"/>
        <v>0</v>
      </c>
      <c r="J1551" s="69"/>
      <c r="K1551" s="85">
        <f t="shared" ref="K1551:K1636" si="344">I1551+J1551</f>
        <v>0</v>
      </c>
      <c r="L1551" s="13"/>
      <c r="M1551" s="85">
        <f t="shared" si="336"/>
        <v>0</v>
      </c>
      <c r="N1551" s="13"/>
      <c r="O1551" s="85">
        <f t="shared" si="337"/>
        <v>0</v>
      </c>
      <c r="P1551" s="13"/>
      <c r="Q1551" s="85">
        <f t="shared" si="331"/>
        <v>0</v>
      </c>
      <c r="R1551" s="13"/>
      <c r="S1551" s="85">
        <f t="shared" si="343"/>
        <v>0</v>
      </c>
      <c r="T1551" s="13"/>
      <c r="U1551" s="85">
        <f t="shared" si="338"/>
        <v>0</v>
      </c>
      <c r="V1551" s="155" t="s">
        <v>715</v>
      </c>
    </row>
    <row r="1552" spans="1:22" ht="33">
      <c r="A1552" s="61" t="str">
        <f ca="1">IF(ISERROR(MATCH(E1552,Код_КЦСР,0)),"",INDIRECT(ADDRESS(MATCH(E1552,Код_КЦСР,0)+1,2,,,"КЦСР")))</f>
        <v>Муниципальная программа «Развитие земельно-имущественного комплекса  города Череповца» на 2014-2018 годы</v>
      </c>
      <c r="B1552" s="145">
        <v>811</v>
      </c>
      <c r="C1552" s="8" t="s">
        <v>216</v>
      </c>
      <c r="D1552" s="8" t="s">
        <v>196</v>
      </c>
      <c r="E1552" s="145" t="s">
        <v>61</v>
      </c>
      <c r="F1552" s="145"/>
      <c r="G1552" s="69">
        <f t="shared" ref="G1552:T1555" si="345">G1553</f>
        <v>728.2</v>
      </c>
      <c r="H1552" s="69">
        <f t="shared" si="345"/>
        <v>0</v>
      </c>
      <c r="I1552" s="69">
        <f t="shared" si="330"/>
        <v>728.2</v>
      </c>
      <c r="J1552" s="69">
        <f t="shared" si="345"/>
        <v>0</v>
      </c>
      <c r="K1552" s="85">
        <f t="shared" si="344"/>
        <v>728.2</v>
      </c>
      <c r="L1552" s="13">
        <f t="shared" si="345"/>
        <v>0</v>
      </c>
      <c r="M1552" s="85">
        <f t="shared" si="336"/>
        <v>728.2</v>
      </c>
      <c r="N1552" s="13">
        <f t="shared" si="345"/>
        <v>-70.2</v>
      </c>
      <c r="O1552" s="85">
        <f t="shared" si="337"/>
        <v>658</v>
      </c>
      <c r="P1552" s="13">
        <f t="shared" si="345"/>
        <v>0</v>
      </c>
      <c r="Q1552" s="85">
        <f t="shared" si="331"/>
        <v>658</v>
      </c>
      <c r="R1552" s="13">
        <f t="shared" si="345"/>
        <v>0</v>
      </c>
      <c r="S1552" s="85">
        <f t="shared" si="343"/>
        <v>658</v>
      </c>
      <c r="T1552" s="13">
        <f t="shared" si="345"/>
        <v>0</v>
      </c>
      <c r="U1552" s="85">
        <f t="shared" si="338"/>
        <v>658</v>
      </c>
    </row>
    <row r="1553" spans="1:21" ht="33">
      <c r="A1553" s="61" t="str">
        <f ca="1">IF(ISERROR(MATCH(E1553,Код_КЦСР,0)),"",INDIRECT(ADDRESS(MATCH(E1553,Код_КЦСР,0)+1,2,,,"КЦСР")))</f>
        <v>Обеспечение исполнения полномочий органа местного самоуправления в области наружной рекламы</v>
      </c>
      <c r="B1553" s="145">
        <v>811</v>
      </c>
      <c r="C1553" s="8" t="s">
        <v>216</v>
      </c>
      <c r="D1553" s="8" t="s">
        <v>196</v>
      </c>
      <c r="E1553" s="145" t="s">
        <v>67</v>
      </c>
      <c r="F1553" s="145"/>
      <c r="G1553" s="69">
        <f t="shared" si="345"/>
        <v>728.2</v>
      </c>
      <c r="H1553" s="69">
        <f t="shared" si="345"/>
        <v>0</v>
      </c>
      <c r="I1553" s="69">
        <f t="shared" si="330"/>
        <v>728.2</v>
      </c>
      <c r="J1553" s="69">
        <f t="shared" si="345"/>
        <v>0</v>
      </c>
      <c r="K1553" s="85">
        <f t="shared" si="344"/>
        <v>728.2</v>
      </c>
      <c r="L1553" s="13">
        <f t="shared" si="345"/>
        <v>0</v>
      </c>
      <c r="M1553" s="85">
        <f t="shared" si="336"/>
        <v>728.2</v>
      </c>
      <c r="N1553" s="13">
        <f t="shared" si="345"/>
        <v>-70.2</v>
      </c>
      <c r="O1553" s="85">
        <f t="shared" si="337"/>
        <v>658</v>
      </c>
      <c r="P1553" s="13">
        <f t="shared" si="345"/>
        <v>0</v>
      </c>
      <c r="Q1553" s="85">
        <f t="shared" si="331"/>
        <v>658</v>
      </c>
      <c r="R1553" s="13">
        <f t="shared" si="345"/>
        <v>0</v>
      </c>
      <c r="S1553" s="85">
        <f t="shared" si="343"/>
        <v>658</v>
      </c>
      <c r="T1553" s="13">
        <f t="shared" si="345"/>
        <v>0</v>
      </c>
      <c r="U1553" s="85">
        <f t="shared" si="338"/>
        <v>658</v>
      </c>
    </row>
    <row r="1554" spans="1:21">
      <c r="A1554" s="61" t="str">
        <f ca="1">IF(ISERROR(MATCH(F1554,Код_КВР,0)),"",INDIRECT(ADDRESS(MATCH(F1554,Код_КВР,0)+1,2,,,"КВР")))</f>
        <v>Закупка товаров, работ и услуг для муниципальных нужд</v>
      </c>
      <c r="B1554" s="145">
        <v>811</v>
      </c>
      <c r="C1554" s="8" t="s">
        <v>216</v>
      </c>
      <c r="D1554" s="8" t="s">
        <v>196</v>
      </c>
      <c r="E1554" s="145" t="s">
        <v>67</v>
      </c>
      <c r="F1554" s="145">
        <v>200</v>
      </c>
      <c r="G1554" s="69">
        <f t="shared" si="345"/>
        <v>728.2</v>
      </c>
      <c r="H1554" s="69">
        <f t="shared" si="345"/>
        <v>0</v>
      </c>
      <c r="I1554" s="69">
        <f t="shared" si="330"/>
        <v>728.2</v>
      </c>
      <c r="J1554" s="69">
        <f t="shared" si="345"/>
        <v>0</v>
      </c>
      <c r="K1554" s="85">
        <f t="shared" si="344"/>
        <v>728.2</v>
      </c>
      <c r="L1554" s="13">
        <f t="shared" si="345"/>
        <v>0</v>
      </c>
      <c r="M1554" s="85">
        <f t="shared" si="336"/>
        <v>728.2</v>
      </c>
      <c r="N1554" s="13">
        <f t="shared" si="345"/>
        <v>-70.2</v>
      </c>
      <c r="O1554" s="85">
        <f t="shared" si="337"/>
        <v>658</v>
      </c>
      <c r="P1554" s="13">
        <f t="shared" si="345"/>
        <v>0</v>
      </c>
      <c r="Q1554" s="85">
        <f t="shared" si="331"/>
        <v>658</v>
      </c>
      <c r="R1554" s="13">
        <f t="shared" si="345"/>
        <v>0</v>
      </c>
      <c r="S1554" s="85">
        <f t="shared" si="343"/>
        <v>658</v>
      </c>
      <c r="T1554" s="13">
        <f t="shared" si="345"/>
        <v>0</v>
      </c>
      <c r="U1554" s="85">
        <f t="shared" si="338"/>
        <v>658</v>
      </c>
    </row>
    <row r="1555" spans="1:21" ht="33">
      <c r="A1555" s="61" t="str">
        <f ca="1">IF(ISERROR(MATCH(F1555,Код_КВР,0)),"",INDIRECT(ADDRESS(MATCH(F1555,Код_КВР,0)+1,2,,,"КВР")))</f>
        <v>Иные закупки товаров, работ и услуг для обеспечения муниципальных нужд</v>
      </c>
      <c r="B1555" s="145">
        <v>811</v>
      </c>
      <c r="C1555" s="8" t="s">
        <v>216</v>
      </c>
      <c r="D1555" s="8" t="s">
        <v>196</v>
      </c>
      <c r="E1555" s="145" t="s">
        <v>67</v>
      </c>
      <c r="F1555" s="145">
        <v>240</v>
      </c>
      <c r="G1555" s="69">
        <f t="shared" si="345"/>
        <v>728.2</v>
      </c>
      <c r="H1555" s="69">
        <f t="shared" si="345"/>
        <v>0</v>
      </c>
      <c r="I1555" s="69">
        <f t="shared" si="330"/>
        <v>728.2</v>
      </c>
      <c r="J1555" s="69">
        <f t="shared" si="345"/>
        <v>0</v>
      </c>
      <c r="K1555" s="85">
        <f t="shared" si="344"/>
        <v>728.2</v>
      </c>
      <c r="L1555" s="13">
        <f t="shared" si="345"/>
        <v>0</v>
      </c>
      <c r="M1555" s="85">
        <f t="shared" si="336"/>
        <v>728.2</v>
      </c>
      <c r="N1555" s="13">
        <f t="shared" si="345"/>
        <v>-70.2</v>
      </c>
      <c r="O1555" s="85">
        <f t="shared" si="337"/>
        <v>658</v>
      </c>
      <c r="P1555" s="13">
        <f t="shared" si="345"/>
        <v>0</v>
      </c>
      <c r="Q1555" s="85">
        <f t="shared" si="331"/>
        <v>658</v>
      </c>
      <c r="R1555" s="13">
        <f t="shared" si="345"/>
        <v>0</v>
      </c>
      <c r="S1555" s="85">
        <f t="shared" si="343"/>
        <v>658</v>
      </c>
      <c r="T1555" s="13">
        <f t="shared" si="345"/>
        <v>0</v>
      </c>
      <c r="U1555" s="85">
        <f t="shared" si="338"/>
        <v>658</v>
      </c>
    </row>
    <row r="1556" spans="1:21" ht="33">
      <c r="A1556" s="61" t="str">
        <f ca="1">IF(ISERROR(MATCH(F1556,Код_КВР,0)),"",INDIRECT(ADDRESS(MATCH(F1556,Код_КВР,0)+1,2,,,"КВР")))</f>
        <v xml:space="preserve">Прочая закупка товаров, работ и услуг для обеспечения муниципальных нужд         </v>
      </c>
      <c r="B1556" s="145">
        <v>811</v>
      </c>
      <c r="C1556" s="8" t="s">
        <v>216</v>
      </c>
      <c r="D1556" s="8" t="s">
        <v>196</v>
      </c>
      <c r="E1556" s="145" t="s">
        <v>67</v>
      </c>
      <c r="F1556" s="145">
        <v>244</v>
      </c>
      <c r="G1556" s="69">
        <v>728.2</v>
      </c>
      <c r="H1556" s="69"/>
      <c r="I1556" s="69">
        <f t="shared" si="330"/>
        <v>728.2</v>
      </c>
      <c r="J1556" s="69"/>
      <c r="K1556" s="85">
        <f t="shared" si="344"/>
        <v>728.2</v>
      </c>
      <c r="L1556" s="13"/>
      <c r="M1556" s="85">
        <f t="shared" si="336"/>
        <v>728.2</v>
      </c>
      <c r="N1556" s="13">
        <v>-70.2</v>
      </c>
      <c r="O1556" s="85">
        <f t="shared" si="337"/>
        <v>658</v>
      </c>
      <c r="P1556" s="13"/>
      <c r="Q1556" s="85">
        <f t="shared" si="331"/>
        <v>658</v>
      </c>
      <c r="R1556" s="13"/>
      <c r="S1556" s="85">
        <f t="shared" si="343"/>
        <v>658</v>
      </c>
      <c r="T1556" s="13"/>
      <c r="U1556" s="85">
        <f t="shared" si="338"/>
        <v>658</v>
      </c>
    </row>
    <row r="1557" spans="1:21" ht="49.5">
      <c r="A1557" s="61" t="str">
        <f ca="1">IF(ISERROR(MATCH(E1557,Код_КЦСР,0)),"",INDIRECT(ADDRESS(MATCH(E1557,Код_КЦСР,0)+1,2,,,"КЦСР")))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557" s="145">
        <v>811</v>
      </c>
      <c r="C1557" s="8" t="s">
        <v>216</v>
      </c>
      <c r="D1557" s="8" t="s">
        <v>196</v>
      </c>
      <c r="E1557" s="145" t="s">
        <v>69</v>
      </c>
      <c r="F1557" s="145"/>
      <c r="G1557" s="69">
        <f>G1566</f>
        <v>49603.399999999994</v>
      </c>
      <c r="H1557" s="69">
        <f>H1566</f>
        <v>0</v>
      </c>
      <c r="I1557" s="69">
        <f t="shared" si="330"/>
        <v>49603.399999999994</v>
      </c>
      <c r="J1557" s="69">
        <f>J1562+J1566</f>
        <v>594.6</v>
      </c>
      <c r="K1557" s="85">
        <f t="shared" si="344"/>
        <v>50197.999999999993</v>
      </c>
      <c r="L1557" s="13">
        <f>L1562+L1566</f>
        <v>13.300000000000011</v>
      </c>
      <c r="M1557" s="85">
        <f t="shared" si="336"/>
        <v>50211.299999999996</v>
      </c>
      <c r="N1557" s="13">
        <f>N1562+N1566</f>
        <v>0</v>
      </c>
      <c r="O1557" s="85">
        <f t="shared" si="337"/>
        <v>50211.299999999996</v>
      </c>
      <c r="P1557" s="13">
        <f>P1562+P1566</f>
        <v>0</v>
      </c>
      <c r="Q1557" s="85">
        <f t="shared" si="331"/>
        <v>50211.299999999996</v>
      </c>
      <c r="R1557" s="13">
        <f>R1562+R1566+R1558</f>
        <v>3268.1000000000004</v>
      </c>
      <c r="S1557" s="85">
        <f t="shared" si="343"/>
        <v>53479.399999999994</v>
      </c>
      <c r="T1557" s="13">
        <f>T1562+T1566+T1558+T1576</f>
        <v>4969.3</v>
      </c>
      <c r="U1557" s="85">
        <f t="shared" si="338"/>
        <v>58448.7</v>
      </c>
    </row>
    <row r="1558" spans="1:21">
      <c r="A1558" s="61" t="str">
        <f ca="1">IF(ISERROR(MATCH(E1558,Код_КЦСР,0)),"",INDIRECT(ADDRESS(MATCH(E1558,Код_КЦСР,0)+1,2,,,"КЦСР")))</f>
        <v>Строительство объектов сметной стоимостью до 100 млн. рублей</v>
      </c>
      <c r="B1558" s="145">
        <v>811</v>
      </c>
      <c r="C1558" s="8" t="s">
        <v>216</v>
      </c>
      <c r="D1558" s="8" t="s">
        <v>196</v>
      </c>
      <c r="E1558" s="145" t="s">
        <v>72</v>
      </c>
      <c r="F1558" s="145"/>
      <c r="G1558" s="69"/>
      <c r="H1558" s="69"/>
      <c r="I1558" s="69"/>
      <c r="J1558" s="69"/>
      <c r="K1558" s="85"/>
      <c r="L1558" s="13"/>
      <c r="M1558" s="85"/>
      <c r="N1558" s="13"/>
      <c r="O1558" s="85"/>
      <c r="P1558" s="13"/>
      <c r="Q1558" s="85"/>
      <c r="R1558" s="13">
        <f>R1559</f>
        <v>3008.8</v>
      </c>
      <c r="S1558" s="85">
        <f t="shared" si="343"/>
        <v>3008.8</v>
      </c>
      <c r="T1558" s="13">
        <f>T1559</f>
        <v>-341.6</v>
      </c>
      <c r="U1558" s="85">
        <f t="shared" si="338"/>
        <v>2667.2000000000003</v>
      </c>
    </row>
    <row r="1559" spans="1:21" ht="33">
      <c r="A1559" s="61" t="str">
        <f ca="1">IF(ISERROR(MATCH(F1559,Код_КВР,0)),"",INDIRECT(ADDRESS(MATCH(F1559,Код_КВР,0)+1,2,,,"КВР")))</f>
        <v>Капитальные вложения в объекты недвижимого имущества муниципальной собственности</v>
      </c>
      <c r="B1559" s="145">
        <v>811</v>
      </c>
      <c r="C1559" s="8" t="s">
        <v>216</v>
      </c>
      <c r="D1559" s="8" t="s">
        <v>196</v>
      </c>
      <c r="E1559" s="145" t="s">
        <v>72</v>
      </c>
      <c r="F1559" s="145">
        <v>400</v>
      </c>
      <c r="G1559" s="69"/>
      <c r="H1559" s="69"/>
      <c r="I1559" s="69"/>
      <c r="J1559" s="69"/>
      <c r="K1559" s="85"/>
      <c r="L1559" s="13"/>
      <c r="M1559" s="85"/>
      <c r="N1559" s="13"/>
      <c r="O1559" s="85"/>
      <c r="P1559" s="13"/>
      <c r="Q1559" s="85"/>
      <c r="R1559" s="13">
        <f>R1560</f>
        <v>3008.8</v>
      </c>
      <c r="S1559" s="85">
        <f t="shared" si="343"/>
        <v>3008.8</v>
      </c>
      <c r="T1559" s="13">
        <f>T1560</f>
        <v>-341.6</v>
      </c>
      <c r="U1559" s="85">
        <f t="shared" si="338"/>
        <v>2667.2000000000003</v>
      </c>
    </row>
    <row r="1560" spans="1:21">
      <c r="A1560" s="61" t="str">
        <f ca="1">IF(ISERROR(MATCH(F1560,Код_КВР,0)),"",INDIRECT(ADDRESS(MATCH(F1560,Код_КВР,0)+1,2,,,"КВР")))</f>
        <v>Бюджетные инвестиции</v>
      </c>
      <c r="B1560" s="145">
        <v>811</v>
      </c>
      <c r="C1560" s="8" t="s">
        <v>216</v>
      </c>
      <c r="D1560" s="8" t="s">
        <v>196</v>
      </c>
      <c r="E1560" s="145" t="s">
        <v>72</v>
      </c>
      <c r="F1560" s="145">
        <v>410</v>
      </c>
      <c r="G1560" s="69"/>
      <c r="H1560" s="69"/>
      <c r="I1560" s="69"/>
      <c r="J1560" s="69"/>
      <c r="K1560" s="85"/>
      <c r="L1560" s="13"/>
      <c r="M1560" s="85"/>
      <c r="N1560" s="13"/>
      <c r="O1560" s="85"/>
      <c r="P1560" s="13"/>
      <c r="Q1560" s="85"/>
      <c r="R1560" s="13">
        <f>R1561</f>
        <v>3008.8</v>
      </c>
      <c r="S1560" s="85">
        <f t="shared" si="343"/>
        <v>3008.8</v>
      </c>
      <c r="T1560" s="13">
        <f>T1561</f>
        <v>-341.6</v>
      </c>
      <c r="U1560" s="85">
        <f t="shared" si="338"/>
        <v>2667.2000000000003</v>
      </c>
    </row>
    <row r="1561" spans="1:21" ht="33">
      <c r="A1561" s="61" t="str">
        <f ca="1">IF(ISERROR(MATCH(F1561,Код_КВР,0)),"",INDIRECT(ADDRESS(MATCH(F1561,Код_КВР,0)+1,2,,,"КВР")))</f>
        <v>Бюджетные инвестиции в объекты капитального строительства муниципальной собственности</v>
      </c>
      <c r="B1561" s="145">
        <v>811</v>
      </c>
      <c r="C1561" s="8" t="s">
        <v>216</v>
      </c>
      <c r="D1561" s="8" t="s">
        <v>196</v>
      </c>
      <c r="E1561" s="145" t="s">
        <v>72</v>
      </c>
      <c r="F1561" s="145">
        <v>414</v>
      </c>
      <c r="G1561" s="69"/>
      <c r="H1561" s="69"/>
      <c r="I1561" s="69"/>
      <c r="J1561" s="69"/>
      <c r="K1561" s="85"/>
      <c r="L1561" s="13"/>
      <c r="M1561" s="85"/>
      <c r="N1561" s="13"/>
      <c r="O1561" s="85"/>
      <c r="P1561" s="13"/>
      <c r="Q1561" s="85"/>
      <c r="R1561" s="13">
        <v>3008.8</v>
      </c>
      <c r="S1561" s="85">
        <f t="shared" si="343"/>
        <v>3008.8</v>
      </c>
      <c r="T1561" s="13">
        <v>-341.6</v>
      </c>
      <c r="U1561" s="85">
        <f t="shared" si="338"/>
        <v>2667.2000000000003</v>
      </c>
    </row>
    <row r="1562" spans="1:21">
      <c r="A1562" s="61" t="str">
        <f ca="1">IF(ISERROR(MATCH(E1562,Код_КЦСР,0)),"",INDIRECT(ADDRESS(MATCH(E1562,Код_КЦСР,0)+1,2,,,"КЦСР")))</f>
        <v>Капитальный ремонт  объектов муниципальной собственности</v>
      </c>
      <c r="B1562" s="145">
        <v>811</v>
      </c>
      <c r="C1562" s="8" t="s">
        <v>216</v>
      </c>
      <c r="D1562" s="8" t="s">
        <v>196</v>
      </c>
      <c r="E1562" s="145" t="s">
        <v>77</v>
      </c>
      <c r="F1562" s="145"/>
      <c r="G1562" s="69"/>
      <c r="H1562" s="69"/>
      <c r="I1562" s="69"/>
      <c r="J1562" s="69">
        <f>J1563</f>
        <v>594.6</v>
      </c>
      <c r="K1562" s="85">
        <f t="shared" si="344"/>
        <v>594.6</v>
      </c>
      <c r="L1562" s="13">
        <f>L1563</f>
        <v>0</v>
      </c>
      <c r="M1562" s="85">
        <f t="shared" si="336"/>
        <v>594.6</v>
      </c>
      <c r="N1562" s="13">
        <f>N1563</f>
        <v>0</v>
      </c>
      <c r="O1562" s="85">
        <f t="shared" si="337"/>
        <v>594.6</v>
      </c>
      <c r="P1562" s="13">
        <f>P1563</f>
        <v>0</v>
      </c>
      <c r="Q1562" s="85">
        <f t="shared" si="331"/>
        <v>594.6</v>
      </c>
      <c r="R1562" s="13">
        <f>R1563</f>
        <v>-118.7</v>
      </c>
      <c r="S1562" s="85">
        <f t="shared" si="343"/>
        <v>475.90000000000003</v>
      </c>
      <c r="T1562" s="13">
        <f>T1563</f>
        <v>0</v>
      </c>
      <c r="U1562" s="85">
        <f t="shared" si="338"/>
        <v>475.90000000000003</v>
      </c>
    </row>
    <row r="1563" spans="1:21">
      <c r="A1563" s="61" t="str">
        <f t="shared" ref="A1563:A1565" ca="1" si="346">IF(ISERROR(MATCH(F1563,Код_КВР,0)),"",INDIRECT(ADDRESS(MATCH(F1563,Код_КВР,0)+1,2,,,"КВР")))</f>
        <v>Закупка товаров, работ и услуг для муниципальных нужд</v>
      </c>
      <c r="B1563" s="145">
        <v>811</v>
      </c>
      <c r="C1563" s="8" t="s">
        <v>216</v>
      </c>
      <c r="D1563" s="8" t="s">
        <v>196</v>
      </c>
      <c r="E1563" s="145" t="s">
        <v>77</v>
      </c>
      <c r="F1563" s="145">
        <v>200</v>
      </c>
      <c r="G1563" s="69"/>
      <c r="H1563" s="69"/>
      <c r="I1563" s="69"/>
      <c r="J1563" s="69">
        <f>J1564</f>
        <v>594.6</v>
      </c>
      <c r="K1563" s="85">
        <f t="shared" si="344"/>
        <v>594.6</v>
      </c>
      <c r="L1563" s="13">
        <f>L1564</f>
        <v>0</v>
      </c>
      <c r="M1563" s="85">
        <f t="shared" si="336"/>
        <v>594.6</v>
      </c>
      <c r="N1563" s="13">
        <f>N1564</f>
        <v>0</v>
      </c>
      <c r="O1563" s="85">
        <f t="shared" si="337"/>
        <v>594.6</v>
      </c>
      <c r="P1563" s="13">
        <f>P1564</f>
        <v>0</v>
      </c>
      <c r="Q1563" s="85">
        <f t="shared" ref="Q1563:Q1636" si="347">O1563+P1563</f>
        <v>594.6</v>
      </c>
      <c r="R1563" s="13">
        <f>R1564</f>
        <v>-118.7</v>
      </c>
      <c r="S1563" s="85">
        <f t="shared" si="343"/>
        <v>475.90000000000003</v>
      </c>
      <c r="T1563" s="13">
        <f>T1564</f>
        <v>0</v>
      </c>
      <c r="U1563" s="85">
        <f t="shared" si="338"/>
        <v>475.90000000000003</v>
      </c>
    </row>
    <row r="1564" spans="1:21" ht="33">
      <c r="A1564" s="61" t="str">
        <f t="shared" ca="1" si="346"/>
        <v>Иные закупки товаров, работ и услуг для обеспечения муниципальных нужд</v>
      </c>
      <c r="B1564" s="145">
        <v>811</v>
      </c>
      <c r="C1564" s="8" t="s">
        <v>216</v>
      </c>
      <c r="D1564" s="8" t="s">
        <v>196</v>
      </c>
      <c r="E1564" s="145" t="s">
        <v>77</v>
      </c>
      <c r="F1564" s="145">
        <v>240</v>
      </c>
      <c r="G1564" s="69"/>
      <c r="H1564" s="69"/>
      <c r="I1564" s="69"/>
      <c r="J1564" s="69">
        <f>J1565</f>
        <v>594.6</v>
      </c>
      <c r="K1564" s="85">
        <f t="shared" si="344"/>
        <v>594.6</v>
      </c>
      <c r="L1564" s="13">
        <f>L1565</f>
        <v>0</v>
      </c>
      <c r="M1564" s="85">
        <f t="shared" si="336"/>
        <v>594.6</v>
      </c>
      <c r="N1564" s="13">
        <f>N1565</f>
        <v>0</v>
      </c>
      <c r="O1564" s="85">
        <f t="shared" si="337"/>
        <v>594.6</v>
      </c>
      <c r="P1564" s="13">
        <f>P1565</f>
        <v>0</v>
      </c>
      <c r="Q1564" s="85">
        <f t="shared" si="347"/>
        <v>594.6</v>
      </c>
      <c r="R1564" s="13">
        <f>R1565</f>
        <v>-118.7</v>
      </c>
      <c r="S1564" s="85">
        <f t="shared" si="343"/>
        <v>475.90000000000003</v>
      </c>
      <c r="T1564" s="13">
        <f>T1565</f>
        <v>0</v>
      </c>
      <c r="U1564" s="85">
        <f t="shared" si="338"/>
        <v>475.90000000000003</v>
      </c>
    </row>
    <row r="1565" spans="1:21" ht="33">
      <c r="A1565" s="61" t="str">
        <f t="shared" ca="1" si="346"/>
        <v>Закупка товаров, работ, услуг в целях капитального ремонта муниципального имущества</v>
      </c>
      <c r="B1565" s="145">
        <v>811</v>
      </c>
      <c r="C1565" s="8" t="s">
        <v>216</v>
      </c>
      <c r="D1565" s="8" t="s">
        <v>196</v>
      </c>
      <c r="E1565" s="145" t="s">
        <v>77</v>
      </c>
      <c r="F1565" s="145">
        <v>243</v>
      </c>
      <c r="G1565" s="69"/>
      <c r="H1565" s="69"/>
      <c r="I1565" s="69"/>
      <c r="J1565" s="69">
        <v>594.6</v>
      </c>
      <c r="K1565" s="85">
        <f t="shared" si="344"/>
        <v>594.6</v>
      </c>
      <c r="L1565" s="13"/>
      <c r="M1565" s="85">
        <f t="shared" si="336"/>
        <v>594.6</v>
      </c>
      <c r="N1565" s="13"/>
      <c r="O1565" s="85">
        <f t="shared" si="337"/>
        <v>594.6</v>
      </c>
      <c r="P1565" s="13"/>
      <c r="Q1565" s="85">
        <f t="shared" si="347"/>
        <v>594.6</v>
      </c>
      <c r="R1565" s="13">
        <v>-118.7</v>
      </c>
      <c r="S1565" s="85">
        <f t="shared" si="343"/>
        <v>475.90000000000003</v>
      </c>
      <c r="T1565" s="13"/>
      <c r="U1565" s="85">
        <f t="shared" si="338"/>
        <v>475.90000000000003</v>
      </c>
    </row>
    <row r="1566" spans="1:21">
      <c r="A1566" s="61" t="str">
        <f ca="1">IF(ISERROR(MATCH(E1566,Код_КЦСР,0)),"",INDIRECT(ADDRESS(MATCH(E1566,Код_КЦСР,0)+1,2,,,"КЦСР")))</f>
        <v xml:space="preserve">Обеспечение создания условий для реализации муниципальной программы </v>
      </c>
      <c r="B1566" s="145">
        <v>811</v>
      </c>
      <c r="C1566" s="8" t="s">
        <v>216</v>
      </c>
      <c r="D1566" s="8" t="s">
        <v>196</v>
      </c>
      <c r="E1566" s="145" t="s">
        <v>78</v>
      </c>
      <c r="F1566" s="145"/>
      <c r="G1566" s="69">
        <f>G1567+G1569+G1572</f>
        <v>49603.399999999994</v>
      </c>
      <c r="H1566" s="69">
        <f>H1567+H1569+H1572</f>
        <v>0</v>
      </c>
      <c r="I1566" s="69">
        <f t="shared" si="330"/>
        <v>49603.399999999994</v>
      </c>
      <c r="J1566" s="69">
        <f>J1567+J1569+J1572</f>
        <v>0</v>
      </c>
      <c r="K1566" s="85">
        <f t="shared" si="344"/>
        <v>49603.399999999994</v>
      </c>
      <c r="L1566" s="13">
        <f>L1567+L1569+L1572</f>
        <v>13.300000000000011</v>
      </c>
      <c r="M1566" s="85">
        <f t="shared" si="336"/>
        <v>49616.7</v>
      </c>
      <c r="N1566" s="13">
        <f>N1567+N1569+N1572</f>
        <v>0</v>
      </c>
      <c r="O1566" s="85">
        <f t="shared" si="337"/>
        <v>49616.7</v>
      </c>
      <c r="P1566" s="13">
        <f>P1567+P1569+P1572</f>
        <v>0</v>
      </c>
      <c r="Q1566" s="85">
        <f t="shared" si="347"/>
        <v>49616.7</v>
      </c>
      <c r="R1566" s="13">
        <f>R1567+R1569+R1572</f>
        <v>378</v>
      </c>
      <c r="S1566" s="85">
        <f t="shared" si="343"/>
        <v>49994.7</v>
      </c>
      <c r="T1566" s="13">
        <f>T1567+T1569+T1572</f>
        <v>-39.099999999999994</v>
      </c>
      <c r="U1566" s="85">
        <f t="shared" si="338"/>
        <v>49955.6</v>
      </c>
    </row>
    <row r="1567" spans="1:21" ht="33">
      <c r="A1567" s="61" t="str">
        <f t="shared" ref="A1567:A1573" ca="1" si="348">IF(ISERROR(MATCH(F1567,Код_КВР,0)),"",INDIRECT(ADDRESS(MATCH(F1567,Код_КВР,0)+1,2,,,"КВР")))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67" s="145">
        <v>811</v>
      </c>
      <c r="C1567" s="8" t="s">
        <v>216</v>
      </c>
      <c r="D1567" s="8" t="s">
        <v>196</v>
      </c>
      <c r="E1567" s="145" t="s">
        <v>78</v>
      </c>
      <c r="F1567" s="145">
        <v>100</v>
      </c>
      <c r="G1567" s="69">
        <f>G1568</f>
        <v>46091.199999999997</v>
      </c>
      <c r="H1567" s="69">
        <f>H1568</f>
        <v>0</v>
      </c>
      <c r="I1567" s="69">
        <f t="shared" si="330"/>
        <v>46091.199999999997</v>
      </c>
      <c r="J1567" s="69">
        <f>J1568</f>
        <v>0</v>
      </c>
      <c r="K1567" s="85">
        <f t="shared" si="344"/>
        <v>46091.199999999997</v>
      </c>
      <c r="L1567" s="13">
        <f>L1568</f>
        <v>-380.3</v>
      </c>
      <c r="M1567" s="85">
        <f t="shared" si="336"/>
        <v>45710.899999999994</v>
      </c>
      <c r="N1567" s="13">
        <f>N1568</f>
        <v>0</v>
      </c>
      <c r="O1567" s="85">
        <f t="shared" si="337"/>
        <v>45710.899999999994</v>
      </c>
      <c r="P1567" s="13">
        <f>P1568</f>
        <v>0</v>
      </c>
      <c r="Q1567" s="85">
        <f t="shared" si="347"/>
        <v>45710.899999999994</v>
      </c>
      <c r="R1567" s="13">
        <f>R1568</f>
        <v>-76.2</v>
      </c>
      <c r="S1567" s="85">
        <f t="shared" si="343"/>
        <v>45634.7</v>
      </c>
      <c r="T1567" s="13">
        <f>T1568</f>
        <v>0</v>
      </c>
      <c r="U1567" s="85">
        <f t="shared" si="338"/>
        <v>45634.7</v>
      </c>
    </row>
    <row r="1568" spans="1:21">
      <c r="A1568" s="61" t="str">
        <f t="shared" ca="1" si="348"/>
        <v>Расходы на выплаты персоналу казенных учреждений</v>
      </c>
      <c r="B1568" s="145">
        <v>811</v>
      </c>
      <c r="C1568" s="8" t="s">
        <v>216</v>
      </c>
      <c r="D1568" s="8" t="s">
        <v>196</v>
      </c>
      <c r="E1568" s="145" t="s">
        <v>78</v>
      </c>
      <c r="F1568" s="145">
        <v>110</v>
      </c>
      <c r="G1568" s="69">
        <v>46091.199999999997</v>
      </c>
      <c r="H1568" s="69"/>
      <c r="I1568" s="69">
        <f t="shared" si="330"/>
        <v>46091.199999999997</v>
      </c>
      <c r="J1568" s="69"/>
      <c r="K1568" s="85">
        <f t="shared" si="344"/>
        <v>46091.199999999997</v>
      </c>
      <c r="L1568" s="13">
        <v>-380.3</v>
      </c>
      <c r="M1568" s="85">
        <f t="shared" si="336"/>
        <v>45710.899999999994</v>
      </c>
      <c r="N1568" s="13"/>
      <c r="O1568" s="85">
        <f t="shared" si="337"/>
        <v>45710.899999999994</v>
      </c>
      <c r="P1568" s="13"/>
      <c r="Q1568" s="85">
        <f t="shared" si="347"/>
        <v>45710.899999999994</v>
      </c>
      <c r="R1568" s="13">
        <f>-30-46.2</f>
        <v>-76.2</v>
      </c>
      <c r="S1568" s="85">
        <f t="shared" si="343"/>
        <v>45634.7</v>
      </c>
      <c r="T1568" s="13"/>
      <c r="U1568" s="85">
        <f t="shared" si="338"/>
        <v>45634.7</v>
      </c>
    </row>
    <row r="1569" spans="1:21">
      <c r="A1569" s="61" t="str">
        <f t="shared" ca="1" si="348"/>
        <v>Закупка товаров, работ и услуг для муниципальных нужд</v>
      </c>
      <c r="B1569" s="145">
        <v>811</v>
      </c>
      <c r="C1569" s="8" t="s">
        <v>216</v>
      </c>
      <c r="D1569" s="8" t="s">
        <v>196</v>
      </c>
      <c r="E1569" s="145" t="s">
        <v>78</v>
      </c>
      <c r="F1569" s="145">
        <v>200</v>
      </c>
      <c r="G1569" s="69">
        <f>G1570</f>
        <v>2827.7</v>
      </c>
      <c r="H1569" s="69">
        <f>H1570</f>
        <v>0</v>
      </c>
      <c r="I1569" s="69">
        <f t="shared" si="330"/>
        <v>2827.7</v>
      </c>
      <c r="J1569" s="69">
        <f>J1570</f>
        <v>0</v>
      </c>
      <c r="K1569" s="85">
        <f t="shared" si="344"/>
        <v>2827.7</v>
      </c>
      <c r="L1569" s="13">
        <f>L1570</f>
        <v>393.6</v>
      </c>
      <c r="M1569" s="85">
        <f t="shared" si="336"/>
        <v>3221.2999999999997</v>
      </c>
      <c r="N1569" s="13">
        <f>N1570</f>
        <v>0</v>
      </c>
      <c r="O1569" s="85">
        <f t="shared" si="337"/>
        <v>3221.2999999999997</v>
      </c>
      <c r="P1569" s="13">
        <f>P1570</f>
        <v>0</v>
      </c>
      <c r="Q1569" s="85">
        <f t="shared" si="347"/>
        <v>3221.2999999999997</v>
      </c>
      <c r="R1569" s="13">
        <f>R1570</f>
        <v>651.70000000000005</v>
      </c>
      <c r="S1569" s="85">
        <f t="shared" si="343"/>
        <v>3873</v>
      </c>
      <c r="T1569" s="13">
        <f>T1570</f>
        <v>0</v>
      </c>
      <c r="U1569" s="85">
        <f t="shared" si="338"/>
        <v>3873</v>
      </c>
    </row>
    <row r="1570" spans="1:21" ht="33">
      <c r="A1570" s="61" t="str">
        <f t="shared" ca="1" si="348"/>
        <v>Иные закупки товаров, работ и услуг для обеспечения муниципальных нужд</v>
      </c>
      <c r="B1570" s="145">
        <v>811</v>
      </c>
      <c r="C1570" s="8" t="s">
        <v>216</v>
      </c>
      <c r="D1570" s="8" t="s">
        <v>196</v>
      </c>
      <c r="E1570" s="145" t="s">
        <v>78</v>
      </c>
      <c r="F1570" s="145">
        <v>240</v>
      </c>
      <c r="G1570" s="69">
        <f>G1571</f>
        <v>2827.7</v>
      </c>
      <c r="H1570" s="69">
        <f>H1571</f>
        <v>0</v>
      </c>
      <c r="I1570" s="69">
        <f t="shared" si="330"/>
        <v>2827.7</v>
      </c>
      <c r="J1570" s="69">
        <f>J1571</f>
        <v>0</v>
      </c>
      <c r="K1570" s="85">
        <f t="shared" si="344"/>
        <v>2827.7</v>
      </c>
      <c r="L1570" s="13">
        <f>L1571</f>
        <v>393.6</v>
      </c>
      <c r="M1570" s="85">
        <f t="shared" si="336"/>
        <v>3221.2999999999997</v>
      </c>
      <c r="N1570" s="13">
        <f>N1571</f>
        <v>0</v>
      </c>
      <c r="O1570" s="85">
        <f t="shared" si="337"/>
        <v>3221.2999999999997</v>
      </c>
      <c r="P1570" s="13">
        <f>P1571</f>
        <v>0</v>
      </c>
      <c r="Q1570" s="85">
        <f t="shared" si="347"/>
        <v>3221.2999999999997</v>
      </c>
      <c r="R1570" s="13">
        <f>R1571</f>
        <v>651.70000000000005</v>
      </c>
      <c r="S1570" s="85">
        <f t="shared" si="343"/>
        <v>3873</v>
      </c>
      <c r="T1570" s="13">
        <f>T1571</f>
        <v>0</v>
      </c>
      <c r="U1570" s="85">
        <f t="shared" si="338"/>
        <v>3873</v>
      </c>
    </row>
    <row r="1571" spans="1:21" ht="33">
      <c r="A1571" s="61" t="str">
        <f t="shared" ca="1" si="348"/>
        <v xml:space="preserve">Прочая закупка товаров, работ и услуг для обеспечения муниципальных нужд         </v>
      </c>
      <c r="B1571" s="145">
        <v>811</v>
      </c>
      <c r="C1571" s="8" t="s">
        <v>216</v>
      </c>
      <c r="D1571" s="8" t="s">
        <v>196</v>
      </c>
      <c r="E1571" s="145" t="s">
        <v>78</v>
      </c>
      <c r="F1571" s="145">
        <v>244</v>
      </c>
      <c r="G1571" s="69">
        <v>2827.7</v>
      </c>
      <c r="H1571" s="69"/>
      <c r="I1571" s="69">
        <f t="shared" si="330"/>
        <v>2827.7</v>
      </c>
      <c r="J1571" s="69"/>
      <c r="K1571" s="85">
        <f t="shared" si="344"/>
        <v>2827.7</v>
      </c>
      <c r="L1571" s="13">
        <f>30+363.6</f>
        <v>393.6</v>
      </c>
      <c r="M1571" s="85">
        <f t="shared" si="336"/>
        <v>3221.2999999999997</v>
      </c>
      <c r="N1571" s="13"/>
      <c r="O1571" s="85">
        <f t="shared" si="337"/>
        <v>3221.2999999999997</v>
      </c>
      <c r="P1571" s="13"/>
      <c r="Q1571" s="85">
        <f t="shared" si="347"/>
        <v>3221.2999999999997</v>
      </c>
      <c r="R1571" s="13">
        <f>292.5+85.5+273.7</f>
        <v>651.70000000000005</v>
      </c>
      <c r="S1571" s="85">
        <f t="shared" si="343"/>
        <v>3873</v>
      </c>
      <c r="T1571" s="13"/>
      <c r="U1571" s="85">
        <f t="shared" si="338"/>
        <v>3873</v>
      </c>
    </row>
    <row r="1572" spans="1:21">
      <c r="A1572" s="61" t="str">
        <f t="shared" ca="1" si="348"/>
        <v>Иные бюджетные ассигнования</v>
      </c>
      <c r="B1572" s="145">
        <v>811</v>
      </c>
      <c r="C1572" s="8" t="s">
        <v>216</v>
      </c>
      <c r="D1572" s="8" t="s">
        <v>196</v>
      </c>
      <c r="E1572" s="145" t="s">
        <v>78</v>
      </c>
      <c r="F1572" s="145">
        <v>800</v>
      </c>
      <c r="G1572" s="69">
        <f>G1573</f>
        <v>684.5</v>
      </c>
      <c r="H1572" s="69">
        <f>H1573</f>
        <v>0</v>
      </c>
      <c r="I1572" s="69">
        <f t="shared" si="330"/>
        <v>684.5</v>
      </c>
      <c r="J1572" s="69">
        <f>J1573</f>
        <v>0</v>
      </c>
      <c r="K1572" s="85">
        <f t="shared" si="344"/>
        <v>684.5</v>
      </c>
      <c r="L1572" s="13">
        <f>L1573</f>
        <v>0</v>
      </c>
      <c r="M1572" s="85">
        <f t="shared" si="336"/>
        <v>684.5</v>
      </c>
      <c r="N1572" s="13">
        <f>N1573</f>
        <v>0</v>
      </c>
      <c r="O1572" s="85">
        <f t="shared" si="337"/>
        <v>684.5</v>
      </c>
      <c r="P1572" s="13">
        <f>P1573</f>
        <v>0</v>
      </c>
      <c r="Q1572" s="85">
        <f t="shared" si="347"/>
        <v>684.5</v>
      </c>
      <c r="R1572" s="13">
        <f>R1573</f>
        <v>-197.5</v>
      </c>
      <c r="S1572" s="85">
        <f t="shared" si="343"/>
        <v>487</v>
      </c>
      <c r="T1572" s="13">
        <f>T1573</f>
        <v>-39.099999999999994</v>
      </c>
      <c r="U1572" s="85">
        <f t="shared" si="338"/>
        <v>447.9</v>
      </c>
    </row>
    <row r="1573" spans="1:21">
      <c r="A1573" s="61" t="str">
        <f t="shared" ca="1" si="348"/>
        <v>Уплата налогов, сборов и иных платежей</v>
      </c>
      <c r="B1573" s="145">
        <v>811</v>
      </c>
      <c r="C1573" s="8" t="s">
        <v>216</v>
      </c>
      <c r="D1573" s="8" t="s">
        <v>196</v>
      </c>
      <c r="E1573" s="145" t="s">
        <v>78</v>
      </c>
      <c r="F1573" s="145">
        <v>850</v>
      </c>
      <c r="G1573" s="69">
        <f>G1574+G1575</f>
        <v>684.5</v>
      </c>
      <c r="H1573" s="69">
        <f>H1574+H1575</f>
        <v>0</v>
      </c>
      <c r="I1573" s="69">
        <f t="shared" si="330"/>
        <v>684.5</v>
      </c>
      <c r="J1573" s="69">
        <f>J1574+J1575</f>
        <v>0</v>
      </c>
      <c r="K1573" s="85">
        <f t="shared" si="344"/>
        <v>684.5</v>
      </c>
      <c r="L1573" s="13">
        <f>L1574+L1575</f>
        <v>0</v>
      </c>
      <c r="M1573" s="85">
        <f t="shared" si="336"/>
        <v>684.5</v>
      </c>
      <c r="N1573" s="13">
        <f>N1574+N1575</f>
        <v>0</v>
      </c>
      <c r="O1573" s="85">
        <f t="shared" si="337"/>
        <v>684.5</v>
      </c>
      <c r="P1573" s="13">
        <f>P1574+P1575</f>
        <v>0</v>
      </c>
      <c r="Q1573" s="85">
        <f t="shared" si="347"/>
        <v>684.5</v>
      </c>
      <c r="R1573" s="13">
        <f>R1574+R1575</f>
        <v>-197.5</v>
      </c>
      <c r="S1573" s="85">
        <f t="shared" si="343"/>
        <v>487</v>
      </c>
      <c r="T1573" s="13">
        <f>T1574+T1575</f>
        <v>-39.099999999999994</v>
      </c>
      <c r="U1573" s="85">
        <f t="shared" si="338"/>
        <v>447.9</v>
      </c>
    </row>
    <row r="1574" spans="1:21">
      <c r="A1574" s="61" t="str">
        <f ca="1">IF(ISERROR(MATCH(F1574,Код_КВР,0)),"",INDIRECT(ADDRESS(MATCH(F1574,Код_КВР,0)+1,2,,,"КВР")))</f>
        <v>Уплата налога на имущество организаций и земельного налога</v>
      </c>
      <c r="B1574" s="145">
        <v>811</v>
      </c>
      <c r="C1574" s="8" t="s">
        <v>216</v>
      </c>
      <c r="D1574" s="8" t="s">
        <v>196</v>
      </c>
      <c r="E1574" s="145" t="s">
        <v>78</v>
      </c>
      <c r="F1574" s="145">
        <v>851</v>
      </c>
      <c r="G1574" s="69">
        <v>183.1</v>
      </c>
      <c r="H1574" s="69"/>
      <c r="I1574" s="69">
        <f t="shared" ref="I1574:I1651" si="349">G1574+H1574</f>
        <v>183.1</v>
      </c>
      <c r="J1574" s="69"/>
      <c r="K1574" s="85">
        <f t="shared" si="344"/>
        <v>183.1</v>
      </c>
      <c r="L1574" s="13"/>
      <c r="M1574" s="85">
        <f t="shared" si="336"/>
        <v>183.1</v>
      </c>
      <c r="N1574" s="13"/>
      <c r="O1574" s="85">
        <f t="shared" si="337"/>
        <v>183.1</v>
      </c>
      <c r="P1574" s="13"/>
      <c r="Q1574" s="85">
        <f t="shared" si="347"/>
        <v>183.1</v>
      </c>
      <c r="R1574" s="13">
        <v>-130</v>
      </c>
      <c r="S1574" s="85">
        <f t="shared" si="343"/>
        <v>53.099999999999994</v>
      </c>
      <c r="T1574" s="13">
        <v>-35.799999999999997</v>
      </c>
      <c r="U1574" s="85">
        <f t="shared" ref="U1574:U1641" si="350">S1574+T1574</f>
        <v>17.299999999999997</v>
      </c>
    </row>
    <row r="1575" spans="1:21">
      <c r="A1575" s="61" t="str">
        <f ca="1">IF(ISERROR(MATCH(F1575,Код_КВР,0)),"",INDIRECT(ADDRESS(MATCH(F1575,Код_КВР,0)+1,2,,,"КВР")))</f>
        <v>Уплата прочих налогов, сборов и иных платежей</v>
      </c>
      <c r="B1575" s="145">
        <v>811</v>
      </c>
      <c r="C1575" s="8" t="s">
        <v>216</v>
      </c>
      <c r="D1575" s="8" t="s">
        <v>196</v>
      </c>
      <c r="E1575" s="145" t="s">
        <v>78</v>
      </c>
      <c r="F1575" s="145">
        <v>852</v>
      </c>
      <c r="G1575" s="69">
        <v>501.4</v>
      </c>
      <c r="H1575" s="69"/>
      <c r="I1575" s="69">
        <f t="shared" si="349"/>
        <v>501.4</v>
      </c>
      <c r="J1575" s="69"/>
      <c r="K1575" s="85">
        <f t="shared" si="344"/>
        <v>501.4</v>
      </c>
      <c r="L1575" s="13"/>
      <c r="M1575" s="85">
        <f t="shared" si="336"/>
        <v>501.4</v>
      </c>
      <c r="N1575" s="13"/>
      <c r="O1575" s="85">
        <f t="shared" si="337"/>
        <v>501.4</v>
      </c>
      <c r="P1575" s="13"/>
      <c r="Q1575" s="85">
        <f t="shared" si="347"/>
        <v>501.4</v>
      </c>
      <c r="R1575" s="13">
        <f>-67.5</f>
        <v>-67.5</v>
      </c>
      <c r="S1575" s="85">
        <f t="shared" si="343"/>
        <v>433.9</v>
      </c>
      <c r="T1575" s="13">
        <f>-2-1.3</f>
        <v>-3.3</v>
      </c>
      <c r="U1575" s="85">
        <f t="shared" si="350"/>
        <v>430.59999999999997</v>
      </c>
    </row>
    <row r="1576" spans="1:21" ht="33.75" customHeight="1">
      <c r="A1576" s="61" t="str">
        <f ca="1">IF(ISERROR(MATCH(E1576,Код_КЦСР,0)),"",INDIRECT(ADDRESS(MATCH(E1576,Код_КЦСР,0)+1,2,,,"КЦСР")))</f>
        <v>Реализация перспективных проектов в сфере развития туризма за счет субсидии из областного бюджета</v>
      </c>
      <c r="B1576" s="145">
        <v>811</v>
      </c>
      <c r="C1576" s="8" t="s">
        <v>216</v>
      </c>
      <c r="D1576" s="8" t="s">
        <v>196</v>
      </c>
      <c r="E1576" s="145" t="s">
        <v>690</v>
      </c>
      <c r="F1576" s="145"/>
      <c r="G1576" s="69"/>
      <c r="H1576" s="69"/>
      <c r="I1576" s="69"/>
      <c r="J1576" s="69"/>
      <c r="K1576" s="85"/>
      <c r="L1576" s="13"/>
      <c r="M1576" s="85"/>
      <c r="N1576" s="13"/>
      <c r="O1576" s="85"/>
      <c r="P1576" s="13"/>
      <c r="Q1576" s="85"/>
      <c r="R1576" s="13"/>
      <c r="S1576" s="85">
        <f t="shared" si="343"/>
        <v>0</v>
      </c>
      <c r="T1576" s="13">
        <f>T1577</f>
        <v>5350</v>
      </c>
      <c r="U1576" s="85">
        <f t="shared" si="350"/>
        <v>5350</v>
      </c>
    </row>
    <row r="1577" spans="1:21" ht="33">
      <c r="A1577" s="61" t="str">
        <f ca="1">IF(ISERROR(MATCH(F1577,Код_КВР,0)),"",INDIRECT(ADDRESS(MATCH(F1577,Код_КВР,0)+1,2,,,"КВР")))</f>
        <v>Капитальные вложения в объекты недвижимого имущества муниципальной собственности</v>
      </c>
      <c r="B1577" s="145">
        <v>811</v>
      </c>
      <c r="C1577" s="8" t="s">
        <v>216</v>
      </c>
      <c r="D1577" s="8" t="s">
        <v>196</v>
      </c>
      <c r="E1577" s="145" t="s">
        <v>690</v>
      </c>
      <c r="F1577" s="145">
        <v>400</v>
      </c>
      <c r="G1577" s="69"/>
      <c r="H1577" s="69"/>
      <c r="I1577" s="69"/>
      <c r="J1577" s="69"/>
      <c r="K1577" s="85"/>
      <c r="L1577" s="13"/>
      <c r="M1577" s="85"/>
      <c r="N1577" s="13"/>
      <c r="O1577" s="85"/>
      <c r="P1577" s="13"/>
      <c r="Q1577" s="85"/>
      <c r="R1577" s="13"/>
      <c r="S1577" s="85">
        <f t="shared" si="343"/>
        <v>0</v>
      </c>
      <c r="T1577" s="13">
        <f>T1578</f>
        <v>5350</v>
      </c>
      <c r="U1577" s="85">
        <f t="shared" si="350"/>
        <v>5350</v>
      </c>
    </row>
    <row r="1578" spans="1:21">
      <c r="A1578" s="61" t="str">
        <f ca="1">IF(ISERROR(MATCH(F1578,Код_КВР,0)),"",INDIRECT(ADDRESS(MATCH(F1578,Код_КВР,0)+1,2,,,"КВР")))</f>
        <v>Бюджетные инвестиции</v>
      </c>
      <c r="B1578" s="145">
        <v>811</v>
      </c>
      <c r="C1578" s="8" t="s">
        <v>216</v>
      </c>
      <c r="D1578" s="8" t="s">
        <v>196</v>
      </c>
      <c r="E1578" s="145" t="s">
        <v>690</v>
      </c>
      <c r="F1578" s="145">
        <v>410</v>
      </c>
      <c r="G1578" s="69"/>
      <c r="H1578" s="69"/>
      <c r="I1578" s="69"/>
      <c r="J1578" s="69"/>
      <c r="K1578" s="85"/>
      <c r="L1578" s="13"/>
      <c r="M1578" s="85"/>
      <c r="N1578" s="13"/>
      <c r="O1578" s="85"/>
      <c r="P1578" s="13"/>
      <c r="Q1578" s="85"/>
      <c r="R1578" s="13"/>
      <c r="S1578" s="85">
        <f t="shared" si="343"/>
        <v>0</v>
      </c>
      <c r="T1578" s="13">
        <f>T1579</f>
        <v>5350</v>
      </c>
      <c r="U1578" s="85">
        <f t="shared" si="350"/>
        <v>5350</v>
      </c>
    </row>
    <row r="1579" spans="1:21" ht="33">
      <c r="A1579" s="61" t="str">
        <f ca="1">IF(ISERROR(MATCH(F1579,Код_КВР,0)),"",INDIRECT(ADDRESS(MATCH(F1579,Код_КВР,0)+1,2,,,"КВР")))</f>
        <v>Бюджетные инвестиции в объекты капитального строительства муниципальной собственности</v>
      </c>
      <c r="B1579" s="145">
        <v>811</v>
      </c>
      <c r="C1579" s="8" t="s">
        <v>216</v>
      </c>
      <c r="D1579" s="8" t="s">
        <v>196</v>
      </c>
      <c r="E1579" s="145" t="s">
        <v>690</v>
      </c>
      <c r="F1579" s="145">
        <v>414</v>
      </c>
      <c r="G1579" s="69"/>
      <c r="H1579" s="69"/>
      <c r="I1579" s="69"/>
      <c r="J1579" s="69"/>
      <c r="K1579" s="85"/>
      <c r="L1579" s="13"/>
      <c r="M1579" s="85"/>
      <c r="N1579" s="13"/>
      <c r="O1579" s="85"/>
      <c r="P1579" s="13"/>
      <c r="Q1579" s="85"/>
      <c r="R1579" s="13"/>
      <c r="S1579" s="85">
        <f t="shared" si="343"/>
        <v>0</v>
      </c>
      <c r="T1579" s="13">
        <v>5350</v>
      </c>
      <c r="U1579" s="85">
        <f t="shared" si="350"/>
        <v>5350</v>
      </c>
    </row>
    <row r="1580" spans="1:21" ht="33">
      <c r="A1580" s="61" t="str">
        <f ca="1">IF(ISERROR(MATCH(E1580,Код_КЦСР,0)),"",INDIRECT(ADDRESS(MATCH(E1580,Код_КЦСР,0)+1,2,,,"КЦСР")))</f>
        <v>Непрограммные направления деятельности органов местного самоуправления</v>
      </c>
      <c r="B1580" s="145">
        <v>811</v>
      </c>
      <c r="C1580" s="8" t="s">
        <v>216</v>
      </c>
      <c r="D1580" s="8" t="s">
        <v>196</v>
      </c>
      <c r="E1580" s="145" t="s">
        <v>299</v>
      </c>
      <c r="F1580" s="145"/>
      <c r="G1580" s="69">
        <f>G1581</f>
        <v>37100.6</v>
      </c>
      <c r="H1580" s="69">
        <f>H1581</f>
        <v>0</v>
      </c>
      <c r="I1580" s="69">
        <f t="shared" si="349"/>
        <v>37100.6</v>
      </c>
      <c r="J1580" s="69">
        <f>J1581</f>
        <v>0</v>
      </c>
      <c r="K1580" s="85">
        <f t="shared" si="344"/>
        <v>37100.6</v>
      </c>
      <c r="L1580" s="13">
        <f>L1581</f>
        <v>0</v>
      </c>
      <c r="M1580" s="85">
        <f t="shared" si="336"/>
        <v>37100.6</v>
      </c>
      <c r="N1580" s="13">
        <f>N1581</f>
        <v>0</v>
      </c>
      <c r="O1580" s="85">
        <f t="shared" si="337"/>
        <v>37100.6</v>
      </c>
      <c r="P1580" s="13">
        <f>P1581</f>
        <v>0</v>
      </c>
      <c r="Q1580" s="85">
        <f t="shared" si="347"/>
        <v>37100.6</v>
      </c>
      <c r="R1580" s="13">
        <f>R1581</f>
        <v>0</v>
      </c>
      <c r="S1580" s="85">
        <f t="shared" si="343"/>
        <v>37100.6</v>
      </c>
      <c r="T1580" s="13">
        <f>T1581</f>
        <v>-91.4</v>
      </c>
      <c r="U1580" s="85">
        <f t="shared" si="350"/>
        <v>37009.199999999997</v>
      </c>
    </row>
    <row r="1581" spans="1:21">
      <c r="A1581" s="61" t="str">
        <f ca="1">IF(ISERROR(MATCH(E1581,Код_КЦСР,0)),"",INDIRECT(ADDRESS(MATCH(E1581,Код_КЦСР,0)+1,2,,,"КЦСР")))</f>
        <v>Расходы, не включенные в муниципальные программы города Череповца</v>
      </c>
      <c r="B1581" s="145">
        <v>811</v>
      </c>
      <c r="C1581" s="8" t="s">
        <v>216</v>
      </c>
      <c r="D1581" s="8" t="s">
        <v>196</v>
      </c>
      <c r="E1581" s="145" t="s">
        <v>301</v>
      </c>
      <c r="F1581" s="145"/>
      <c r="G1581" s="69">
        <f>G1582+G1592</f>
        <v>37100.6</v>
      </c>
      <c r="H1581" s="69">
        <f>H1582+H1592</f>
        <v>0</v>
      </c>
      <c r="I1581" s="69">
        <f t="shared" si="349"/>
        <v>37100.6</v>
      </c>
      <c r="J1581" s="69">
        <f>J1582+J1592</f>
        <v>0</v>
      </c>
      <c r="K1581" s="85">
        <f t="shared" si="344"/>
        <v>37100.6</v>
      </c>
      <c r="L1581" s="13">
        <f>L1582+L1592</f>
        <v>0</v>
      </c>
      <c r="M1581" s="85">
        <f t="shared" si="336"/>
        <v>37100.6</v>
      </c>
      <c r="N1581" s="13">
        <f>N1582+N1592</f>
        <v>0</v>
      </c>
      <c r="O1581" s="85">
        <f t="shared" si="337"/>
        <v>37100.6</v>
      </c>
      <c r="P1581" s="13">
        <f>P1582+P1592</f>
        <v>0</v>
      </c>
      <c r="Q1581" s="85">
        <f t="shared" si="347"/>
        <v>37100.6</v>
      </c>
      <c r="R1581" s="13">
        <f>R1582+R1592</f>
        <v>0</v>
      </c>
      <c r="S1581" s="85">
        <f t="shared" si="343"/>
        <v>37100.6</v>
      </c>
      <c r="T1581" s="13">
        <f>T1582+T1592</f>
        <v>-91.4</v>
      </c>
      <c r="U1581" s="85">
        <f t="shared" si="350"/>
        <v>37009.199999999997</v>
      </c>
    </row>
    <row r="1582" spans="1:21" ht="33">
      <c r="A1582" s="61" t="str">
        <f ca="1">IF(ISERROR(MATCH(E1582,Код_КЦСР,0)),"",INDIRECT(ADDRESS(MATCH(E1582,Код_КЦСР,0)+1,2,,,"КЦСР")))</f>
        <v>Руководство и управление в сфере установленных функций органов местного самоуправления</v>
      </c>
      <c r="B1582" s="145">
        <v>811</v>
      </c>
      <c r="C1582" s="8" t="s">
        <v>216</v>
      </c>
      <c r="D1582" s="8" t="s">
        <v>196</v>
      </c>
      <c r="E1582" s="145" t="s">
        <v>303</v>
      </c>
      <c r="F1582" s="145"/>
      <c r="G1582" s="69">
        <f>G1583</f>
        <v>36988.299999999996</v>
      </c>
      <c r="H1582" s="69">
        <f>H1583</f>
        <v>0</v>
      </c>
      <c r="I1582" s="69">
        <f t="shared" si="349"/>
        <v>36988.299999999996</v>
      </c>
      <c r="J1582" s="69">
        <f>J1583</f>
        <v>0</v>
      </c>
      <c r="K1582" s="85">
        <f t="shared" si="344"/>
        <v>36988.299999999996</v>
      </c>
      <c r="L1582" s="13">
        <f>L1583</f>
        <v>0</v>
      </c>
      <c r="M1582" s="85">
        <f t="shared" si="336"/>
        <v>36988.299999999996</v>
      </c>
      <c r="N1582" s="13">
        <f>N1583</f>
        <v>0</v>
      </c>
      <c r="O1582" s="85">
        <f t="shared" si="337"/>
        <v>36988.299999999996</v>
      </c>
      <c r="P1582" s="13">
        <f>P1583</f>
        <v>0</v>
      </c>
      <c r="Q1582" s="85">
        <f t="shared" si="347"/>
        <v>36988.299999999996</v>
      </c>
      <c r="R1582" s="13">
        <f>R1583</f>
        <v>0</v>
      </c>
      <c r="S1582" s="85">
        <f t="shared" si="343"/>
        <v>36988.299999999996</v>
      </c>
      <c r="T1582" s="13">
        <f>T1583</f>
        <v>0</v>
      </c>
      <c r="U1582" s="85">
        <f t="shared" si="350"/>
        <v>36988.299999999996</v>
      </c>
    </row>
    <row r="1583" spans="1:21">
      <c r="A1583" s="61" t="str">
        <f ca="1">IF(ISERROR(MATCH(E1583,Код_КЦСР,0)),"",INDIRECT(ADDRESS(MATCH(E1583,Код_КЦСР,0)+1,2,,,"КЦСР")))</f>
        <v>Центральный аппарат</v>
      </c>
      <c r="B1583" s="145">
        <v>811</v>
      </c>
      <c r="C1583" s="8" t="s">
        <v>216</v>
      </c>
      <c r="D1583" s="8" t="s">
        <v>196</v>
      </c>
      <c r="E1583" s="145" t="s">
        <v>306</v>
      </c>
      <c r="F1583" s="145"/>
      <c r="G1583" s="69">
        <f>G1584+G1586+G1589</f>
        <v>36988.299999999996</v>
      </c>
      <c r="H1583" s="69">
        <f>H1584+H1586+H1589</f>
        <v>0</v>
      </c>
      <c r="I1583" s="69">
        <f t="shared" si="349"/>
        <v>36988.299999999996</v>
      </c>
      <c r="J1583" s="69">
        <f>J1584+J1586+J1589</f>
        <v>0</v>
      </c>
      <c r="K1583" s="85">
        <f t="shared" si="344"/>
        <v>36988.299999999996</v>
      </c>
      <c r="L1583" s="13">
        <f>L1584+L1586+L1589</f>
        <v>0</v>
      </c>
      <c r="M1583" s="85">
        <f t="shared" si="336"/>
        <v>36988.299999999996</v>
      </c>
      <c r="N1583" s="13">
        <f>N1584+N1586+N1589</f>
        <v>0</v>
      </c>
      <c r="O1583" s="85">
        <f t="shared" si="337"/>
        <v>36988.299999999996</v>
      </c>
      <c r="P1583" s="13">
        <f>P1584+P1586+P1589</f>
        <v>0</v>
      </c>
      <c r="Q1583" s="85">
        <f t="shared" si="347"/>
        <v>36988.299999999996</v>
      </c>
      <c r="R1583" s="13">
        <f>R1584+R1586+R1589</f>
        <v>0</v>
      </c>
      <c r="S1583" s="85">
        <f t="shared" si="343"/>
        <v>36988.299999999996</v>
      </c>
      <c r="T1583" s="13">
        <f>T1584+T1586+T1589</f>
        <v>0</v>
      </c>
      <c r="U1583" s="85">
        <f t="shared" si="350"/>
        <v>36988.299999999996</v>
      </c>
    </row>
    <row r="1584" spans="1:21" ht="33">
      <c r="A1584" s="61" t="str">
        <f t="shared" ref="A1584:A1590" ca="1" si="351">IF(ISERROR(MATCH(F1584,Код_КВР,0)),"",INDIRECT(ADDRESS(MATCH(F1584,Код_КВР,0)+1,2,,,"КВР")))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84" s="145">
        <v>811</v>
      </c>
      <c r="C1584" s="8" t="s">
        <v>216</v>
      </c>
      <c r="D1584" s="8" t="s">
        <v>196</v>
      </c>
      <c r="E1584" s="145" t="s">
        <v>306</v>
      </c>
      <c r="F1584" s="145">
        <v>100</v>
      </c>
      <c r="G1584" s="69">
        <f>G1585</f>
        <v>36963.699999999997</v>
      </c>
      <c r="H1584" s="69">
        <f>H1585</f>
        <v>0</v>
      </c>
      <c r="I1584" s="69">
        <f t="shared" si="349"/>
        <v>36963.699999999997</v>
      </c>
      <c r="J1584" s="69">
        <f>J1585</f>
        <v>0</v>
      </c>
      <c r="K1584" s="85">
        <f t="shared" si="344"/>
        <v>36963.699999999997</v>
      </c>
      <c r="L1584" s="13">
        <f>L1585</f>
        <v>0</v>
      </c>
      <c r="M1584" s="85">
        <f t="shared" si="336"/>
        <v>36963.699999999997</v>
      </c>
      <c r="N1584" s="13">
        <f>N1585</f>
        <v>0</v>
      </c>
      <c r="O1584" s="85">
        <f t="shared" si="337"/>
        <v>36963.699999999997</v>
      </c>
      <c r="P1584" s="13">
        <f>P1585</f>
        <v>0</v>
      </c>
      <c r="Q1584" s="85">
        <f t="shared" si="347"/>
        <v>36963.699999999997</v>
      </c>
      <c r="R1584" s="13">
        <f>R1585</f>
        <v>-1.4</v>
      </c>
      <c r="S1584" s="85">
        <f t="shared" si="343"/>
        <v>36962.299999999996</v>
      </c>
      <c r="T1584" s="13">
        <f>T1585</f>
        <v>0</v>
      </c>
      <c r="U1584" s="85">
        <f t="shared" si="350"/>
        <v>36962.299999999996</v>
      </c>
    </row>
    <row r="1585" spans="1:21">
      <c r="A1585" s="61" t="str">
        <f t="shared" ca="1" si="351"/>
        <v>Расходы на выплаты персоналу муниципальных органов</v>
      </c>
      <c r="B1585" s="145">
        <v>811</v>
      </c>
      <c r="C1585" s="8" t="s">
        <v>216</v>
      </c>
      <c r="D1585" s="8" t="s">
        <v>196</v>
      </c>
      <c r="E1585" s="145" t="s">
        <v>306</v>
      </c>
      <c r="F1585" s="145">
        <v>120</v>
      </c>
      <c r="G1585" s="69">
        <v>36963.699999999997</v>
      </c>
      <c r="H1585" s="69"/>
      <c r="I1585" s="69">
        <f t="shared" si="349"/>
        <v>36963.699999999997</v>
      </c>
      <c r="J1585" s="69"/>
      <c r="K1585" s="85">
        <f t="shared" si="344"/>
        <v>36963.699999999997</v>
      </c>
      <c r="L1585" s="13"/>
      <c r="M1585" s="85">
        <f t="shared" si="336"/>
        <v>36963.699999999997</v>
      </c>
      <c r="N1585" s="13"/>
      <c r="O1585" s="85">
        <f t="shared" si="337"/>
        <v>36963.699999999997</v>
      </c>
      <c r="P1585" s="13"/>
      <c r="Q1585" s="85">
        <f t="shared" si="347"/>
        <v>36963.699999999997</v>
      </c>
      <c r="R1585" s="13">
        <v>-1.4</v>
      </c>
      <c r="S1585" s="85">
        <f t="shared" si="343"/>
        <v>36962.299999999996</v>
      </c>
      <c r="T1585" s="13"/>
      <c r="U1585" s="85">
        <f t="shared" si="350"/>
        <v>36962.299999999996</v>
      </c>
    </row>
    <row r="1586" spans="1:21">
      <c r="A1586" s="61" t="str">
        <f t="shared" ca="1" si="351"/>
        <v>Закупка товаров, работ и услуг для муниципальных нужд</v>
      </c>
      <c r="B1586" s="145">
        <v>811</v>
      </c>
      <c r="C1586" s="8" t="s">
        <v>216</v>
      </c>
      <c r="D1586" s="8" t="s">
        <v>196</v>
      </c>
      <c r="E1586" s="145" t="s">
        <v>306</v>
      </c>
      <c r="F1586" s="145">
        <v>200</v>
      </c>
      <c r="G1586" s="69">
        <f>G1587</f>
        <v>21.6</v>
      </c>
      <c r="H1586" s="69">
        <f>H1587</f>
        <v>0</v>
      </c>
      <c r="I1586" s="69">
        <f t="shared" si="349"/>
        <v>21.6</v>
      </c>
      <c r="J1586" s="69">
        <f>J1587</f>
        <v>0</v>
      </c>
      <c r="K1586" s="85">
        <f t="shared" si="344"/>
        <v>21.6</v>
      </c>
      <c r="L1586" s="13">
        <f>L1587</f>
        <v>0</v>
      </c>
      <c r="M1586" s="85">
        <f t="shared" si="336"/>
        <v>21.6</v>
      </c>
      <c r="N1586" s="13">
        <f>N1587</f>
        <v>0</v>
      </c>
      <c r="O1586" s="85">
        <f t="shared" si="337"/>
        <v>21.6</v>
      </c>
      <c r="P1586" s="13">
        <f>P1587</f>
        <v>0</v>
      </c>
      <c r="Q1586" s="85">
        <f t="shared" si="347"/>
        <v>21.6</v>
      </c>
      <c r="R1586" s="13">
        <f>R1587</f>
        <v>1.4</v>
      </c>
      <c r="S1586" s="85">
        <f t="shared" si="343"/>
        <v>23</v>
      </c>
      <c r="T1586" s="13">
        <f>T1587</f>
        <v>0</v>
      </c>
      <c r="U1586" s="85">
        <f t="shared" si="350"/>
        <v>23</v>
      </c>
    </row>
    <row r="1587" spans="1:21" ht="33">
      <c r="A1587" s="61" t="str">
        <f t="shared" ca="1" si="351"/>
        <v>Иные закупки товаров, работ и услуг для обеспечения муниципальных нужд</v>
      </c>
      <c r="B1587" s="145">
        <v>811</v>
      </c>
      <c r="C1587" s="8" t="s">
        <v>216</v>
      </c>
      <c r="D1587" s="8" t="s">
        <v>196</v>
      </c>
      <c r="E1587" s="145" t="s">
        <v>306</v>
      </c>
      <c r="F1587" s="145">
        <v>240</v>
      </c>
      <c r="G1587" s="69">
        <f>G1588</f>
        <v>21.6</v>
      </c>
      <c r="H1587" s="69">
        <f>H1588</f>
        <v>0</v>
      </c>
      <c r="I1587" s="69">
        <f t="shared" si="349"/>
        <v>21.6</v>
      </c>
      <c r="J1587" s="69">
        <f>J1588</f>
        <v>0</v>
      </c>
      <c r="K1587" s="85">
        <f t="shared" si="344"/>
        <v>21.6</v>
      </c>
      <c r="L1587" s="13">
        <f>L1588</f>
        <v>0</v>
      </c>
      <c r="M1587" s="85">
        <f t="shared" si="336"/>
        <v>21.6</v>
      </c>
      <c r="N1587" s="13">
        <f>N1588</f>
        <v>0</v>
      </c>
      <c r="O1587" s="85">
        <f t="shared" si="337"/>
        <v>21.6</v>
      </c>
      <c r="P1587" s="13">
        <f>P1588</f>
        <v>0</v>
      </c>
      <c r="Q1587" s="85">
        <f t="shared" si="347"/>
        <v>21.6</v>
      </c>
      <c r="R1587" s="13">
        <f>R1588</f>
        <v>1.4</v>
      </c>
      <c r="S1587" s="85">
        <f t="shared" si="343"/>
        <v>23</v>
      </c>
      <c r="T1587" s="13">
        <f>T1588</f>
        <v>0</v>
      </c>
      <c r="U1587" s="85">
        <f t="shared" si="350"/>
        <v>23</v>
      </c>
    </row>
    <row r="1588" spans="1:21" ht="33">
      <c r="A1588" s="61" t="str">
        <f t="shared" ca="1" si="351"/>
        <v xml:space="preserve">Прочая закупка товаров, работ и услуг для обеспечения муниципальных нужд         </v>
      </c>
      <c r="B1588" s="145">
        <v>811</v>
      </c>
      <c r="C1588" s="8" t="s">
        <v>216</v>
      </c>
      <c r="D1588" s="8" t="s">
        <v>196</v>
      </c>
      <c r="E1588" s="145" t="s">
        <v>306</v>
      </c>
      <c r="F1588" s="145">
        <v>244</v>
      </c>
      <c r="G1588" s="69">
        <v>21.6</v>
      </c>
      <c r="H1588" s="69"/>
      <c r="I1588" s="69">
        <f t="shared" si="349"/>
        <v>21.6</v>
      </c>
      <c r="J1588" s="69"/>
      <c r="K1588" s="85">
        <f t="shared" si="344"/>
        <v>21.6</v>
      </c>
      <c r="L1588" s="13"/>
      <c r="M1588" s="85">
        <f t="shared" si="336"/>
        <v>21.6</v>
      </c>
      <c r="N1588" s="13"/>
      <c r="O1588" s="85">
        <f t="shared" si="337"/>
        <v>21.6</v>
      </c>
      <c r="P1588" s="13"/>
      <c r="Q1588" s="85">
        <f t="shared" si="347"/>
        <v>21.6</v>
      </c>
      <c r="R1588" s="13">
        <v>1.4</v>
      </c>
      <c r="S1588" s="85">
        <f t="shared" si="343"/>
        <v>23</v>
      </c>
      <c r="T1588" s="13"/>
      <c r="U1588" s="85">
        <f t="shared" si="350"/>
        <v>23</v>
      </c>
    </row>
    <row r="1589" spans="1:21">
      <c r="A1589" s="61" t="str">
        <f t="shared" ca="1" si="351"/>
        <v>Иные бюджетные ассигнования</v>
      </c>
      <c r="B1589" s="145">
        <v>811</v>
      </c>
      <c r="C1589" s="8" t="s">
        <v>216</v>
      </c>
      <c r="D1589" s="8" t="s">
        <v>196</v>
      </c>
      <c r="E1589" s="145" t="s">
        <v>306</v>
      </c>
      <c r="F1589" s="145">
        <v>800</v>
      </c>
      <c r="G1589" s="69">
        <f>G1590</f>
        <v>3</v>
      </c>
      <c r="H1589" s="69">
        <f>H1590</f>
        <v>0</v>
      </c>
      <c r="I1589" s="69">
        <f t="shared" si="349"/>
        <v>3</v>
      </c>
      <c r="J1589" s="69">
        <f>J1590</f>
        <v>0</v>
      </c>
      <c r="K1589" s="85">
        <f t="shared" si="344"/>
        <v>3</v>
      </c>
      <c r="L1589" s="13">
        <f>L1590</f>
        <v>0</v>
      </c>
      <c r="M1589" s="85">
        <f t="shared" si="336"/>
        <v>3</v>
      </c>
      <c r="N1589" s="13">
        <f>N1590</f>
        <v>0</v>
      </c>
      <c r="O1589" s="85">
        <f t="shared" si="337"/>
        <v>3</v>
      </c>
      <c r="P1589" s="13">
        <f>P1590</f>
        <v>0</v>
      </c>
      <c r="Q1589" s="85">
        <f t="shared" si="347"/>
        <v>3</v>
      </c>
      <c r="R1589" s="13">
        <f>R1590</f>
        <v>0</v>
      </c>
      <c r="S1589" s="85">
        <f t="shared" si="343"/>
        <v>3</v>
      </c>
      <c r="T1589" s="13">
        <f>T1590</f>
        <v>0</v>
      </c>
      <c r="U1589" s="85">
        <f t="shared" si="350"/>
        <v>3</v>
      </c>
    </row>
    <row r="1590" spans="1:21">
      <c r="A1590" s="61" t="str">
        <f t="shared" ca="1" si="351"/>
        <v>Уплата налогов, сборов и иных платежей</v>
      </c>
      <c r="B1590" s="145">
        <v>811</v>
      </c>
      <c r="C1590" s="8" t="s">
        <v>216</v>
      </c>
      <c r="D1590" s="8" t="s">
        <v>196</v>
      </c>
      <c r="E1590" s="145" t="s">
        <v>306</v>
      </c>
      <c r="F1590" s="145">
        <v>850</v>
      </c>
      <c r="G1590" s="69">
        <f>G1591</f>
        <v>3</v>
      </c>
      <c r="H1590" s="69">
        <f>H1591</f>
        <v>0</v>
      </c>
      <c r="I1590" s="69">
        <f t="shared" si="349"/>
        <v>3</v>
      </c>
      <c r="J1590" s="69">
        <f>J1591</f>
        <v>0</v>
      </c>
      <c r="K1590" s="85">
        <f t="shared" si="344"/>
        <v>3</v>
      </c>
      <c r="L1590" s="13">
        <f>L1591</f>
        <v>0</v>
      </c>
      <c r="M1590" s="85">
        <f t="shared" si="336"/>
        <v>3</v>
      </c>
      <c r="N1590" s="13">
        <f>N1591</f>
        <v>0</v>
      </c>
      <c r="O1590" s="85">
        <f t="shared" si="337"/>
        <v>3</v>
      </c>
      <c r="P1590" s="13">
        <f>P1591</f>
        <v>0</v>
      </c>
      <c r="Q1590" s="85">
        <f t="shared" si="347"/>
        <v>3</v>
      </c>
      <c r="R1590" s="13">
        <f>R1591</f>
        <v>0</v>
      </c>
      <c r="S1590" s="85">
        <f t="shared" si="343"/>
        <v>3</v>
      </c>
      <c r="T1590" s="13">
        <f>T1591</f>
        <v>0</v>
      </c>
      <c r="U1590" s="85">
        <f t="shared" si="350"/>
        <v>3</v>
      </c>
    </row>
    <row r="1591" spans="1:21">
      <c r="A1591" s="61" t="str">
        <f ca="1">IF(ISERROR(MATCH(F1591,Код_КВР,0)),"",INDIRECT(ADDRESS(MATCH(F1591,Код_КВР,0)+1,2,,,"КВР")))</f>
        <v>Уплата прочих налогов, сборов и иных платежей</v>
      </c>
      <c r="B1591" s="145">
        <v>811</v>
      </c>
      <c r="C1591" s="8" t="s">
        <v>216</v>
      </c>
      <c r="D1591" s="8" t="s">
        <v>196</v>
      </c>
      <c r="E1591" s="145" t="s">
        <v>306</v>
      </c>
      <c r="F1591" s="145">
        <v>852</v>
      </c>
      <c r="G1591" s="69">
        <v>3</v>
      </c>
      <c r="H1591" s="69"/>
      <c r="I1591" s="69">
        <f t="shared" si="349"/>
        <v>3</v>
      </c>
      <c r="J1591" s="69"/>
      <c r="K1591" s="85">
        <f t="shared" si="344"/>
        <v>3</v>
      </c>
      <c r="L1591" s="13"/>
      <c r="M1591" s="85">
        <f t="shared" si="336"/>
        <v>3</v>
      </c>
      <c r="N1591" s="13"/>
      <c r="O1591" s="85">
        <f t="shared" si="337"/>
        <v>3</v>
      </c>
      <c r="P1591" s="13"/>
      <c r="Q1591" s="85">
        <f t="shared" si="347"/>
        <v>3</v>
      </c>
      <c r="R1591" s="13"/>
      <c r="S1591" s="85">
        <f t="shared" si="343"/>
        <v>3</v>
      </c>
      <c r="T1591" s="13"/>
      <c r="U1591" s="85">
        <f t="shared" si="350"/>
        <v>3</v>
      </c>
    </row>
    <row r="1592" spans="1:21" ht="135.19999999999999" customHeight="1">
      <c r="A1592" s="61" t="str">
        <f ca="1">IF(ISERROR(MATCH(E1592,Код_КЦСР,0)),"",INDIRECT(ADDRESS(MATCH(E1592,Код_КЦСР,0)+1,2,,,"КЦСР")))</f>
        <v>Осуществление отдельных государственных полномочий по защите прав граждан-участников долевого строительства в соответствии с законом области от 6 мая 2013 года № 3033-ОЗ «О наделении органов местного самоуправления отдельными государственными полномочиями по защите прав граждан-участников долевого строительства  многоквартирных домов, перед которыми застройщиками не исполнены обязательства по передаче им жилых помещений, на территории Вологодской области» за счет субвенций из областного бюджета</v>
      </c>
      <c r="B1592" s="145">
        <v>811</v>
      </c>
      <c r="C1592" s="8" t="s">
        <v>216</v>
      </c>
      <c r="D1592" s="8" t="s">
        <v>196</v>
      </c>
      <c r="E1592" s="145" t="s">
        <v>421</v>
      </c>
      <c r="F1592" s="145"/>
      <c r="G1592" s="69">
        <f>G1593</f>
        <v>112.3</v>
      </c>
      <c r="H1592" s="69">
        <f>H1593</f>
        <v>0</v>
      </c>
      <c r="I1592" s="69">
        <f t="shared" si="349"/>
        <v>112.3</v>
      </c>
      <c r="J1592" s="69">
        <f>J1593</f>
        <v>0</v>
      </c>
      <c r="K1592" s="85">
        <f t="shared" si="344"/>
        <v>112.3</v>
      </c>
      <c r="L1592" s="13">
        <f>L1593</f>
        <v>0</v>
      </c>
      <c r="M1592" s="85">
        <f t="shared" si="336"/>
        <v>112.3</v>
      </c>
      <c r="N1592" s="13">
        <f>N1593</f>
        <v>0</v>
      </c>
      <c r="O1592" s="85">
        <f t="shared" si="337"/>
        <v>112.3</v>
      </c>
      <c r="P1592" s="13">
        <f>P1593</f>
        <v>0</v>
      </c>
      <c r="Q1592" s="85">
        <f t="shared" si="347"/>
        <v>112.3</v>
      </c>
      <c r="R1592" s="13">
        <f>R1593</f>
        <v>0</v>
      </c>
      <c r="S1592" s="85">
        <f t="shared" si="343"/>
        <v>112.3</v>
      </c>
      <c r="T1592" s="13">
        <f>T1593</f>
        <v>-91.4</v>
      </c>
      <c r="U1592" s="85">
        <f t="shared" si="350"/>
        <v>20.899999999999991</v>
      </c>
    </row>
    <row r="1593" spans="1:21" ht="33">
      <c r="A1593" s="61" t="str">
        <f ca="1">IF(ISERROR(MATCH(F1593,Код_КВР,0)),"",INDIRECT(ADDRESS(MATCH(F1593,Код_КВР,0)+1,2,,,"КВР")))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593" s="145">
        <v>811</v>
      </c>
      <c r="C1593" s="8" t="s">
        <v>216</v>
      </c>
      <c r="D1593" s="8" t="s">
        <v>196</v>
      </c>
      <c r="E1593" s="145" t="s">
        <v>421</v>
      </c>
      <c r="F1593" s="145">
        <v>100</v>
      </c>
      <c r="G1593" s="69">
        <f>G1594</f>
        <v>112.3</v>
      </c>
      <c r="H1593" s="69">
        <f>H1594</f>
        <v>0</v>
      </c>
      <c r="I1593" s="69">
        <f t="shared" si="349"/>
        <v>112.3</v>
      </c>
      <c r="J1593" s="69">
        <f>J1594</f>
        <v>0</v>
      </c>
      <c r="K1593" s="85">
        <f t="shared" si="344"/>
        <v>112.3</v>
      </c>
      <c r="L1593" s="13">
        <f>L1594</f>
        <v>0</v>
      </c>
      <c r="M1593" s="85">
        <f t="shared" si="336"/>
        <v>112.3</v>
      </c>
      <c r="N1593" s="13">
        <f>N1594</f>
        <v>0</v>
      </c>
      <c r="O1593" s="85">
        <f t="shared" si="337"/>
        <v>112.3</v>
      </c>
      <c r="P1593" s="13">
        <f>P1594</f>
        <v>0</v>
      </c>
      <c r="Q1593" s="85">
        <f t="shared" si="347"/>
        <v>112.3</v>
      </c>
      <c r="R1593" s="13">
        <f>R1594</f>
        <v>0</v>
      </c>
      <c r="S1593" s="85">
        <f t="shared" si="343"/>
        <v>112.3</v>
      </c>
      <c r="T1593" s="13">
        <f>T1594</f>
        <v>-91.4</v>
      </c>
      <c r="U1593" s="85">
        <f t="shared" si="350"/>
        <v>20.899999999999991</v>
      </c>
    </row>
    <row r="1594" spans="1:21">
      <c r="A1594" s="61" t="str">
        <f ca="1">IF(ISERROR(MATCH(F1594,Код_КВР,0)),"",INDIRECT(ADDRESS(MATCH(F1594,Код_КВР,0)+1,2,,,"КВР")))</f>
        <v>Расходы на выплаты персоналу муниципальных органов</v>
      </c>
      <c r="B1594" s="145">
        <v>811</v>
      </c>
      <c r="C1594" s="8" t="s">
        <v>216</v>
      </c>
      <c r="D1594" s="8" t="s">
        <v>196</v>
      </c>
      <c r="E1594" s="145" t="s">
        <v>421</v>
      </c>
      <c r="F1594" s="145">
        <v>120</v>
      </c>
      <c r="G1594" s="69">
        <v>112.3</v>
      </c>
      <c r="H1594" s="69"/>
      <c r="I1594" s="69">
        <f t="shared" si="349"/>
        <v>112.3</v>
      </c>
      <c r="J1594" s="69"/>
      <c r="K1594" s="85">
        <f t="shared" si="344"/>
        <v>112.3</v>
      </c>
      <c r="L1594" s="13"/>
      <c r="M1594" s="85">
        <f t="shared" si="336"/>
        <v>112.3</v>
      </c>
      <c r="N1594" s="13"/>
      <c r="O1594" s="85">
        <f t="shared" si="337"/>
        <v>112.3</v>
      </c>
      <c r="P1594" s="13"/>
      <c r="Q1594" s="85">
        <f t="shared" si="347"/>
        <v>112.3</v>
      </c>
      <c r="R1594" s="13"/>
      <c r="S1594" s="85">
        <f t="shared" si="343"/>
        <v>112.3</v>
      </c>
      <c r="T1594" s="13">
        <v>-91.4</v>
      </c>
      <c r="U1594" s="85">
        <f t="shared" si="350"/>
        <v>20.899999999999991</v>
      </c>
    </row>
    <row r="1595" spans="1:21">
      <c r="A1595" s="61" t="str">
        <f ca="1">IF(ISERROR(MATCH(C1595,Код_Раздел,0)),"",INDIRECT(ADDRESS(MATCH(C1595,Код_Раздел,0)+1,2,,,"Раздел")))</f>
        <v>Жилищно-коммунальное хозяйство</v>
      </c>
      <c r="B1595" s="145">
        <v>811</v>
      </c>
      <c r="C1595" s="8" t="s">
        <v>221</v>
      </c>
      <c r="D1595" s="8"/>
      <c r="E1595" s="145"/>
      <c r="F1595" s="145"/>
      <c r="G1595" s="69">
        <f>G1602+G1613</f>
        <v>9522</v>
      </c>
      <c r="H1595" s="69">
        <f>H1602+H1613</f>
        <v>0</v>
      </c>
      <c r="I1595" s="69">
        <f t="shared" si="349"/>
        <v>9522</v>
      </c>
      <c r="J1595" s="69">
        <f>J1602+J1613</f>
        <v>0</v>
      </c>
      <c r="K1595" s="85">
        <f t="shared" si="344"/>
        <v>9522</v>
      </c>
      <c r="L1595" s="13">
        <f>L1602+L1613</f>
        <v>412.80000000000018</v>
      </c>
      <c r="M1595" s="85">
        <f t="shared" si="336"/>
        <v>9934.7999999999993</v>
      </c>
      <c r="N1595" s="13">
        <f>N1602+N1613</f>
        <v>3842.2</v>
      </c>
      <c r="O1595" s="85">
        <f t="shared" si="337"/>
        <v>13777</v>
      </c>
      <c r="P1595" s="13">
        <f>P1602+P1613</f>
        <v>0</v>
      </c>
      <c r="Q1595" s="85">
        <f t="shared" si="347"/>
        <v>13777</v>
      </c>
      <c r="R1595" s="13">
        <f>R1602+R1613+R1596</f>
        <v>1797.4</v>
      </c>
      <c r="S1595" s="85">
        <f t="shared" si="343"/>
        <v>15574.4</v>
      </c>
      <c r="T1595" s="13">
        <f>T1602+T1613+T1596</f>
        <v>-1643</v>
      </c>
      <c r="U1595" s="85">
        <f t="shared" si="350"/>
        <v>13931.4</v>
      </c>
    </row>
    <row r="1596" spans="1:21">
      <c r="A1596" s="12" t="s">
        <v>226</v>
      </c>
      <c r="B1596" s="145">
        <v>811</v>
      </c>
      <c r="C1596" s="8" t="s">
        <v>221</v>
      </c>
      <c r="D1596" s="8" t="s">
        <v>213</v>
      </c>
      <c r="E1596" s="145"/>
      <c r="F1596" s="145"/>
      <c r="G1596" s="69"/>
      <c r="H1596" s="69"/>
      <c r="I1596" s="69"/>
      <c r="J1596" s="69"/>
      <c r="K1596" s="85"/>
      <c r="L1596" s="13"/>
      <c r="M1596" s="85"/>
      <c r="N1596" s="13"/>
      <c r="O1596" s="85"/>
      <c r="P1596" s="13"/>
      <c r="Q1596" s="85"/>
      <c r="R1596" s="13">
        <f>R1597</f>
        <v>186.4</v>
      </c>
      <c r="S1596" s="85">
        <f t="shared" si="343"/>
        <v>186.4</v>
      </c>
      <c r="T1596" s="13">
        <f>T1597</f>
        <v>0</v>
      </c>
      <c r="U1596" s="85">
        <f t="shared" si="350"/>
        <v>186.4</v>
      </c>
    </row>
    <row r="1597" spans="1:21" ht="49.5">
      <c r="A1597" s="61" t="str">
        <f ca="1">IF(ISERROR(MATCH(E1597,Код_КЦСР,0)),"",INDIRECT(ADDRESS(MATCH(E1597,Код_КЦСР,0)+1,2,,,"КЦСР")))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597" s="145">
        <v>811</v>
      </c>
      <c r="C1597" s="8" t="s">
        <v>221</v>
      </c>
      <c r="D1597" s="8" t="s">
        <v>213</v>
      </c>
      <c r="E1597" s="145" t="s">
        <v>69</v>
      </c>
      <c r="F1597" s="145"/>
      <c r="G1597" s="69"/>
      <c r="H1597" s="69"/>
      <c r="I1597" s="69"/>
      <c r="J1597" s="69"/>
      <c r="K1597" s="85"/>
      <c r="L1597" s="13"/>
      <c r="M1597" s="85"/>
      <c r="N1597" s="13"/>
      <c r="O1597" s="85"/>
      <c r="P1597" s="13"/>
      <c r="Q1597" s="85"/>
      <c r="R1597" s="13">
        <f>R1598</f>
        <v>186.4</v>
      </c>
      <c r="S1597" s="85">
        <f t="shared" si="343"/>
        <v>186.4</v>
      </c>
      <c r="T1597" s="13">
        <f>T1598</f>
        <v>0</v>
      </c>
      <c r="U1597" s="85">
        <f t="shared" si="350"/>
        <v>186.4</v>
      </c>
    </row>
    <row r="1598" spans="1:21">
      <c r="A1598" s="61" t="str">
        <f ca="1">IF(ISERROR(MATCH(E1598,Код_КЦСР,0)),"",INDIRECT(ADDRESS(MATCH(E1598,Код_КЦСР,0)+1,2,,,"КЦСР")))</f>
        <v>Капитальный ремонт  объектов муниципальной собственности</v>
      </c>
      <c r="B1598" s="145">
        <v>811</v>
      </c>
      <c r="C1598" s="8" t="s">
        <v>221</v>
      </c>
      <c r="D1598" s="8" t="s">
        <v>213</v>
      </c>
      <c r="E1598" s="145" t="s">
        <v>77</v>
      </c>
      <c r="F1598" s="145"/>
      <c r="G1598" s="69"/>
      <c r="H1598" s="69"/>
      <c r="I1598" s="69"/>
      <c r="J1598" s="69"/>
      <c r="K1598" s="85"/>
      <c r="L1598" s="13"/>
      <c r="M1598" s="85"/>
      <c r="N1598" s="13"/>
      <c r="O1598" s="85"/>
      <c r="P1598" s="13"/>
      <c r="Q1598" s="85"/>
      <c r="R1598" s="13">
        <f>R1599</f>
        <v>186.4</v>
      </c>
      <c r="S1598" s="85">
        <f t="shared" si="343"/>
        <v>186.4</v>
      </c>
      <c r="T1598" s="13">
        <f>T1599</f>
        <v>0</v>
      </c>
      <c r="U1598" s="85">
        <f t="shared" si="350"/>
        <v>186.4</v>
      </c>
    </row>
    <row r="1599" spans="1:21" ht="21.95" customHeight="1">
      <c r="A1599" s="61" t="str">
        <f ca="1">IF(ISERROR(MATCH(F1599,Код_КВР,0)),"",INDIRECT(ADDRESS(MATCH(F1599,Код_КВР,0)+1,2,,,"КВР")))</f>
        <v>Закупка товаров, работ и услуг для муниципальных нужд</v>
      </c>
      <c r="B1599" s="145">
        <v>811</v>
      </c>
      <c r="C1599" s="8" t="s">
        <v>221</v>
      </c>
      <c r="D1599" s="8" t="s">
        <v>213</v>
      </c>
      <c r="E1599" s="145" t="s">
        <v>77</v>
      </c>
      <c r="F1599" s="145">
        <v>200</v>
      </c>
      <c r="G1599" s="69"/>
      <c r="H1599" s="69"/>
      <c r="I1599" s="69"/>
      <c r="J1599" s="69"/>
      <c r="K1599" s="85"/>
      <c r="L1599" s="13"/>
      <c r="M1599" s="85"/>
      <c r="N1599" s="13"/>
      <c r="O1599" s="85"/>
      <c r="P1599" s="13"/>
      <c r="Q1599" s="85"/>
      <c r="R1599" s="13">
        <f>R1600</f>
        <v>186.4</v>
      </c>
      <c r="S1599" s="85">
        <f t="shared" si="343"/>
        <v>186.4</v>
      </c>
      <c r="T1599" s="13">
        <f>T1600</f>
        <v>0</v>
      </c>
      <c r="U1599" s="85">
        <f t="shared" si="350"/>
        <v>186.4</v>
      </c>
    </row>
    <row r="1600" spans="1:21" ht="37.5" customHeight="1">
      <c r="A1600" s="61" t="str">
        <f ca="1">IF(ISERROR(MATCH(F1600,Код_КВР,0)),"",INDIRECT(ADDRESS(MATCH(F1600,Код_КВР,0)+1,2,,,"КВР")))</f>
        <v>Иные закупки товаров, работ и услуг для обеспечения муниципальных нужд</v>
      </c>
      <c r="B1600" s="145">
        <v>811</v>
      </c>
      <c r="C1600" s="8" t="s">
        <v>221</v>
      </c>
      <c r="D1600" s="8" t="s">
        <v>213</v>
      </c>
      <c r="E1600" s="145" t="s">
        <v>77</v>
      </c>
      <c r="F1600" s="145">
        <v>240</v>
      </c>
      <c r="G1600" s="69"/>
      <c r="H1600" s="69"/>
      <c r="I1600" s="69"/>
      <c r="J1600" s="69"/>
      <c r="K1600" s="85"/>
      <c r="L1600" s="13"/>
      <c r="M1600" s="85"/>
      <c r="N1600" s="13"/>
      <c r="O1600" s="85"/>
      <c r="P1600" s="13"/>
      <c r="Q1600" s="85"/>
      <c r="R1600" s="13">
        <f>R1601</f>
        <v>186.4</v>
      </c>
      <c r="S1600" s="85">
        <f t="shared" si="343"/>
        <v>186.4</v>
      </c>
      <c r="T1600" s="13">
        <f>T1601</f>
        <v>0</v>
      </c>
      <c r="U1600" s="85">
        <f t="shared" si="350"/>
        <v>186.4</v>
      </c>
    </row>
    <row r="1601" spans="1:21" ht="33">
      <c r="A1601" s="61" t="str">
        <f ca="1">IF(ISERROR(MATCH(F1601,Код_КВР,0)),"",INDIRECT(ADDRESS(MATCH(F1601,Код_КВР,0)+1,2,,,"КВР")))</f>
        <v>Закупка товаров, работ, услуг в целях капитального ремонта муниципального имущества</v>
      </c>
      <c r="B1601" s="145">
        <v>811</v>
      </c>
      <c r="C1601" s="8" t="s">
        <v>221</v>
      </c>
      <c r="D1601" s="8" t="s">
        <v>213</v>
      </c>
      <c r="E1601" s="145" t="s">
        <v>77</v>
      </c>
      <c r="F1601" s="145">
        <v>243</v>
      </c>
      <c r="G1601" s="69"/>
      <c r="H1601" s="69"/>
      <c r="I1601" s="69"/>
      <c r="J1601" s="69"/>
      <c r="K1601" s="85"/>
      <c r="L1601" s="13"/>
      <c r="M1601" s="85"/>
      <c r="N1601" s="13"/>
      <c r="O1601" s="85"/>
      <c r="P1601" s="13"/>
      <c r="Q1601" s="85"/>
      <c r="R1601" s="13">
        <f>186.4</f>
        <v>186.4</v>
      </c>
      <c r="S1601" s="85">
        <f t="shared" si="343"/>
        <v>186.4</v>
      </c>
      <c r="T1601" s="13"/>
      <c r="U1601" s="85">
        <f t="shared" si="350"/>
        <v>186.4</v>
      </c>
    </row>
    <row r="1602" spans="1:21">
      <c r="A1602" s="12" t="s">
        <v>253</v>
      </c>
      <c r="B1602" s="145">
        <v>811</v>
      </c>
      <c r="C1602" s="8" t="s">
        <v>221</v>
      </c>
      <c r="D1602" s="8" t="s">
        <v>214</v>
      </c>
      <c r="E1602" s="145"/>
      <c r="F1602" s="145"/>
      <c r="G1602" s="69">
        <f t="shared" ref="G1602:T1607" si="352">G1603</f>
        <v>4522</v>
      </c>
      <c r="H1602" s="69">
        <f t="shared" si="352"/>
        <v>0</v>
      </c>
      <c r="I1602" s="69">
        <f t="shared" si="349"/>
        <v>4522</v>
      </c>
      <c r="J1602" s="69">
        <f t="shared" si="352"/>
        <v>0</v>
      </c>
      <c r="K1602" s="85">
        <f t="shared" si="344"/>
        <v>4522</v>
      </c>
      <c r="L1602" s="13">
        <f t="shared" si="352"/>
        <v>412.80000000000018</v>
      </c>
      <c r="M1602" s="85">
        <f t="shared" si="336"/>
        <v>4934.8</v>
      </c>
      <c r="N1602" s="13">
        <f t="shared" si="352"/>
        <v>0</v>
      </c>
      <c r="O1602" s="85">
        <f t="shared" si="337"/>
        <v>4934.8</v>
      </c>
      <c r="P1602" s="13">
        <f t="shared" si="352"/>
        <v>0</v>
      </c>
      <c r="Q1602" s="85">
        <f t="shared" si="347"/>
        <v>4934.8</v>
      </c>
      <c r="R1602" s="13">
        <f t="shared" si="352"/>
        <v>1611</v>
      </c>
      <c r="S1602" s="85">
        <f t="shared" si="343"/>
        <v>6545.8</v>
      </c>
      <c r="T1602" s="13">
        <f t="shared" si="352"/>
        <v>-1622.9</v>
      </c>
      <c r="U1602" s="85">
        <f t="shared" si="350"/>
        <v>4922.8999999999996</v>
      </c>
    </row>
    <row r="1603" spans="1:21" ht="49.5">
      <c r="A1603" s="61" t="str">
        <f ca="1">IF(ISERROR(MATCH(E1603,Код_КЦСР,0)),"",INDIRECT(ADDRESS(MATCH(E1603,Код_КЦСР,0)+1,2,,,"КЦСР")))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03" s="145">
        <v>811</v>
      </c>
      <c r="C1603" s="8" t="s">
        <v>221</v>
      </c>
      <c r="D1603" s="8" t="s">
        <v>214</v>
      </c>
      <c r="E1603" s="145" t="s">
        <v>69</v>
      </c>
      <c r="F1603" s="145"/>
      <c r="G1603" s="69">
        <f t="shared" si="352"/>
        <v>4522</v>
      </c>
      <c r="H1603" s="69">
        <f t="shared" si="352"/>
        <v>0</v>
      </c>
      <c r="I1603" s="69">
        <f t="shared" si="349"/>
        <v>4522</v>
      </c>
      <c r="J1603" s="69">
        <f t="shared" si="352"/>
        <v>0</v>
      </c>
      <c r="K1603" s="85">
        <f t="shared" si="344"/>
        <v>4522</v>
      </c>
      <c r="L1603" s="13">
        <f t="shared" si="352"/>
        <v>412.80000000000018</v>
      </c>
      <c r="M1603" s="85">
        <f t="shared" si="336"/>
        <v>4934.8</v>
      </c>
      <c r="N1603" s="13">
        <f t="shared" si="352"/>
        <v>0</v>
      </c>
      <c r="O1603" s="85">
        <f t="shared" si="337"/>
        <v>4934.8</v>
      </c>
      <c r="P1603" s="13">
        <f t="shared" si="352"/>
        <v>0</v>
      </c>
      <c r="Q1603" s="85">
        <f t="shared" si="347"/>
        <v>4934.8</v>
      </c>
      <c r="R1603" s="13">
        <f t="shared" si="352"/>
        <v>1611</v>
      </c>
      <c r="S1603" s="85">
        <f t="shared" si="343"/>
        <v>6545.8</v>
      </c>
      <c r="T1603" s="13">
        <f>T1604</f>
        <v>-1622.9</v>
      </c>
      <c r="U1603" s="85">
        <f t="shared" si="350"/>
        <v>4922.8999999999996</v>
      </c>
    </row>
    <row r="1604" spans="1:21" ht="33">
      <c r="A1604" s="61" t="str">
        <f ca="1">IF(ISERROR(MATCH(E1604,Код_КЦСР,0)),"",INDIRECT(ADDRESS(MATCH(E1604,Код_КЦСР,0)+1,2,,,"КЦСР")))</f>
        <v>Капитальное строительство и реконструкция объектов муниципальной собственности</v>
      </c>
      <c r="B1604" s="145">
        <v>811</v>
      </c>
      <c r="C1604" s="8" t="s">
        <v>221</v>
      </c>
      <c r="D1604" s="8" t="s">
        <v>214</v>
      </c>
      <c r="E1604" s="145" t="s">
        <v>71</v>
      </c>
      <c r="F1604" s="145"/>
      <c r="G1604" s="69">
        <f t="shared" si="352"/>
        <v>4522</v>
      </c>
      <c r="H1604" s="69">
        <f t="shared" si="352"/>
        <v>0</v>
      </c>
      <c r="I1604" s="69">
        <f t="shared" si="349"/>
        <v>4522</v>
      </c>
      <c r="J1604" s="69">
        <f t="shared" si="352"/>
        <v>0</v>
      </c>
      <c r="K1604" s="85">
        <f t="shared" si="344"/>
        <v>4522</v>
      </c>
      <c r="L1604" s="13">
        <f>L1605+L1609</f>
        <v>412.80000000000018</v>
      </c>
      <c r="M1604" s="85">
        <f t="shared" si="336"/>
        <v>4934.8</v>
      </c>
      <c r="N1604" s="13">
        <f>N1605+N1609</f>
        <v>0</v>
      </c>
      <c r="O1604" s="85">
        <f t="shared" si="337"/>
        <v>4934.8</v>
      </c>
      <c r="P1604" s="13">
        <f>P1605+P1609</f>
        <v>0</v>
      </c>
      <c r="Q1604" s="85">
        <f t="shared" si="347"/>
        <v>4934.8</v>
      </c>
      <c r="R1604" s="13">
        <f>R1605+R1609</f>
        <v>1611</v>
      </c>
      <c r="S1604" s="85">
        <f t="shared" si="343"/>
        <v>6545.8</v>
      </c>
      <c r="T1604" s="13">
        <f>T1605+T1609</f>
        <v>-1622.9</v>
      </c>
      <c r="U1604" s="85">
        <f t="shared" si="350"/>
        <v>4922.8999999999996</v>
      </c>
    </row>
    <row r="1605" spans="1:21">
      <c r="A1605" s="61" t="str">
        <f ca="1">IF(ISERROR(MATCH(E1605,Код_КЦСР,0)),"",INDIRECT(ADDRESS(MATCH(E1605,Код_КЦСР,0)+1,2,,,"КЦСР")))</f>
        <v>Строительство полигона твердых бытовых отходов (ТБО) №2</v>
      </c>
      <c r="B1605" s="145">
        <v>811</v>
      </c>
      <c r="C1605" s="8" t="s">
        <v>221</v>
      </c>
      <c r="D1605" s="8" t="s">
        <v>214</v>
      </c>
      <c r="E1605" s="145" t="s">
        <v>76</v>
      </c>
      <c r="F1605" s="145"/>
      <c r="G1605" s="69">
        <f t="shared" si="352"/>
        <v>4522</v>
      </c>
      <c r="H1605" s="69">
        <f t="shared" si="352"/>
        <v>0</v>
      </c>
      <c r="I1605" s="69">
        <f t="shared" si="349"/>
        <v>4522</v>
      </c>
      <c r="J1605" s="69">
        <f t="shared" si="352"/>
        <v>0</v>
      </c>
      <c r="K1605" s="85">
        <f t="shared" si="344"/>
        <v>4522</v>
      </c>
      <c r="L1605" s="13">
        <f t="shared" si="352"/>
        <v>-2087.1999999999998</v>
      </c>
      <c r="M1605" s="85">
        <f t="shared" si="336"/>
        <v>2434.8000000000002</v>
      </c>
      <c r="N1605" s="13">
        <f t="shared" si="352"/>
        <v>0</v>
      </c>
      <c r="O1605" s="85">
        <f t="shared" si="337"/>
        <v>2434.8000000000002</v>
      </c>
      <c r="P1605" s="13">
        <f t="shared" si="352"/>
        <v>0</v>
      </c>
      <c r="Q1605" s="85">
        <f t="shared" si="347"/>
        <v>2434.8000000000002</v>
      </c>
      <c r="R1605" s="13">
        <f t="shared" si="352"/>
        <v>1611</v>
      </c>
      <c r="S1605" s="85">
        <f t="shared" si="343"/>
        <v>4045.8</v>
      </c>
      <c r="T1605" s="13">
        <f t="shared" si="352"/>
        <v>-348.5</v>
      </c>
      <c r="U1605" s="85">
        <f t="shared" si="350"/>
        <v>3697.3</v>
      </c>
    </row>
    <row r="1606" spans="1:21" ht="33">
      <c r="A1606" s="61" t="str">
        <f ca="1">IF(ISERROR(MATCH(F1606,Код_КВР,0)),"",INDIRECT(ADDRESS(MATCH(F1606,Код_КВР,0)+1,2,,,"КВР")))</f>
        <v>Капитальные вложения в объекты недвижимого имущества муниципальной собственности</v>
      </c>
      <c r="B1606" s="145">
        <v>811</v>
      </c>
      <c r="C1606" s="8" t="s">
        <v>221</v>
      </c>
      <c r="D1606" s="8" t="s">
        <v>214</v>
      </c>
      <c r="E1606" s="145" t="s">
        <v>76</v>
      </c>
      <c r="F1606" s="145">
        <v>400</v>
      </c>
      <c r="G1606" s="69">
        <f t="shared" si="352"/>
        <v>4522</v>
      </c>
      <c r="H1606" s="69">
        <f t="shared" si="352"/>
        <v>0</v>
      </c>
      <c r="I1606" s="69">
        <f t="shared" si="349"/>
        <v>4522</v>
      </c>
      <c r="J1606" s="69">
        <f t="shared" si="352"/>
        <v>0</v>
      </c>
      <c r="K1606" s="85">
        <f t="shared" si="344"/>
        <v>4522</v>
      </c>
      <c r="L1606" s="13">
        <f t="shared" si="352"/>
        <v>-2087.1999999999998</v>
      </c>
      <c r="M1606" s="85">
        <f t="shared" si="336"/>
        <v>2434.8000000000002</v>
      </c>
      <c r="N1606" s="13">
        <f t="shared" si="352"/>
        <v>0</v>
      </c>
      <c r="O1606" s="85">
        <f t="shared" si="337"/>
        <v>2434.8000000000002</v>
      </c>
      <c r="P1606" s="13">
        <f t="shared" si="352"/>
        <v>0</v>
      </c>
      <c r="Q1606" s="85">
        <f t="shared" si="347"/>
        <v>2434.8000000000002</v>
      </c>
      <c r="R1606" s="13">
        <f t="shared" si="352"/>
        <v>1611</v>
      </c>
      <c r="S1606" s="85">
        <f t="shared" si="343"/>
        <v>4045.8</v>
      </c>
      <c r="T1606" s="13">
        <f t="shared" si="352"/>
        <v>-348.5</v>
      </c>
      <c r="U1606" s="85">
        <f t="shared" si="350"/>
        <v>3697.3</v>
      </c>
    </row>
    <row r="1607" spans="1:21">
      <c r="A1607" s="61" t="str">
        <f ca="1">IF(ISERROR(MATCH(F1607,Код_КВР,0)),"",INDIRECT(ADDRESS(MATCH(F1607,Код_КВР,0)+1,2,,,"КВР")))</f>
        <v>Бюджетные инвестиции</v>
      </c>
      <c r="B1607" s="145">
        <v>811</v>
      </c>
      <c r="C1607" s="8" t="s">
        <v>221</v>
      </c>
      <c r="D1607" s="8" t="s">
        <v>214</v>
      </c>
      <c r="E1607" s="145" t="s">
        <v>76</v>
      </c>
      <c r="F1607" s="145">
        <v>410</v>
      </c>
      <c r="G1607" s="69">
        <f t="shared" si="352"/>
        <v>4522</v>
      </c>
      <c r="H1607" s="69">
        <f t="shared" si="352"/>
        <v>0</v>
      </c>
      <c r="I1607" s="69">
        <f t="shared" si="349"/>
        <v>4522</v>
      </c>
      <c r="J1607" s="69">
        <f t="shared" si="352"/>
        <v>0</v>
      </c>
      <c r="K1607" s="85">
        <f t="shared" si="344"/>
        <v>4522</v>
      </c>
      <c r="L1607" s="13">
        <f t="shared" si="352"/>
        <v>-2087.1999999999998</v>
      </c>
      <c r="M1607" s="85">
        <f t="shared" si="336"/>
        <v>2434.8000000000002</v>
      </c>
      <c r="N1607" s="13">
        <f t="shared" si="352"/>
        <v>0</v>
      </c>
      <c r="O1607" s="85">
        <f t="shared" si="337"/>
        <v>2434.8000000000002</v>
      </c>
      <c r="P1607" s="13">
        <f t="shared" si="352"/>
        <v>0</v>
      </c>
      <c r="Q1607" s="85">
        <f t="shared" si="347"/>
        <v>2434.8000000000002</v>
      </c>
      <c r="R1607" s="13">
        <f t="shared" si="352"/>
        <v>1611</v>
      </c>
      <c r="S1607" s="85">
        <f t="shared" si="343"/>
        <v>4045.8</v>
      </c>
      <c r="T1607" s="13">
        <f t="shared" si="352"/>
        <v>-348.5</v>
      </c>
      <c r="U1607" s="85">
        <f t="shared" si="350"/>
        <v>3697.3</v>
      </c>
    </row>
    <row r="1608" spans="1:21" ht="33">
      <c r="A1608" s="61" t="str">
        <f ca="1">IF(ISERROR(MATCH(F1608,Код_КВР,0)),"",INDIRECT(ADDRESS(MATCH(F1608,Код_КВР,0)+1,2,,,"КВР")))</f>
        <v>Бюджетные инвестиции в объекты капитального строительства муниципальной собственности</v>
      </c>
      <c r="B1608" s="145">
        <v>811</v>
      </c>
      <c r="C1608" s="8" t="s">
        <v>221</v>
      </c>
      <c r="D1608" s="8" t="s">
        <v>214</v>
      </c>
      <c r="E1608" s="145" t="s">
        <v>76</v>
      </c>
      <c r="F1608" s="145">
        <v>414</v>
      </c>
      <c r="G1608" s="69">
        <v>4522</v>
      </c>
      <c r="H1608" s="69"/>
      <c r="I1608" s="69">
        <f t="shared" si="349"/>
        <v>4522</v>
      </c>
      <c r="J1608" s="69"/>
      <c r="K1608" s="85">
        <f t="shared" si="344"/>
        <v>4522</v>
      </c>
      <c r="L1608" s="13">
        <v>-2087.1999999999998</v>
      </c>
      <c r="M1608" s="85">
        <f t="shared" si="336"/>
        <v>2434.8000000000002</v>
      </c>
      <c r="N1608" s="13"/>
      <c r="O1608" s="85">
        <f t="shared" si="337"/>
        <v>2434.8000000000002</v>
      </c>
      <c r="P1608" s="13"/>
      <c r="Q1608" s="85">
        <f t="shared" si="347"/>
        <v>2434.8000000000002</v>
      </c>
      <c r="R1608" s="13">
        <v>1611</v>
      </c>
      <c r="S1608" s="85">
        <f t="shared" si="343"/>
        <v>4045.8</v>
      </c>
      <c r="T1608" s="13">
        <v>-348.5</v>
      </c>
      <c r="U1608" s="85">
        <f t="shared" si="350"/>
        <v>3697.3</v>
      </c>
    </row>
    <row r="1609" spans="1:21" ht="15.75" customHeight="1">
      <c r="A1609" s="61" t="str">
        <f ca="1">IF(ISERROR(MATCH(E1609,Код_КЦСР,0)),"",INDIRECT(ADDRESS(MATCH(E1609,Код_КЦСР,0)+1,2,,,"КЦСР")))</f>
        <v>Туристско-рекреационный кластер «Центральная городская набережная»</v>
      </c>
      <c r="B1609" s="145">
        <v>811</v>
      </c>
      <c r="C1609" s="8" t="s">
        <v>221</v>
      </c>
      <c r="D1609" s="8" t="s">
        <v>214</v>
      </c>
      <c r="E1609" s="145" t="s">
        <v>622</v>
      </c>
      <c r="F1609" s="145"/>
      <c r="G1609" s="69"/>
      <c r="H1609" s="69"/>
      <c r="I1609" s="69"/>
      <c r="J1609" s="69"/>
      <c r="K1609" s="85"/>
      <c r="L1609" s="13">
        <f>L1610</f>
        <v>2500</v>
      </c>
      <c r="M1609" s="85">
        <f t="shared" si="336"/>
        <v>2500</v>
      </c>
      <c r="N1609" s="13">
        <f>N1610</f>
        <v>0</v>
      </c>
      <c r="O1609" s="85">
        <f t="shared" si="337"/>
        <v>2500</v>
      </c>
      <c r="P1609" s="13">
        <f>P1610</f>
        <v>0</v>
      </c>
      <c r="Q1609" s="85">
        <f t="shared" si="347"/>
        <v>2500</v>
      </c>
      <c r="R1609" s="13">
        <f>R1610</f>
        <v>0</v>
      </c>
      <c r="S1609" s="85">
        <f t="shared" si="343"/>
        <v>2500</v>
      </c>
      <c r="T1609" s="13">
        <f>T1610</f>
        <v>-1274.4000000000001</v>
      </c>
      <c r="U1609" s="85">
        <f t="shared" si="350"/>
        <v>1225.5999999999999</v>
      </c>
    </row>
    <row r="1610" spans="1:21" ht="42.75" customHeight="1">
      <c r="A1610" s="61" t="str">
        <f ca="1">IF(ISERROR(MATCH(F1610,Код_КВР,0)),"",INDIRECT(ADDRESS(MATCH(F1610,Код_КВР,0)+1,2,,,"КВР")))</f>
        <v>Капитальные вложения в объекты недвижимого имущества муниципальной собственности</v>
      </c>
      <c r="B1610" s="145">
        <v>811</v>
      </c>
      <c r="C1610" s="8" t="s">
        <v>221</v>
      </c>
      <c r="D1610" s="8" t="s">
        <v>214</v>
      </c>
      <c r="E1610" s="145" t="s">
        <v>622</v>
      </c>
      <c r="F1610" s="145">
        <v>400</v>
      </c>
      <c r="G1610" s="69"/>
      <c r="H1610" s="69"/>
      <c r="I1610" s="69"/>
      <c r="J1610" s="69"/>
      <c r="K1610" s="85"/>
      <c r="L1610" s="13">
        <f>L1611</f>
        <v>2500</v>
      </c>
      <c r="M1610" s="85">
        <f t="shared" si="336"/>
        <v>2500</v>
      </c>
      <c r="N1610" s="13">
        <f>N1611</f>
        <v>0</v>
      </c>
      <c r="O1610" s="85">
        <f t="shared" si="337"/>
        <v>2500</v>
      </c>
      <c r="P1610" s="13">
        <f>P1611</f>
        <v>0</v>
      </c>
      <c r="Q1610" s="85">
        <f t="shared" si="347"/>
        <v>2500</v>
      </c>
      <c r="R1610" s="13">
        <f>R1611</f>
        <v>0</v>
      </c>
      <c r="S1610" s="85">
        <f t="shared" si="343"/>
        <v>2500</v>
      </c>
      <c r="T1610" s="13">
        <f>T1611</f>
        <v>-1274.4000000000001</v>
      </c>
      <c r="U1610" s="85">
        <f t="shared" si="350"/>
        <v>1225.5999999999999</v>
      </c>
    </row>
    <row r="1611" spans="1:21">
      <c r="A1611" s="61" t="str">
        <f ca="1">IF(ISERROR(MATCH(F1611,Код_КВР,0)),"",INDIRECT(ADDRESS(MATCH(F1611,Код_КВР,0)+1,2,,,"КВР")))</f>
        <v>Бюджетные инвестиции</v>
      </c>
      <c r="B1611" s="145">
        <v>811</v>
      </c>
      <c r="C1611" s="8" t="s">
        <v>221</v>
      </c>
      <c r="D1611" s="8" t="s">
        <v>214</v>
      </c>
      <c r="E1611" s="145" t="s">
        <v>622</v>
      </c>
      <c r="F1611" s="145">
        <v>410</v>
      </c>
      <c r="G1611" s="69"/>
      <c r="H1611" s="69"/>
      <c r="I1611" s="69"/>
      <c r="J1611" s="69"/>
      <c r="K1611" s="85"/>
      <c r="L1611" s="13">
        <f>L1612</f>
        <v>2500</v>
      </c>
      <c r="M1611" s="85">
        <f t="shared" si="336"/>
        <v>2500</v>
      </c>
      <c r="N1611" s="13">
        <f>N1612</f>
        <v>0</v>
      </c>
      <c r="O1611" s="85">
        <f t="shared" si="337"/>
        <v>2500</v>
      </c>
      <c r="P1611" s="13">
        <f>P1612</f>
        <v>0</v>
      </c>
      <c r="Q1611" s="85">
        <f t="shared" si="347"/>
        <v>2500</v>
      </c>
      <c r="R1611" s="13">
        <f>R1612</f>
        <v>0</v>
      </c>
      <c r="S1611" s="85">
        <f t="shared" si="343"/>
        <v>2500</v>
      </c>
      <c r="T1611" s="13">
        <f>T1612</f>
        <v>-1274.4000000000001</v>
      </c>
      <c r="U1611" s="85">
        <f t="shared" si="350"/>
        <v>1225.5999999999999</v>
      </c>
    </row>
    <row r="1612" spans="1:21" ht="33">
      <c r="A1612" s="61" t="str">
        <f ca="1">IF(ISERROR(MATCH(F1612,Код_КВР,0)),"",INDIRECT(ADDRESS(MATCH(F1612,Код_КВР,0)+1,2,,,"КВР")))</f>
        <v>Бюджетные инвестиции в объекты капитального строительства муниципальной собственности</v>
      </c>
      <c r="B1612" s="145">
        <v>811</v>
      </c>
      <c r="C1612" s="8" t="s">
        <v>221</v>
      </c>
      <c r="D1612" s="8" t="s">
        <v>214</v>
      </c>
      <c r="E1612" s="145" t="s">
        <v>622</v>
      </c>
      <c r="F1612" s="145">
        <v>414</v>
      </c>
      <c r="G1612" s="69"/>
      <c r="H1612" s="69"/>
      <c r="I1612" s="69"/>
      <c r="J1612" s="69"/>
      <c r="K1612" s="85"/>
      <c r="L1612" s="13">
        <v>2500</v>
      </c>
      <c r="M1612" s="85">
        <f t="shared" si="336"/>
        <v>2500</v>
      </c>
      <c r="N1612" s="13"/>
      <c r="O1612" s="85">
        <f t="shared" si="337"/>
        <v>2500</v>
      </c>
      <c r="P1612" s="13"/>
      <c r="Q1612" s="85">
        <f t="shared" si="347"/>
        <v>2500</v>
      </c>
      <c r="R1612" s="13"/>
      <c r="S1612" s="85">
        <f t="shared" si="343"/>
        <v>2500</v>
      </c>
      <c r="T1612" s="13">
        <f>37.1-1311.5</f>
        <v>-1274.4000000000001</v>
      </c>
      <c r="U1612" s="85">
        <f t="shared" si="350"/>
        <v>1225.5999999999999</v>
      </c>
    </row>
    <row r="1613" spans="1:21">
      <c r="A1613" s="61" t="s">
        <v>252</v>
      </c>
      <c r="B1613" s="145">
        <v>811</v>
      </c>
      <c r="C1613" s="8" t="s">
        <v>221</v>
      </c>
      <c r="D1613" s="8" t="s">
        <v>215</v>
      </c>
      <c r="E1613" s="145"/>
      <c r="F1613" s="145"/>
      <c r="G1613" s="69">
        <f t="shared" ref="G1613:T1618" si="353">G1614</f>
        <v>5000</v>
      </c>
      <c r="H1613" s="69">
        <f t="shared" si="353"/>
        <v>0</v>
      </c>
      <c r="I1613" s="69">
        <f t="shared" si="349"/>
        <v>5000</v>
      </c>
      <c r="J1613" s="69">
        <f t="shared" si="353"/>
        <v>0</v>
      </c>
      <c r="K1613" s="85">
        <f t="shared" si="344"/>
        <v>5000</v>
      </c>
      <c r="L1613" s="13">
        <f t="shared" si="353"/>
        <v>0</v>
      </c>
      <c r="M1613" s="85">
        <f t="shared" si="336"/>
        <v>5000</v>
      </c>
      <c r="N1613" s="13">
        <f t="shared" si="353"/>
        <v>3842.2</v>
      </c>
      <c r="O1613" s="85">
        <f t="shared" si="337"/>
        <v>8842.2000000000007</v>
      </c>
      <c r="P1613" s="13">
        <f t="shared" si="353"/>
        <v>0</v>
      </c>
      <c r="Q1613" s="85">
        <f t="shared" si="347"/>
        <v>8842.2000000000007</v>
      </c>
      <c r="R1613" s="13">
        <f t="shared" si="353"/>
        <v>0</v>
      </c>
      <c r="S1613" s="85">
        <f t="shared" si="343"/>
        <v>8842.2000000000007</v>
      </c>
      <c r="T1613" s="13">
        <f t="shared" si="353"/>
        <v>-20.100000000000001</v>
      </c>
      <c r="U1613" s="85">
        <f t="shared" si="350"/>
        <v>8822.1</v>
      </c>
    </row>
    <row r="1614" spans="1:21" ht="57.95" customHeight="1">
      <c r="A1614" s="61" t="str">
        <f ca="1">IF(ISERROR(MATCH(E1614,Код_КЦСР,0)),"",INDIRECT(ADDRESS(MATCH(E1614,Код_КЦСР,0)+1,2,,,"КЦСР")))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14" s="145">
        <v>811</v>
      </c>
      <c r="C1614" s="8" t="s">
        <v>221</v>
      </c>
      <c r="D1614" s="8" t="s">
        <v>215</v>
      </c>
      <c r="E1614" s="145" t="s">
        <v>69</v>
      </c>
      <c r="F1614" s="145"/>
      <c r="G1614" s="69">
        <f t="shared" si="353"/>
        <v>5000</v>
      </c>
      <c r="H1614" s="69">
        <f t="shared" si="353"/>
        <v>0</v>
      </c>
      <c r="I1614" s="69">
        <f t="shared" si="349"/>
        <v>5000</v>
      </c>
      <c r="J1614" s="69">
        <f t="shared" si="353"/>
        <v>0</v>
      </c>
      <c r="K1614" s="85">
        <f t="shared" si="344"/>
        <v>5000</v>
      </c>
      <c r="L1614" s="13">
        <f t="shared" si="353"/>
        <v>0</v>
      </c>
      <c r="M1614" s="85">
        <f t="shared" si="336"/>
        <v>5000</v>
      </c>
      <c r="N1614" s="13">
        <f t="shared" si="353"/>
        <v>3842.2</v>
      </c>
      <c r="O1614" s="85">
        <f t="shared" si="337"/>
        <v>8842.2000000000007</v>
      </c>
      <c r="P1614" s="13">
        <f t="shared" si="353"/>
        <v>0</v>
      </c>
      <c r="Q1614" s="85">
        <f t="shared" si="347"/>
        <v>8842.2000000000007</v>
      </c>
      <c r="R1614" s="13">
        <f t="shared" si="353"/>
        <v>0</v>
      </c>
      <c r="S1614" s="85">
        <f t="shared" si="343"/>
        <v>8842.2000000000007</v>
      </c>
      <c r="T1614" s="13">
        <f t="shared" si="353"/>
        <v>-20.100000000000001</v>
      </c>
      <c r="U1614" s="85">
        <f t="shared" si="350"/>
        <v>8822.1</v>
      </c>
    </row>
    <row r="1615" spans="1:21" ht="33">
      <c r="A1615" s="61" t="str">
        <f ca="1">IF(ISERROR(MATCH(E1615,Код_КЦСР,0)),"",INDIRECT(ADDRESS(MATCH(E1615,Код_КЦСР,0)+1,2,,,"КЦСР")))</f>
        <v>Капитальное строительство и реконструкция объектов муниципальной собственности</v>
      </c>
      <c r="B1615" s="145">
        <v>811</v>
      </c>
      <c r="C1615" s="8" t="s">
        <v>221</v>
      </c>
      <c r="D1615" s="8" t="s">
        <v>215</v>
      </c>
      <c r="E1615" s="145" t="s">
        <v>71</v>
      </c>
      <c r="F1615" s="145"/>
      <c r="G1615" s="69">
        <f t="shared" si="353"/>
        <v>5000</v>
      </c>
      <c r="H1615" s="69">
        <f t="shared" si="353"/>
        <v>0</v>
      </c>
      <c r="I1615" s="69">
        <f t="shared" si="349"/>
        <v>5000</v>
      </c>
      <c r="J1615" s="69">
        <f t="shared" si="353"/>
        <v>0</v>
      </c>
      <c r="K1615" s="85">
        <f t="shared" si="344"/>
        <v>5000</v>
      </c>
      <c r="L1615" s="13">
        <f t="shared" si="353"/>
        <v>0</v>
      </c>
      <c r="M1615" s="85">
        <f t="shared" ref="M1615:M1699" si="354">K1615+L1615</f>
        <v>5000</v>
      </c>
      <c r="N1615" s="13">
        <f t="shared" si="353"/>
        <v>3842.2</v>
      </c>
      <c r="O1615" s="85">
        <f t="shared" ref="O1615:O1699" si="355">M1615+N1615</f>
        <v>8842.2000000000007</v>
      </c>
      <c r="P1615" s="13">
        <f t="shared" si="353"/>
        <v>0</v>
      </c>
      <c r="Q1615" s="85">
        <f t="shared" si="347"/>
        <v>8842.2000000000007</v>
      </c>
      <c r="R1615" s="13">
        <f t="shared" si="353"/>
        <v>0</v>
      </c>
      <c r="S1615" s="85">
        <f t="shared" si="343"/>
        <v>8842.2000000000007</v>
      </c>
      <c r="T1615" s="13">
        <f t="shared" si="353"/>
        <v>-20.100000000000001</v>
      </c>
      <c r="U1615" s="85">
        <f t="shared" si="350"/>
        <v>8822.1</v>
      </c>
    </row>
    <row r="1616" spans="1:21">
      <c r="A1616" s="61" t="str">
        <f ca="1">IF(ISERROR(MATCH(E1616,Код_КЦСР,0)),"",INDIRECT(ADDRESS(MATCH(E1616,Код_КЦСР,0)+1,2,,,"КЦСР")))</f>
        <v>Строительство объектов сметной стоимостью до 100 млн. рублей</v>
      </c>
      <c r="B1616" s="145">
        <v>811</v>
      </c>
      <c r="C1616" s="8" t="s">
        <v>221</v>
      </c>
      <c r="D1616" s="8" t="s">
        <v>215</v>
      </c>
      <c r="E1616" s="145" t="s">
        <v>72</v>
      </c>
      <c r="F1616" s="145"/>
      <c r="G1616" s="69">
        <f t="shared" si="353"/>
        <v>5000</v>
      </c>
      <c r="H1616" s="69">
        <f t="shared" si="353"/>
        <v>0</v>
      </c>
      <c r="I1616" s="69">
        <f t="shared" si="349"/>
        <v>5000</v>
      </c>
      <c r="J1616" s="69">
        <f t="shared" si="353"/>
        <v>0</v>
      </c>
      <c r="K1616" s="85">
        <f t="shared" si="344"/>
        <v>5000</v>
      </c>
      <c r="L1616" s="13">
        <f t="shared" si="353"/>
        <v>0</v>
      </c>
      <c r="M1616" s="85">
        <f t="shared" si="354"/>
        <v>5000</v>
      </c>
      <c r="N1616" s="13">
        <f t="shared" si="353"/>
        <v>3842.2</v>
      </c>
      <c r="O1616" s="85">
        <f t="shared" si="355"/>
        <v>8842.2000000000007</v>
      </c>
      <c r="P1616" s="13">
        <f t="shared" si="353"/>
        <v>0</v>
      </c>
      <c r="Q1616" s="85">
        <f t="shared" si="347"/>
        <v>8842.2000000000007</v>
      </c>
      <c r="R1616" s="13">
        <f t="shared" si="353"/>
        <v>0</v>
      </c>
      <c r="S1616" s="85">
        <f t="shared" si="343"/>
        <v>8842.2000000000007</v>
      </c>
      <c r="T1616" s="13">
        <f t="shared" si="353"/>
        <v>-20.100000000000001</v>
      </c>
      <c r="U1616" s="85">
        <f t="shared" si="350"/>
        <v>8822.1</v>
      </c>
    </row>
    <row r="1617" spans="1:21" ht="33">
      <c r="A1617" s="61" t="str">
        <f ca="1">IF(ISERROR(MATCH(F1617,Код_КВР,0)),"",INDIRECT(ADDRESS(MATCH(F1617,Код_КВР,0)+1,2,,,"КВР")))</f>
        <v>Капитальные вложения в объекты недвижимого имущества муниципальной собственности</v>
      </c>
      <c r="B1617" s="145">
        <v>811</v>
      </c>
      <c r="C1617" s="8" t="s">
        <v>221</v>
      </c>
      <c r="D1617" s="8" t="s">
        <v>215</v>
      </c>
      <c r="E1617" s="145" t="s">
        <v>72</v>
      </c>
      <c r="F1617" s="145">
        <v>400</v>
      </c>
      <c r="G1617" s="69">
        <f t="shared" si="353"/>
        <v>5000</v>
      </c>
      <c r="H1617" s="69">
        <f t="shared" si="353"/>
        <v>0</v>
      </c>
      <c r="I1617" s="69">
        <f t="shared" si="349"/>
        <v>5000</v>
      </c>
      <c r="J1617" s="69">
        <f t="shared" si="353"/>
        <v>0</v>
      </c>
      <c r="K1617" s="85">
        <f t="shared" si="344"/>
        <v>5000</v>
      </c>
      <c r="L1617" s="13">
        <f t="shared" si="353"/>
        <v>0</v>
      </c>
      <c r="M1617" s="85">
        <f t="shared" si="354"/>
        <v>5000</v>
      </c>
      <c r="N1617" s="13">
        <f t="shared" si="353"/>
        <v>3842.2</v>
      </c>
      <c r="O1617" s="85">
        <f t="shared" si="355"/>
        <v>8842.2000000000007</v>
      </c>
      <c r="P1617" s="13">
        <f t="shared" si="353"/>
        <v>0</v>
      </c>
      <c r="Q1617" s="85">
        <f t="shared" si="347"/>
        <v>8842.2000000000007</v>
      </c>
      <c r="R1617" s="13">
        <f t="shared" si="353"/>
        <v>0</v>
      </c>
      <c r="S1617" s="85">
        <f t="shared" si="343"/>
        <v>8842.2000000000007</v>
      </c>
      <c r="T1617" s="13">
        <f t="shared" si="353"/>
        <v>-20.100000000000001</v>
      </c>
      <c r="U1617" s="85">
        <f t="shared" si="350"/>
        <v>8822.1</v>
      </c>
    </row>
    <row r="1618" spans="1:21">
      <c r="A1618" s="61" t="str">
        <f ca="1">IF(ISERROR(MATCH(F1618,Код_КВР,0)),"",INDIRECT(ADDRESS(MATCH(F1618,Код_КВР,0)+1,2,,,"КВР")))</f>
        <v>Бюджетные инвестиции</v>
      </c>
      <c r="B1618" s="145">
        <v>811</v>
      </c>
      <c r="C1618" s="8" t="s">
        <v>221</v>
      </c>
      <c r="D1618" s="8" t="s">
        <v>215</v>
      </c>
      <c r="E1618" s="145" t="s">
        <v>72</v>
      </c>
      <c r="F1618" s="145">
        <v>410</v>
      </c>
      <c r="G1618" s="69">
        <f t="shared" si="353"/>
        <v>5000</v>
      </c>
      <c r="H1618" s="69">
        <f t="shared" si="353"/>
        <v>0</v>
      </c>
      <c r="I1618" s="69">
        <f t="shared" si="349"/>
        <v>5000</v>
      </c>
      <c r="J1618" s="69">
        <f t="shared" si="353"/>
        <v>0</v>
      </c>
      <c r="K1618" s="85">
        <f t="shared" si="344"/>
        <v>5000</v>
      </c>
      <c r="L1618" s="13">
        <f t="shared" si="353"/>
        <v>0</v>
      </c>
      <c r="M1618" s="85">
        <f t="shared" si="354"/>
        <v>5000</v>
      </c>
      <c r="N1618" s="13">
        <f t="shared" si="353"/>
        <v>3842.2</v>
      </c>
      <c r="O1618" s="85">
        <f t="shared" si="355"/>
        <v>8842.2000000000007</v>
      </c>
      <c r="P1618" s="13">
        <f t="shared" si="353"/>
        <v>0</v>
      </c>
      <c r="Q1618" s="85">
        <f t="shared" si="347"/>
        <v>8842.2000000000007</v>
      </c>
      <c r="R1618" s="13">
        <f t="shared" si="353"/>
        <v>0</v>
      </c>
      <c r="S1618" s="85">
        <f t="shared" si="343"/>
        <v>8842.2000000000007</v>
      </c>
      <c r="T1618" s="13">
        <f t="shared" si="353"/>
        <v>-20.100000000000001</v>
      </c>
      <c r="U1618" s="85">
        <f t="shared" si="350"/>
        <v>8822.1</v>
      </c>
    </row>
    <row r="1619" spans="1:21" ht="33">
      <c r="A1619" s="61" t="str">
        <f ca="1">IF(ISERROR(MATCH(F1619,Код_КВР,0)),"",INDIRECT(ADDRESS(MATCH(F1619,Код_КВР,0)+1,2,,,"КВР")))</f>
        <v>Бюджетные инвестиции в объекты капитального строительства муниципальной собственности</v>
      </c>
      <c r="B1619" s="145">
        <v>811</v>
      </c>
      <c r="C1619" s="8" t="s">
        <v>221</v>
      </c>
      <c r="D1619" s="8" t="s">
        <v>215</v>
      </c>
      <c r="E1619" s="145" t="s">
        <v>72</v>
      </c>
      <c r="F1619" s="145">
        <v>414</v>
      </c>
      <c r="G1619" s="69">
        <v>5000</v>
      </c>
      <c r="H1619" s="69"/>
      <c r="I1619" s="69">
        <f t="shared" si="349"/>
        <v>5000</v>
      </c>
      <c r="J1619" s="69"/>
      <c r="K1619" s="85">
        <f t="shared" si="344"/>
        <v>5000</v>
      </c>
      <c r="L1619" s="13"/>
      <c r="M1619" s="85">
        <f t="shared" si="354"/>
        <v>5000</v>
      </c>
      <c r="N1619" s="13">
        <v>3842.2</v>
      </c>
      <c r="O1619" s="85">
        <f t="shared" si="355"/>
        <v>8842.2000000000007</v>
      </c>
      <c r="P1619" s="13"/>
      <c r="Q1619" s="85">
        <f t="shared" si="347"/>
        <v>8842.2000000000007</v>
      </c>
      <c r="R1619" s="13"/>
      <c r="S1619" s="85">
        <f t="shared" si="343"/>
        <v>8842.2000000000007</v>
      </c>
      <c r="T1619" s="13">
        <f>-20.1</f>
        <v>-20.100000000000001</v>
      </c>
      <c r="U1619" s="85">
        <f t="shared" si="350"/>
        <v>8822.1</v>
      </c>
    </row>
    <row r="1620" spans="1:21">
      <c r="A1620" s="61" t="str">
        <f ca="1">IF(ISERROR(MATCH(C1620,Код_Раздел,0)),"",INDIRECT(ADDRESS(MATCH(C1620,Код_Раздел,0)+1,2,,,"Раздел")))</f>
        <v>Образование</v>
      </c>
      <c r="B1620" s="145">
        <v>811</v>
      </c>
      <c r="C1620" s="8" t="s">
        <v>195</v>
      </c>
      <c r="D1620" s="8"/>
      <c r="E1620" s="145"/>
      <c r="F1620" s="145"/>
      <c r="G1620" s="69">
        <f>G1621+G1627+G1640</f>
        <v>122119.70000000001</v>
      </c>
      <c r="H1620" s="69">
        <f>H1621+H1627+H1640</f>
        <v>0</v>
      </c>
      <c r="I1620" s="69">
        <f t="shared" si="349"/>
        <v>122119.70000000001</v>
      </c>
      <c r="J1620" s="69">
        <f>J1621+J1627+J1640</f>
        <v>10964.4</v>
      </c>
      <c r="K1620" s="85">
        <f t="shared" si="344"/>
        <v>133084.1</v>
      </c>
      <c r="L1620" s="13">
        <f>L1621+L1627+L1640</f>
        <v>-5157</v>
      </c>
      <c r="M1620" s="85">
        <f t="shared" si="354"/>
        <v>127927.1</v>
      </c>
      <c r="N1620" s="13">
        <f>N1621+N1627+N1640</f>
        <v>0</v>
      </c>
      <c r="O1620" s="85">
        <f t="shared" si="355"/>
        <v>127927.1</v>
      </c>
      <c r="P1620" s="13">
        <f>P1621+P1627+P1640</f>
        <v>3959.5</v>
      </c>
      <c r="Q1620" s="85">
        <f t="shared" si="347"/>
        <v>131886.6</v>
      </c>
      <c r="R1620" s="13">
        <f>R1621+R1627+R1640</f>
        <v>269852.90000000002</v>
      </c>
      <c r="S1620" s="85">
        <f t="shared" si="343"/>
        <v>401739.5</v>
      </c>
      <c r="T1620" s="13">
        <f>T1621+T1627+T1640</f>
        <v>-3134.4</v>
      </c>
      <c r="U1620" s="85">
        <f t="shared" si="350"/>
        <v>398605.1</v>
      </c>
    </row>
    <row r="1621" spans="1:21">
      <c r="A1621" s="12" t="s">
        <v>250</v>
      </c>
      <c r="B1621" s="145">
        <v>811</v>
      </c>
      <c r="C1621" s="8" t="s">
        <v>195</v>
      </c>
      <c r="D1621" s="8" t="s">
        <v>214</v>
      </c>
      <c r="E1621" s="145"/>
      <c r="F1621" s="145"/>
      <c r="G1621" s="69">
        <f t="shared" ref="G1621:T1625" si="356">G1622</f>
        <v>31933.8</v>
      </c>
      <c r="H1621" s="69">
        <f t="shared" si="356"/>
        <v>0</v>
      </c>
      <c r="I1621" s="69">
        <f t="shared" si="349"/>
        <v>31933.8</v>
      </c>
      <c r="J1621" s="69">
        <f t="shared" si="356"/>
        <v>0</v>
      </c>
      <c r="K1621" s="85">
        <f t="shared" si="344"/>
        <v>31933.8</v>
      </c>
      <c r="L1621" s="13">
        <f t="shared" si="356"/>
        <v>0</v>
      </c>
      <c r="M1621" s="85">
        <f t="shared" si="354"/>
        <v>31933.8</v>
      </c>
      <c r="N1621" s="13">
        <f t="shared" si="356"/>
        <v>0</v>
      </c>
      <c r="O1621" s="85">
        <f t="shared" si="355"/>
        <v>31933.8</v>
      </c>
      <c r="P1621" s="13">
        <f t="shared" si="356"/>
        <v>0</v>
      </c>
      <c r="Q1621" s="85">
        <f t="shared" si="347"/>
        <v>31933.8</v>
      </c>
      <c r="R1621" s="13">
        <f t="shared" si="356"/>
        <v>-2893.5</v>
      </c>
      <c r="S1621" s="85">
        <f t="shared" si="343"/>
        <v>29040.3</v>
      </c>
      <c r="T1621" s="13">
        <f t="shared" si="356"/>
        <v>-1908.4</v>
      </c>
      <c r="U1621" s="85">
        <f t="shared" si="350"/>
        <v>27131.899999999998</v>
      </c>
    </row>
    <row r="1622" spans="1:21" ht="49.5">
      <c r="A1622" s="61" t="str">
        <f ca="1">IF(ISERROR(MATCH(E1622,Код_КЦСР,0)),"",INDIRECT(ADDRESS(MATCH(E1622,Код_КЦСР,0)+1,2,,,"КЦСР")))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22" s="145">
        <v>811</v>
      </c>
      <c r="C1622" s="8" t="s">
        <v>195</v>
      </c>
      <c r="D1622" s="8" t="s">
        <v>214</v>
      </c>
      <c r="E1622" s="145" t="s">
        <v>69</v>
      </c>
      <c r="F1622" s="145"/>
      <c r="G1622" s="69">
        <f t="shared" si="356"/>
        <v>31933.8</v>
      </c>
      <c r="H1622" s="69">
        <f t="shared" si="356"/>
        <v>0</v>
      </c>
      <c r="I1622" s="69">
        <f t="shared" si="349"/>
        <v>31933.8</v>
      </c>
      <c r="J1622" s="69">
        <f t="shared" si="356"/>
        <v>0</v>
      </c>
      <c r="K1622" s="85">
        <f t="shared" si="344"/>
        <v>31933.8</v>
      </c>
      <c r="L1622" s="13">
        <f t="shared" si="356"/>
        <v>0</v>
      </c>
      <c r="M1622" s="85">
        <f t="shared" si="354"/>
        <v>31933.8</v>
      </c>
      <c r="N1622" s="13">
        <f t="shared" si="356"/>
        <v>0</v>
      </c>
      <c r="O1622" s="85">
        <f t="shared" si="355"/>
        <v>31933.8</v>
      </c>
      <c r="P1622" s="13">
        <f t="shared" si="356"/>
        <v>0</v>
      </c>
      <c r="Q1622" s="85">
        <f t="shared" si="347"/>
        <v>31933.8</v>
      </c>
      <c r="R1622" s="13">
        <f t="shared" si="356"/>
        <v>-2893.5</v>
      </c>
      <c r="S1622" s="85">
        <f t="shared" si="343"/>
        <v>29040.3</v>
      </c>
      <c r="T1622" s="13">
        <f t="shared" si="356"/>
        <v>-1908.4</v>
      </c>
      <c r="U1622" s="85">
        <f t="shared" si="350"/>
        <v>27131.899999999998</v>
      </c>
    </row>
    <row r="1623" spans="1:21">
      <c r="A1623" s="61" t="str">
        <f ca="1">IF(ISERROR(MATCH(E1623,Код_КЦСР,0)),"",INDIRECT(ADDRESS(MATCH(E1623,Код_КЦСР,0)+1,2,,,"КЦСР")))</f>
        <v>Капитальный ремонт  объектов муниципальной собственности</v>
      </c>
      <c r="B1623" s="145">
        <v>811</v>
      </c>
      <c r="C1623" s="8" t="s">
        <v>195</v>
      </c>
      <c r="D1623" s="8" t="s">
        <v>214</v>
      </c>
      <c r="E1623" s="145" t="s">
        <v>77</v>
      </c>
      <c r="F1623" s="145"/>
      <c r="G1623" s="69">
        <f t="shared" si="356"/>
        <v>31933.8</v>
      </c>
      <c r="H1623" s="69">
        <f t="shared" si="356"/>
        <v>0</v>
      </c>
      <c r="I1623" s="69">
        <f t="shared" si="349"/>
        <v>31933.8</v>
      </c>
      <c r="J1623" s="69">
        <f t="shared" si="356"/>
        <v>0</v>
      </c>
      <c r="K1623" s="85">
        <f t="shared" si="344"/>
        <v>31933.8</v>
      </c>
      <c r="L1623" s="13">
        <f t="shared" si="356"/>
        <v>0</v>
      </c>
      <c r="M1623" s="85">
        <f t="shared" si="354"/>
        <v>31933.8</v>
      </c>
      <c r="N1623" s="13">
        <f t="shared" si="356"/>
        <v>0</v>
      </c>
      <c r="O1623" s="85">
        <f t="shared" si="355"/>
        <v>31933.8</v>
      </c>
      <c r="P1623" s="13">
        <f t="shared" si="356"/>
        <v>0</v>
      </c>
      <c r="Q1623" s="85">
        <f t="shared" si="347"/>
        <v>31933.8</v>
      </c>
      <c r="R1623" s="13">
        <f t="shared" si="356"/>
        <v>-2893.5</v>
      </c>
      <c r="S1623" s="85">
        <f t="shared" si="343"/>
        <v>29040.3</v>
      </c>
      <c r="T1623" s="13">
        <f t="shared" si="356"/>
        <v>-1908.4</v>
      </c>
      <c r="U1623" s="85">
        <f t="shared" si="350"/>
        <v>27131.899999999998</v>
      </c>
    </row>
    <row r="1624" spans="1:21">
      <c r="A1624" s="61" t="str">
        <f ca="1">IF(ISERROR(MATCH(F1624,Код_КВР,0)),"",INDIRECT(ADDRESS(MATCH(F1624,Код_КВР,0)+1,2,,,"КВР")))</f>
        <v>Закупка товаров, работ и услуг для муниципальных нужд</v>
      </c>
      <c r="B1624" s="145">
        <v>811</v>
      </c>
      <c r="C1624" s="8" t="s">
        <v>195</v>
      </c>
      <c r="D1624" s="8" t="s">
        <v>214</v>
      </c>
      <c r="E1624" s="145" t="s">
        <v>77</v>
      </c>
      <c r="F1624" s="145">
        <v>200</v>
      </c>
      <c r="G1624" s="69">
        <f t="shared" si="356"/>
        <v>31933.8</v>
      </c>
      <c r="H1624" s="69">
        <f t="shared" si="356"/>
        <v>0</v>
      </c>
      <c r="I1624" s="69">
        <f t="shared" si="349"/>
        <v>31933.8</v>
      </c>
      <c r="J1624" s="69">
        <f t="shared" si="356"/>
        <v>0</v>
      </c>
      <c r="K1624" s="85">
        <f t="shared" si="344"/>
        <v>31933.8</v>
      </c>
      <c r="L1624" s="13">
        <f t="shared" si="356"/>
        <v>0</v>
      </c>
      <c r="M1624" s="85">
        <f t="shared" si="354"/>
        <v>31933.8</v>
      </c>
      <c r="N1624" s="13">
        <f t="shared" si="356"/>
        <v>0</v>
      </c>
      <c r="O1624" s="85">
        <f t="shared" si="355"/>
        <v>31933.8</v>
      </c>
      <c r="P1624" s="13">
        <f t="shared" si="356"/>
        <v>0</v>
      </c>
      <c r="Q1624" s="85">
        <f t="shared" si="347"/>
        <v>31933.8</v>
      </c>
      <c r="R1624" s="13">
        <f t="shared" si="356"/>
        <v>-2893.5</v>
      </c>
      <c r="S1624" s="85">
        <f t="shared" si="343"/>
        <v>29040.3</v>
      </c>
      <c r="T1624" s="13">
        <f t="shared" si="356"/>
        <v>-1908.4</v>
      </c>
      <c r="U1624" s="85">
        <f t="shared" si="350"/>
        <v>27131.899999999998</v>
      </c>
    </row>
    <row r="1625" spans="1:21" ht="33">
      <c r="A1625" s="61" t="str">
        <f ca="1">IF(ISERROR(MATCH(F1625,Код_КВР,0)),"",INDIRECT(ADDRESS(MATCH(F1625,Код_КВР,0)+1,2,,,"КВР")))</f>
        <v>Иные закупки товаров, работ и услуг для обеспечения муниципальных нужд</v>
      </c>
      <c r="B1625" s="145">
        <v>811</v>
      </c>
      <c r="C1625" s="8" t="s">
        <v>195</v>
      </c>
      <c r="D1625" s="8" t="s">
        <v>214</v>
      </c>
      <c r="E1625" s="145" t="s">
        <v>77</v>
      </c>
      <c r="F1625" s="145">
        <v>240</v>
      </c>
      <c r="G1625" s="69">
        <f t="shared" si="356"/>
        <v>31933.8</v>
      </c>
      <c r="H1625" s="69">
        <f t="shared" si="356"/>
        <v>0</v>
      </c>
      <c r="I1625" s="69">
        <f t="shared" si="349"/>
        <v>31933.8</v>
      </c>
      <c r="J1625" s="69">
        <f t="shared" si="356"/>
        <v>0</v>
      </c>
      <c r="K1625" s="85">
        <f t="shared" si="344"/>
        <v>31933.8</v>
      </c>
      <c r="L1625" s="13">
        <f t="shared" si="356"/>
        <v>0</v>
      </c>
      <c r="M1625" s="85">
        <f t="shared" si="354"/>
        <v>31933.8</v>
      </c>
      <c r="N1625" s="13">
        <f t="shared" si="356"/>
        <v>0</v>
      </c>
      <c r="O1625" s="85">
        <f t="shared" si="355"/>
        <v>31933.8</v>
      </c>
      <c r="P1625" s="13">
        <f t="shared" si="356"/>
        <v>0</v>
      </c>
      <c r="Q1625" s="85">
        <f t="shared" si="347"/>
        <v>31933.8</v>
      </c>
      <c r="R1625" s="13">
        <f t="shared" si="356"/>
        <v>-2893.5</v>
      </c>
      <c r="S1625" s="85">
        <f t="shared" si="343"/>
        <v>29040.3</v>
      </c>
      <c r="T1625" s="13">
        <f t="shared" si="356"/>
        <v>-1908.4</v>
      </c>
      <c r="U1625" s="85">
        <f t="shared" si="350"/>
        <v>27131.899999999998</v>
      </c>
    </row>
    <row r="1626" spans="1:21" ht="33">
      <c r="A1626" s="61" t="str">
        <f ca="1">IF(ISERROR(MATCH(F1626,Код_КВР,0)),"",INDIRECT(ADDRESS(MATCH(F1626,Код_КВР,0)+1,2,,,"КВР")))</f>
        <v>Закупка товаров, работ, услуг в целях капитального ремонта муниципального имущества</v>
      </c>
      <c r="B1626" s="145">
        <v>811</v>
      </c>
      <c r="C1626" s="8" t="s">
        <v>195</v>
      </c>
      <c r="D1626" s="8" t="s">
        <v>214</v>
      </c>
      <c r="E1626" s="145" t="s">
        <v>77</v>
      </c>
      <c r="F1626" s="145">
        <v>243</v>
      </c>
      <c r="G1626" s="69">
        <v>31933.8</v>
      </c>
      <c r="H1626" s="69"/>
      <c r="I1626" s="69">
        <f t="shared" si="349"/>
        <v>31933.8</v>
      </c>
      <c r="J1626" s="69"/>
      <c r="K1626" s="85">
        <f t="shared" si="344"/>
        <v>31933.8</v>
      </c>
      <c r="L1626" s="13"/>
      <c r="M1626" s="85">
        <f t="shared" si="354"/>
        <v>31933.8</v>
      </c>
      <c r="N1626" s="13"/>
      <c r="O1626" s="85">
        <f t="shared" si="355"/>
        <v>31933.8</v>
      </c>
      <c r="P1626" s="13"/>
      <c r="Q1626" s="85">
        <f t="shared" si="347"/>
        <v>31933.8</v>
      </c>
      <c r="R1626" s="13">
        <v>-2893.5</v>
      </c>
      <c r="S1626" s="85">
        <f t="shared" si="343"/>
        <v>29040.3</v>
      </c>
      <c r="T1626" s="13">
        <f>-1784-124.4</f>
        <v>-1908.4</v>
      </c>
      <c r="U1626" s="85">
        <f t="shared" si="350"/>
        <v>27131.899999999998</v>
      </c>
    </row>
    <row r="1627" spans="1:21">
      <c r="A1627" s="12" t="s">
        <v>199</v>
      </c>
      <c r="B1627" s="145">
        <v>811</v>
      </c>
      <c r="C1627" s="8" t="s">
        <v>195</v>
      </c>
      <c r="D1627" s="8" t="s">
        <v>195</v>
      </c>
      <c r="E1627" s="145"/>
      <c r="F1627" s="145"/>
      <c r="G1627" s="69">
        <f>G1628</f>
        <v>5655.8</v>
      </c>
      <c r="H1627" s="69">
        <f>H1628</f>
        <v>0</v>
      </c>
      <c r="I1627" s="69">
        <f t="shared" si="349"/>
        <v>5655.8</v>
      </c>
      <c r="J1627" s="69">
        <f>J1628</f>
        <v>0</v>
      </c>
      <c r="K1627" s="85">
        <f t="shared" si="344"/>
        <v>5655.8</v>
      </c>
      <c r="L1627" s="13">
        <f>L1628</f>
        <v>0</v>
      </c>
      <c r="M1627" s="85">
        <f t="shared" si="354"/>
        <v>5655.8</v>
      </c>
      <c r="N1627" s="13">
        <f>N1628</f>
        <v>0</v>
      </c>
      <c r="O1627" s="85">
        <f t="shared" si="355"/>
        <v>5655.8</v>
      </c>
      <c r="P1627" s="13">
        <f>P1628</f>
        <v>0</v>
      </c>
      <c r="Q1627" s="85">
        <f t="shared" si="347"/>
        <v>5655.8</v>
      </c>
      <c r="R1627" s="13">
        <f>R1628</f>
        <v>0</v>
      </c>
      <c r="S1627" s="85">
        <f t="shared" si="343"/>
        <v>5655.8</v>
      </c>
      <c r="T1627" s="13">
        <f>T1628</f>
        <v>0</v>
      </c>
      <c r="U1627" s="85">
        <f t="shared" si="350"/>
        <v>5655.8</v>
      </c>
    </row>
    <row r="1628" spans="1:21" ht="33">
      <c r="A1628" s="61" t="str">
        <f ca="1">IF(ISERROR(MATCH(E1628,Код_КЦСР,0)),"",INDIRECT(ADDRESS(MATCH(E1628,Код_КЦСР,0)+1,2,,,"КЦСР")))</f>
        <v>Муниципальная программа «Социальная поддержка граждан» на 2014-2018 годы</v>
      </c>
      <c r="B1628" s="145">
        <v>811</v>
      </c>
      <c r="C1628" s="8" t="s">
        <v>195</v>
      </c>
      <c r="D1628" s="8" t="s">
        <v>195</v>
      </c>
      <c r="E1628" s="145" t="s">
        <v>5</v>
      </c>
      <c r="F1628" s="145"/>
      <c r="G1628" s="69">
        <f>G1629+G1633</f>
        <v>5655.8</v>
      </c>
      <c r="H1628" s="69">
        <f>H1629+H1633</f>
        <v>0</v>
      </c>
      <c r="I1628" s="69">
        <f t="shared" si="349"/>
        <v>5655.8</v>
      </c>
      <c r="J1628" s="69">
        <f>J1629+J1633</f>
        <v>0</v>
      </c>
      <c r="K1628" s="85">
        <f t="shared" si="344"/>
        <v>5655.8</v>
      </c>
      <c r="L1628" s="13">
        <f>L1629+L1633</f>
        <v>0</v>
      </c>
      <c r="M1628" s="85">
        <f t="shared" si="354"/>
        <v>5655.8</v>
      </c>
      <c r="N1628" s="13">
        <f>N1629+N1633</f>
        <v>0</v>
      </c>
      <c r="O1628" s="85">
        <f t="shared" si="355"/>
        <v>5655.8</v>
      </c>
      <c r="P1628" s="13">
        <f>P1629+P1633</f>
        <v>0</v>
      </c>
      <c r="Q1628" s="85">
        <f t="shared" si="347"/>
        <v>5655.8</v>
      </c>
      <c r="R1628" s="13">
        <f>R1629+R1633</f>
        <v>0</v>
      </c>
      <c r="S1628" s="85">
        <f t="shared" ref="S1628:S1705" si="357">Q1628+R1628</f>
        <v>5655.8</v>
      </c>
      <c r="T1628" s="13">
        <f>T1629+T1633</f>
        <v>0</v>
      </c>
      <c r="U1628" s="85">
        <f t="shared" si="350"/>
        <v>5655.8</v>
      </c>
    </row>
    <row r="1629" spans="1:21" ht="66">
      <c r="A1629" s="61" t="str">
        <f ca="1">IF(ISERROR(MATCH(E1629,Код_КЦСР,0)),"",INDIRECT(ADDRESS(MATCH(E1629,Код_КЦСР,0)+1,2,,,"КЦСР")))</f>
        <v xml:space="preserve"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</v>
      </c>
      <c r="B1629" s="145">
        <v>811</v>
      </c>
      <c r="C1629" s="8" t="s">
        <v>195</v>
      </c>
      <c r="D1629" s="8" t="s">
        <v>195</v>
      </c>
      <c r="E1629" s="145" t="s">
        <v>8</v>
      </c>
      <c r="F1629" s="145"/>
      <c r="G1629" s="69">
        <f t="shared" ref="G1629:T1631" si="358">G1630</f>
        <v>113.2</v>
      </c>
      <c r="H1629" s="69">
        <f t="shared" si="358"/>
        <v>0</v>
      </c>
      <c r="I1629" s="69">
        <f t="shared" si="349"/>
        <v>113.2</v>
      </c>
      <c r="J1629" s="69">
        <f t="shared" si="358"/>
        <v>0</v>
      </c>
      <c r="K1629" s="85">
        <f t="shared" si="344"/>
        <v>113.2</v>
      </c>
      <c r="L1629" s="13">
        <f t="shared" si="358"/>
        <v>0</v>
      </c>
      <c r="M1629" s="85">
        <f t="shared" si="354"/>
        <v>113.2</v>
      </c>
      <c r="N1629" s="13">
        <f t="shared" si="358"/>
        <v>0</v>
      </c>
      <c r="O1629" s="85">
        <f t="shared" si="355"/>
        <v>113.2</v>
      </c>
      <c r="P1629" s="13">
        <f t="shared" si="358"/>
        <v>0</v>
      </c>
      <c r="Q1629" s="85">
        <f t="shared" si="347"/>
        <v>113.2</v>
      </c>
      <c r="R1629" s="13">
        <f t="shared" si="358"/>
        <v>0</v>
      </c>
      <c r="S1629" s="85">
        <f t="shared" si="357"/>
        <v>113.2</v>
      </c>
      <c r="T1629" s="13">
        <f t="shared" si="358"/>
        <v>0</v>
      </c>
      <c r="U1629" s="85">
        <f t="shared" si="350"/>
        <v>113.2</v>
      </c>
    </row>
    <row r="1630" spans="1:21" ht="33">
      <c r="A1630" s="61" t="str">
        <f ca="1">IF(ISERROR(MATCH(F1630,Код_КВР,0)),"",INDIRECT(ADDRESS(MATCH(F1630,Код_КВР,0)+1,2,,,"КВР")))</f>
        <v>Капитальные вложения в объекты недвижимого имущества муниципальной собственности</v>
      </c>
      <c r="B1630" s="145">
        <v>811</v>
      </c>
      <c r="C1630" s="8" t="s">
        <v>195</v>
      </c>
      <c r="D1630" s="8" t="s">
        <v>195</v>
      </c>
      <c r="E1630" s="145" t="s">
        <v>8</v>
      </c>
      <c r="F1630" s="145">
        <v>400</v>
      </c>
      <c r="G1630" s="69">
        <f t="shared" si="358"/>
        <v>113.2</v>
      </c>
      <c r="H1630" s="69">
        <f t="shared" si="358"/>
        <v>0</v>
      </c>
      <c r="I1630" s="69">
        <f t="shared" si="349"/>
        <v>113.2</v>
      </c>
      <c r="J1630" s="69">
        <f t="shared" si="358"/>
        <v>0</v>
      </c>
      <c r="K1630" s="85">
        <f t="shared" si="344"/>
        <v>113.2</v>
      </c>
      <c r="L1630" s="13">
        <f t="shared" si="358"/>
        <v>0</v>
      </c>
      <c r="M1630" s="85">
        <f t="shared" si="354"/>
        <v>113.2</v>
      </c>
      <c r="N1630" s="13">
        <f t="shared" si="358"/>
        <v>0</v>
      </c>
      <c r="O1630" s="85">
        <f t="shared" si="355"/>
        <v>113.2</v>
      </c>
      <c r="P1630" s="13">
        <f t="shared" si="358"/>
        <v>0</v>
      </c>
      <c r="Q1630" s="85">
        <f t="shared" si="347"/>
        <v>113.2</v>
      </c>
      <c r="R1630" s="13">
        <f t="shared" si="358"/>
        <v>0</v>
      </c>
      <c r="S1630" s="85">
        <f t="shared" si="357"/>
        <v>113.2</v>
      </c>
      <c r="T1630" s="13">
        <f t="shared" si="358"/>
        <v>0</v>
      </c>
      <c r="U1630" s="85">
        <f t="shared" si="350"/>
        <v>113.2</v>
      </c>
    </row>
    <row r="1631" spans="1:21">
      <c r="A1631" s="61" t="str">
        <f ca="1">IF(ISERROR(MATCH(F1631,Код_КВР,0)),"",INDIRECT(ADDRESS(MATCH(F1631,Код_КВР,0)+1,2,,,"КВР")))</f>
        <v>Бюджетные инвестиции</v>
      </c>
      <c r="B1631" s="145">
        <v>811</v>
      </c>
      <c r="C1631" s="8" t="s">
        <v>195</v>
      </c>
      <c r="D1631" s="8" t="s">
        <v>195</v>
      </c>
      <c r="E1631" s="145" t="s">
        <v>8</v>
      </c>
      <c r="F1631" s="145">
        <v>410</v>
      </c>
      <c r="G1631" s="69">
        <f t="shared" si="358"/>
        <v>113.2</v>
      </c>
      <c r="H1631" s="69">
        <f t="shared" si="358"/>
        <v>0</v>
      </c>
      <c r="I1631" s="69">
        <f t="shared" si="349"/>
        <v>113.2</v>
      </c>
      <c r="J1631" s="69">
        <f t="shared" si="358"/>
        <v>0</v>
      </c>
      <c r="K1631" s="85">
        <f t="shared" si="344"/>
        <v>113.2</v>
      </c>
      <c r="L1631" s="13">
        <f t="shared" si="358"/>
        <v>0</v>
      </c>
      <c r="M1631" s="85">
        <f t="shared" si="354"/>
        <v>113.2</v>
      </c>
      <c r="N1631" s="13">
        <f t="shared" si="358"/>
        <v>0</v>
      </c>
      <c r="O1631" s="85">
        <f t="shared" si="355"/>
        <v>113.2</v>
      </c>
      <c r="P1631" s="13">
        <f t="shared" si="358"/>
        <v>0</v>
      </c>
      <c r="Q1631" s="85">
        <f t="shared" si="347"/>
        <v>113.2</v>
      </c>
      <c r="R1631" s="13">
        <f t="shared" si="358"/>
        <v>0</v>
      </c>
      <c r="S1631" s="85">
        <f t="shared" si="357"/>
        <v>113.2</v>
      </c>
      <c r="T1631" s="13">
        <f t="shared" si="358"/>
        <v>0</v>
      </c>
      <c r="U1631" s="85">
        <f t="shared" si="350"/>
        <v>113.2</v>
      </c>
    </row>
    <row r="1632" spans="1:21" ht="33">
      <c r="A1632" s="61" t="str">
        <f ca="1">IF(ISERROR(MATCH(F1632,Код_КВР,0)),"",INDIRECT(ADDRESS(MATCH(F1632,Код_КВР,0)+1,2,,,"КВР")))</f>
        <v>Бюджетные инвестиции в объекты капитального строительства муниципальной собственности</v>
      </c>
      <c r="B1632" s="145">
        <v>811</v>
      </c>
      <c r="C1632" s="8" t="s">
        <v>195</v>
      </c>
      <c r="D1632" s="8" t="s">
        <v>195</v>
      </c>
      <c r="E1632" s="145" t="s">
        <v>8</v>
      </c>
      <c r="F1632" s="145">
        <v>414</v>
      </c>
      <c r="G1632" s="69">
        <v>113.2</v>
      </c>
      <c r="H1632" s="69"/>
      <c r="I1632" s="69">
        <f t="shared" si="349"/>
        <v>113.2</v>
      </c>
      <c r="J1632" s="69"/>
      <c r="K1632" s="85">
        <f t="shared" si="344"/>
        <v>113.2</v>
      </c>
      <c r="L1632" s="13"/>
      <c r="M1632" s="85">
        <f t="shared" si="354"/>
        <v>113.2</v>
      </c>
      <c r="N1632" s="13"/>
      <c r="O1632" s="85">
        <f t="shared" si="355"/>
        <v>113.2</v>
      </c>
      <c r="P1632" s="13"/>
      <c r="Q1632" s="85">
        <f t="shared" si="347"/>
        <v>113.2</v>
      </c>
      <c r="R1632" s="13"/>
      <c r="S1632" s="85">
        <f t="shared" si="357"/>
        <v>113.2</v>
      </c>
      <c r="T1632" s="13"/>
      <c r="U1632" s="85">
        <f t="shared" si="350"/>
        <v>113.2</v>
      </c>
    </row>
    <row r="1633" spans="1:21" ht="66">
      <c r="A1633" s="61" t="str">
        <f ca="1">IF(ISERROR(MATCH(E1633,Код_КЦСР,0)),"",INDIRECT(ADDRESS(MATCH(E1633,Код_КЦСР,0)+1,2,,,"КЦСР")))</f>
        <v>Сохранение и развитие сети муниципальных загородных оздоровительных лагерей, создание условий для беспрепятственного доступа детей-инвалидов и детей с ограниченными возможностями здоровья к местам отдыха за счет субсидий из областного бюджета</v>
      </c>
      <c r="B1633" s="145">
        <v>811</v>
      </c>
      <c r="C1633" s="8" t="s">
        <v>195</v>
      </c>
      <c r="D1633" s="8" t="s">
        <v>195</v>
      </c>
      <c r="E1633" s="145" t="s">
        <v>409</v>
      </c>
      <c r="F1633" s="145"/>
      <c r="G1633" s="69">
        <f>G1634+G1637</f>
        <v>5542.6</v>
      </c>
      <c r="H1633" s="69">
        <f>H1634+H1637</f>
        <v>0</v>
      </c>
      <c r="I1633" s="69">
        <f t="shared" si="349"/>
        <v>5542.6</v>
      </c>
      <c r="J1633" s="69">
        <f>J1634+J1637</f>
        <v>0</v>
      </c>
      <c r="K1633" s="85">
        <f t="shared" si="344"/>
        <v>5542.6</v>
      </c>
      <c r="L1633" s="13">
        <f>L1634+L1637</f>
        <v>0</v>
      </c>
      <c r="M1633" s="85">
        <f t="shared" si="354"/>
        <v>5542.6</v>
      </c>
      <c r="N1633" s="13">
        <f>N1634+N1637</f>
        <v>0</v>
      </c>
      <c r="O1633" s="85">
        <f t="shared" si="355"/>
        <v>5542.6</v>
      </c>
      <c r="P1633" s="13">
        <f>P1634+P1637</f>
        <v>0</v>
      </c>
      <c r="Q1633" s="85">
        <f t="shared" si="347"/>
        <v>5542.6</v>
      </c>
      <c r="R1633" s="13">
        <f>R1634+R1637</f>
        <v>0</v>
      </c>
      <c r="S1633" s="85">
        <f t="shared" si="357"/>
        <v>5542.6</v>
      </c>
      <c r="T1633" s="13">
        <f>T1634+T1637</f>
        <v>0</v>
      </c>
      <c r="U1633" s="85">
        <f t="shared" si="350"/>
        <v>5542.6</v>
      </c>
    </row>
    <row r="1634" spans="1:21">
      <c r="A1634" s="61" t="str">
        <f t="shared" ref="A1634:A1639" ca="1" si="359">IF(ISERROR(MATCH(F1634,Код_КВР,0)),"",INDIRECT(ADDRESS(MATCH(F1634,Код_КВР,0)+1,2,,,"КВР")))</f>
        <v>Закупка товаров, работ и услуг для муниципальных нужд</v>
      </c>
      <c r="B1634" s="145">
        <v>811</v>
      </c>
      <c r="C1634" s="8" t="s">
        <v>195</v>
      </c>
      <c r="D1634" s="8" t="s">
        <v>195</v>
      </c>
      <c r="E1634" s="145" t="s">
        <v>409</v>
      </c>
      <c r="F1634" s="145">
        <v>200</v>
      </c>
      <c r="G1634" s="69">
        <f>G1635</f>
        <v>800</v>
      </c>
      <c r="H1634" s="69">
        <f>H1635</f>
        <v>0</v>
      </c>
      <c r="I1634" s="69">
        <f t="shared" si="349"/>
        <v>800</v>
      </c>
      <c r="J1634" s="69">
        <f>J1635</f>
        <v>0</v>
      </c>
      <c r="K1634" s="85">
        <f t="shared" si="344"/>
        <v>800</v>
      </c>
      <c r="L1634" s="13">
        <f>L1635</f>
        <v>0</v>
      </c>
      <c r="M1634" s="85">
        <f t="shared" si="354"/>
        <v>800</v>
      </c>
      <c r="N1634" s="13">
        <f>N1635</f>
        <v>0</v>
      </c>
      <c r="O1634" s="85">
        <f t="shared" si="355"/>
        <v>800</v>
      </c>
      <c r="P1634" s="13">
        <f>P1635</f>
        <v>0</v>
      </c>
      <c r="Q1634" s="85">
        <f t="shared" si="347"/>
        <v>800</v>
      </c>
      <c r="R1634" s="13">
        <f>R1635</f>
        <v>0</v>
      </c>
      <c r="S1634" s="85">
        <f t="shared" si="357"/>
        <v>800</v>
      </c>
      <c r="T1634" s="13">
        <f>T1635</f>
        <v>0</v>
      </c>
      <c r="U1634" s="85">
        <f t="shared" si="350"/>
        <v>800</v>
      </c>
    </row>
    <row r="1635" spans="1:21" ht="33">
      <c r="A1635" s="61" t="str">
        <f t="shared" ca="1" si="359"/>
        <v>Иные закупки товаров, работ и услуг для обеспечения муниципальных нужд</v>
      </c>
      <c r="B1635" s="145">
        <v>811</v>
      </c>
      <c r="C1635" s="8" t="s">
        <v>195</v>
      </c>
      <c r="D1635" s="8" t="s">
        <v>195</v>
      </c>
      <c r="E1635" s="145" t="s">
        <v>409</v>
      </c>
      <c r="F1635" s="145">
        <v>240</v>
      </c>
      <c r="G1635" s="69">
        <f>G1636</f>
        <v>800</v>
      </c>
      <c r="H1635" s="69">
        <f>H1636</f>
        <v>0</v>
      </c>
      <c r="I1635" s="69">
        <f t="shared" si="349"/>
        <v>800</v>
      </c>
      <c r="J1635" s="69">
        <f>J1636</f>
        <v>0</v>
      </c>
      <c r="K1635" s="85">
        <f t="shared" si="344"/>
        <v>800</v>
      </c>
      <c r="L1635" s="13">
        <f>L1636</f>
        <v>0</v>
      </c>
      <c r="M1635" s="85">
        <f t="shared" si="354"/>
        <v>800</v>
      </c>
      <c r="N1635" s="13">
        <f>N1636</f>
        <v>0</v>
      </c>
      <c r="O1635" s="85">
        <f t="shared" si="355"/>
        <v>800</v>
      </c>
      <c r="P1635" s="13">
        <f>P1636</f>
        <v>0</v>
      </c>
      <c r="Q1635" s="85">
        <f t="shared" si="347"/>
        <v>800</v>
      </c>
      <c r="R1635" s="13">
        <f>R1636</f>
        <v>0</v>
      </c>
      <c r="S1635" s="85">
        <f t="shared" si="357"/>
        <v>800</v>
      </c>
      <c r="T1635" s="13">
        <f>T1636</f>
        <v>0</v>
      </c>
      <c r="U1635" s="85">
        <f t="shared" si="350"/>
        <v>800</v>
      </c>
    </row>
    <row r="1636" spans="1:21" ht="33">
      <c r="A1636" s="61" t="str">
        <f t="shared" ca="1" si="359"/>
        <v>Закупка товаров, работ, услуг в целях капитального ремонта муниципального имущества</v>
      </c>
      <c r="B1636" s="145">
        <v>811</v>
      </c>
      <c r="C1636" s="8" t="s">
        <v>195</v>
      </c>
      <c r="D1636" s="8" t="s">
        <v>195</v>
      </c>
      <c r="E1636" s="145" t="s">
        <v>409</v>
      </c>
      <c r="F1636" s="145">
        <v>243</v>
      </c>
      <c r="G1636" s="69">
        <v>800</v>
      </c>
      <c r="H1636" s="69"/>
      <c r="I1636" s="69">
        <f t="shared" si="349"/>
        <v>800</v>
      </c>
      <c r="J1636" s="69"/>
      <c r="K1636" s="85">
        <f t="shared" si="344"/>
        <v>800</v>
      </c>
      <c r="L1636" s="13"/>
      <c r="M1636" s="85">
        <f t="shared" si="354"/>
        <v>800</v>
      </c>
      <c r="N1636" s="13"/>
      <c r="O1636" s="85">
        <f t="shared" si="355"/>
        <v>800</v>
      </c>
      <c r="P1636" s="13"/>
      <c r="Q1636" s="85">
        <f t="shared" si="347"/>
        <v>800</v>
      </c>
      <c r="R1636" s="13"/>
      <c r="S1636" s="85">
        <f t="shared" si="357"/>
        <v>800</v>
      </c>
      <c r="T1636" s="13"/>
      <c r="U1636" s="85">
        <f t="shared" si="350"/>
        <v>800</v>
      </c>
    </row>
    <row r="1637" spans="1:21" ht="33">
      <c r="A1637" s="61" t="str">
        <f t="shared" ca="1" si="359"/>
        <v>Капитальные вложения в объекты недвижимого имущества муниципальной собственности</v>
      </c>
      <c r="B1637" s="145">
        <v>811</v>
      </c>
      <c r="C1637" s="8" t="s">
        <v>195</v>
      </c>
      <c r="D1637" s="8" t="s">
        <v>195</v>
      </c>
      <c r="E1637" s="145" t="s">
        <v>409</v>
      </c>
      <c r="F1637" s="145">
        <v>400</v>
      </c>
      <c r="G1637" s="69">
        <f>G1638</f>
        <v>4742.6000000000004</v>
      </c>
      <c r="H1637" s="69">
        <f>H1638</f>
        <v>0</v>
      </c>
      <c r="I1637" s="69">
        <f t="shared" si="349"/>
        <v>4742.6000000000004</v>
      </c>
      <c r="J1637" s="69">
        <f>J1638</f>
        <v>0</v>
      </c>
      <c r="K1637" s="85">
        <f t="shared" ref="K1637:K1712" si="360">I1637+J1637</f>
        <v>4742.6000000000004</v>
      </c>
      <c r="L1637" s="13">
        <f>L1638</f>
        <v>0</v>
      </c>
      <c r="M1637" s="85">
        <f t="shared" si="354"/>
        <v>4742.6000000000004</v>
      </c>
      <c r="N1637" s="13">
        <f>N1638</f>
        <v>0</v>
      </c>
      <c r="O1637" s="85">
        <f t="shared" si="355"/>
        <v>4742.6000000000004</v>
      </c>
      <c r="P1637" s="13">
        <f>P1638</f>
        <v>0</v>
      </c>
      <c r="Q1637" s="85">
        <f t="shared" ref="Q1637:Q1714" si="361">O1637+P1637</f>
        <v>4742.6000000000004</v>
      </c>
      <c r="R1637" s="13">
        <f>R1638</f>
        <v>0</v>
      </c>
      <c r="S1637" s="85">
        <f t="shared" si="357"/>
        <v>4742.6000000000004</v>
      </c>
      <c r="T1637" s="13">
        <f>T1638</f>
        <v>0</v>
      </c>
      <c r="U1637" s="85">
        <f t="shared" si="350"/>
        <v>4742.6000000000004</v>
      </c>
    </row>
    <row r="1638" spans="1:21">
      <c r="A1638" s="61" t="str">
        <f t="shared" ca="1" si="359"/>
        <v>Бюджетные инвестиции</v>
      </c>
      <c r="B1638" s="145">
        <v>811</v>
      </c>
      <c r="C1638" s="8" t="s">
        <v>195</v>
      </c>
      <c r="D1638" s="8" t="s">
        <v>195</v>
      </c>
      <c r="E1638" s="145" t="s">
        <v>409</v>
      </c>
      <c r="F1638" s="145">
        <v>410</v>
      </c>
      <c r="G1638" s="69">
        <f>G1639</f>
        <v>4742.6000000000004</v>
      </c>
      <c r="H1638" s="69">
        <f>H1639</f>
        <v>0</v>
      </c>
      <c r="I1638" s="69">
        <f t="shared" si="349"/>
        <v>4742.6000000000004</v>
      </c>
      <c r="J1638" s="69">
        <f>J1639</f>
        <v>0</v>
      </c>
      <c r="K1638" s="85">
        <f t="shared" si="360"/>
        <v>4742.6000000000004</v>
      </c>
      <c r="L1638" s="13">
        <f>L1639</f>
        <v>0</v>
      </c>
      <c r="M1638" s="85">
        <f t="shared" si="354"/>
        <v>4742.6000000000004</v>
      </c>
      <c r="N1638" s="13">
        <f>N1639</f>
        <v>0</v>
      </c>
      <c r="O1638" s="85">
        <f t="shared" si="355"/>
        <v>4742.6000000000004</v>
      </c>
      <c r="P1638" s="13">
        <f>P1639</f>
        <v>0</v>
      </c>
      <c r="Q1638" s="85">
        <f t="shared" si="361"/>
        <v>4742.6000000000004</v>
      </c>
      <c r="R1638" s="13">
        <f>R1639</f>
        <v>0</v>
      </c>
      <c r="S1638" s="85">
        <f t="shared" si="357"/>
        <v>4742.6000000000004</v>
      </c>
      <c r="T1638" s="13">
        <f>T1639</f>
        <v>0</v>
      </c>
      <c r="U1638" s="85">
        <f t="shared" si="350"/>
        <v>4742.6000000000004</v>
      </c>
    </row>
    <row r="1639" spans="1:21" ht="33">
      <c r="A1639" s="61" t="str">
        <f t="shared" ca="1" si="359"/>
        <v>Бюджетные инвестиции в объекты капитального строительства муниципальной собственности</v>
      </c>
      <c r="B1639" s="145">
        <v>811</v>
      </c>
      <c r="C1639" s="8" t="s">
        <v>195</v>
      </c>
      <c r="D1639" s="8" t="s">
        <v>195</v>
      </c>
      <c r="E1639" s="145" t="s">
        <v>409</v>
      </c>
      <c r="F1639" s="145">
        <v>414</v>
      </c>
      <c r="G1639" s="69">
        <v>4742.6000000000004</v>
      </c>
      <c r="H1639" s="69"/>
      <c r="I1639" s="69">
        <f t="shared" si="349"/>
        <v>4742.6000000000004</v>
      </c>
      <c r="J1639" s="69"/>
      <c r="K1639" s="85">
        <f t="shared" si="360"/>
        <v>4742.6000000000004</v>
      </c>
      <c r="L1639" s="13"/>
      <c r="M1639" s="85">
        <f t="shared" si="354"/>
        <v>4742.6000000000004</v>
      </c>
      <c r="N1639" s="13"/>
      <c r="O1639" s="85">
        <f t="shared" si="355"/>
        <v>4742.6000000000004</v>
      </c>
      <c r="P1639" s="13"/>
      <c r="Q1639" s="85">
        <f t="shared" si="361"/>
        <v>4742.6000000000004</v>
      </c>
      <c r="R1639" s="13"/>
      <c r="S1639" s="85">
        <f t="shared" si="357"/>
        <v>4742.6000000000004</v>
      </c>
      <c r="T1639" s="13"/>
      <c r="U1639" s="85">
        <f t="shared" si="350"/>
        <v>4742.6000000000004</v>
      </c>
    </row>
    <row r="1640" spans="1:21">
      <c r="A1640" s="12" t="s">
        <v>251</v>
      </c>
      <c r="B1640" s="145">
        <v>811</v>
      </c>
      <c r="C1640" s="8" t="s">
        <v>195</v>
      </c>
      <c r="D1640" s="8" t="s">
        <v>219</v>
      </c>
      <c r="E1640" s="145"/>
      <c r="F1640" s="145"/>
      <c r="G1640" s="69">
        <f>G1641</f>
        <v>84530.1</v>
      </c>
      <c r="H1640" s="69">
        <f>H1641</f>
        <v>0</v>
      </c>
      <c r="I1640" s="69">
        <f t="shared" si="349"/>
        <v>84530.1</v>
      </c>
      <c r="J1640" s="69">
        <f>J1641</f>
        <v>10964.4</v>
      </c>
      <c r="K1640" s="85">
        <f t="shared" si="360"/>
        <v>95494.5</v>
      </c>
      <c r="L1640" s="13">
        <f>L1641</f>
        <v>-5157</v>
      </c>
      <c r="M1640" s="85">
        <f t="shared" si="354"/>
        <v>90337.5</v>
      </c>
      <c r="N1640" s="13">
        <f>N1641</f>
        <v>0</v>
      </c>
      <c r="O1640" s="85">
        <f t="shared" si="355"/>
        <v>90337.5</v>
      </c>
      <c r="P1640" s="13">
        <f>P1641</f>
        <v>3959.5</v>
      </c>
      <c r="Q1640" s="85">
        <f t="shared" si="361"/>
        <v>94297</v>
      </c>
      <c r="R1640" s="13">
        <f>R1641</f>
        <v>272746.40000000002</v>
      </c>
      <c r="S1640" s="85">
        <f t="shared" si="357"/>
        <v>367043.4</v>
      </c>
      <c r="T1640" s="13">
        <f>T1641</f>
        <v>-1226</v>
      </c>
      <c r="U1640" s="85">
        <f t="shared" si="350"/>
        <v>365817.4</v>
      </c>
    </row>
    <row r="1641" spans="1:21" ht="49.5">
      <c r="A1641" s="61" t="str">
        <f ca="1">IF(ISERROR(MATCH(E1641,Код_КЦСР,0)),"",INDIRECT(ADDRESS(MATCH(E1641,Код_КЦСР,0)+1,2,,,"КЦСР")))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41" s="145">
        <v>811</v>
      </c>
      <c r="C1641" s="8" t="s">
        <v>195</v>
      </c>
      <c r="D1641" s="8" t="s">
        <v>219</v>
      </c>
      <c r="E1641" s="145" t="s">
        <v>69</v>
      </c>
      <c r="F1641" s="145"/>
      <c r="G1641" s="69">
        <f>G1642+G1663</f>
        <v>84530.1</v>
      </c>
      <c r="H1641" s="69">
        <f>H1642+H1663</f>
        <v>0</v>
      </c>
      <c r="I1641" s="69">
        <f t="shared" si="349"/>
        <v>84530.1</v>
      </c>
      <c r="J1641" s="69">
        <f>J1642+J1663</f>
        <v>10964.4</v>
      </c>
      <c r="K1641" s="85">
        <f t="shared" si="360"/>
        <v>95494.5</v>
      </c>
      <c r="L1641" s="13">
        <f>L1642+L1663</f>
        <v>-5157</v>
      </c>
      <c r="M1641" s="85">
        <f t="shared" si="354"/>
        <v>90337.5</v>
      </c>
      <c r="N1641" s="13">
        <f>N1642+N1663</f>
        <v>0</v>
      </c>
      <c r="O1641" s="85">
        <f t="shared" si="355"/>
        <v>90337.5</v>
      </c>
      <c r="P1641" s="13">
        <f>P1642+P1663</f>
        <v>3959.5</v>
      </c>
      <c r="Q1641" s="85">
        <f t="shared" si="361"/>
        <v>94297</v>
      </c>
      <c r="R1641" s="13">
        <f>R1642+R1663+R1667</f>
        <v>272746.40000000002</v>
      </c>
      <c r="S1641" s="85">
        <f t="shared" si="357"/>
        <v>367043.4</v>
      </c>
      <c r="T1641" s="13">
        <f>T1642+T1663+T1667</f>
        <v>-1226</v>
      </c>
      <c r="U1641" s="85">
        <f t="shared" si="350"/>
        <v>365817.4</v>
      </c>
    </row>
    <row r="1642" spans="1:21" ht="33">
      <c r="A1642" s="61" t="str">
        <f ca="1">IF(ISERROR(MATCH(E1642,Код_КЦСР,0)),"",INDIRECT(ADDRESS(MATCH(E1642,Код_КЦСР,0)+1,2,,,"КЦСР")))</f>
        <v>Капитальное строительство и реконструкция объектов муниципальной собственности</v>
      </c>
      <c r="B1642" s="145">
        <v>811</v>
      </c>
      <c r="C1642" s="8" t="s">
        <v>195</v>
      </c>
      <c r="D1642" s="8" t="s">
        <v>219</v>
      </c>
      <c r="E1642" s="145" t="s">
        <v>71</v>
      </c>
      <c r="F1642" s="145"/>
      <c r="G1642" s="69">
        <f>G1643+G1647+G1651</f>
        <v>78778.8</v>
      </c>
      <c r="H1642" s="69">
        <f>H1643+H1647+H1651</f>
        <v>0</v>
      </c>
      <c r="I1642" s="69">
        <f t="shared" si="349"/>
        <v>78778.8</v>
      </c>
      <c r="J1642" s="69">
        <f>J1643+J1647+J1651+J1655</f>
        <v>10964.4</v>
      </c>
      <c r="K1642" s="85">
        <f t="shared" si="360"/>
        <v>89743.2</v>
      </c>
      <c r="L1642" s="13">
        <f>L1643+L1647+L1651+L1655</f>
        <v>-5157</v>
      </c>
      <c r="M1642" s="85">
        <f t="shared" si="354"/>
        <v>84586.2</v>
      </c>
      <c r="N1642" s="13">
        <f>N1643+N1647+N1651+N1655</f>
        <v>0</v>
      </c>
      <c r="O1642" s="85">
        <f t="shared" si="355"/>
        <v>84586.2</v>
      </c>
      <c r="P1642" s="13">
        <f>P1643+P1647+P1651+P1655</f>
        <v>3959.5</v>
      </c>
      <c r="Q1642" s="85">
        <f t="shared" si="361"/>
        <v>88545.7</v>
      </c>
      <c r="R1642" s="13">
        <f>R1643+R1647+R1651+R1655+R1659</f>
        <v>62702</v>
      </c>
      <c r="S1642" s="85">
        <f t="shared" si="357"/>
        <v>151247.70000000001</v>
      </c>
      <c r="T1642" s="13">
        <f>T1643+T1647+T1651+T1655+T1659</f>
        <v>-1226</v>
      </c>
      <c r="U1642" s="85">
        <f t="shared" ref="U1642:U1705" si="362">S1642+T1642</f>
        <v>150021.70000000001</v>
      </c>
    </row>
    <row r="1643" spans="1:21">
      <c r="A1643" s="61" t="str">
        <f ca="1">IF(ISERROR(MATCH(E1643,Код_КЦСР,0)),"",INDIRECT(ADDRESS(MATCH(E1643,Код_КЦСР,0)+1,2,,,"КЦСР")))</f>
        <v>Строительство объектов сметной стоимостью до 100 млн. рублей</v>
      </c>
      <c r="B1643" s="145">
        <v>811</v>
      </c>
      <c r="C1643" s="8" t="s">
        <v>195</v>
      </c>
      <c r="D1643" s="8" t="s">
        <v>219</v>
      </c>
      <c r="E1643" s="145" t="s">
        <v>72</v>
      </c>
      <c r="F1643" s="145"/>
      <c r="G1643" s="69">
        <f t="shared" ref="G1643:T1645" si="363">G1644</f>
        <v>178.8</v>
      </c>
      <c r="H1643" s="69">
        <f t="shared" si="363"/>
        <v>0</v>
      </c>
      <c r="I1643" s="69">
        <f t="shared" si="349"/>
        <v>178.8</v>
      </c>
      <c r="J1643" s="69">
        <f t="shared" si="363"/>
        <v>0</v>
      </c>
      <c r="K1643" s="85">
        <f t="shared" si="360"/>
        <v>178.8</v>
      </c>
      <c r="L1643" s="13">
        <f t="shared" si="363"/>
        <v>2500</v>
      </c>
      <c r="M1643" s="85">
        <f t="shared" si="354"/>
        <v>2678.8</v>
      </c>
      <c r="N1643" s="13">
        <f t="shared" si="363"/>
        <v>0</v>
      </c>
      <c r="O1643" s="85">
        <f t="shared" si="355"/>
        <v>2678.8</v>
      </c>
      <c r="P1643" s="13">
        <f t="shared" si="363"/>
        <v>3959.5</v>
      </c>
      <c r="Q1643" s="85">
        <f t="shared" si="361"/>
        <v>6638.3</v>
      </c>
      <c r="R1643" s="13">
        <f t="shared" si="363"/>
        <v>213.5</v>
      </c>
      <c r="S1643" s="85">
        <f t="shared" si="357"/>
        <v>6851.8</v>
      </c>
      <c r="T1643" s="13">
        <f t="shared" si="363"/>
        <v>-138.6</v>
      </c>
      <c r="U1643" s="85">
        <f t="shared" si="362"/>
        <v>6713.2</v>
      </c>
    </row>
    <row r="1644" spans="1:21" ht="33">
      <c r="A1644" s="61" t="str">
        <f ca="1">IF(ISERROR(MATCH(F1644,Код_КВР,0)),"",INDIRECT(ADDRESS(MATCH(F1644,Код_КВР,0)+1,2,,,"КВР")))</f>
        <v>Капитальные вложения в объекты недвижимого имущества муниципальной собственности</v>
      </c>
      <c r="B1644" s="145">
        <v>811</v>
      </c>
      <c r="C1644" s="8" t="s">
        <v>195</v>
      </c>
      <c r="D1644" s="8" t="s">
        <v>219</v>
      </c>
      <c r="E1644" s="145" t="s">
        <v>72</v>
      </c>
      <c r="F1644" s="145">
        <v>400</v>
      </c>
      <c r="G1644" s="69">
        <f t="shared" si="363"/>
        <v>178.8</v>
      </c>
      <c r="H1644" s="69">
        <f t="shared" si="363"/>
        <v>0</v>
      </c>
      <c r="I1644" s="69">
        <f t="shared" si="349"/>
        <v>178.8</v>
      </c>
      <c r="J1644" s="69">
        <f t="shared" si="363"/>
        <v>0</v>
      </c>
      <c r="K1644" s="85">
        <f t="shared" si="360"/>
        <v>178.8</v>
      </c>
      <c r="L1644" s="13">
        <f t="shared" si="363"/>
        <v>2500</v>
      </c>
      <c r="M1644" s="85">
        <f t="shared" si="354"/>
        <v>2678.8</v>
      </c>
      <c r="N1644" s="13">
        <f t="shared" si="363"/>
        <v>0</v>
      </c>
      <c r="O1644" s="85">
        <f t="shared" si="355"/>
        <v>2678.8</v>
      </c>
      <c r="P1644" s="13">
        <f t="shared" si="363"/>
        <v>3959.5</v>
      </c>
      <c r="Q1644" s="85">
        <f t="shared" si="361"/>
        <v>6638.3</v>
      </c>
      <c r="R1644" s="13">
        <f t="shared" si="363"/>
        <v>213.5</v>
      </c>
      <c r="S1644" s="85">
        <f t="shared" si="357"/>
        <v>6851.8</v>
      </c>
      <c r="T1644" s="13">
        <f t="shared" si="363"/>
        <v>-138.6</v>
      </c>
      <c r="U1644" s="85">
        <f t="shared" si="362"/>
        <v>6713.2</v>
      </c>
    </row>
    <row r="1645" spans="1:21">
      <c r="A1645" s="61" t="str">
        <f ca="1">IF(ISERROR(MATCH(F1645,Код_КВР,0)),"",INDIRECT(ADDRESS(MATCH(F1645,Код_КВР,0)+1,2,,,"КВР")))</f>
        <v>Бюджетные инвестиции</v>
      </c>
      <c r="B1645" s="145">
        <v>811</v>
      </c>
      <c r="C1645" s="8" t="s">
        <v>195</v>
      </c>
      <c r="D1645" s="8" t="s">
        <v>219</v>
      </c>
      <c r="E1645" s="145" t="s">
        <v>72</v>
      </c>
      <c r="F1645" s="145">
        <v>410</v>
      </c>
      <c r="G1645" s="69">
        <f t="shared" si="363"/>
        <v>178.8</v>
      </c>
      <c r="H1645" s="69">
        <f t="shared" si="363"/>
        <v>0</v>
      </c>
      <c r="I1645" s="69">
        <f t="shared" si="349"/>
        <v>178.8</v>
      </c>
      <c r="J1645" s="69">
        <f t="shared" si="363"/>
        <v>0</v>
      </c>
      <c r="K1645" s="85">
        <f t="shared" si="360"/>
        <v>178.8</v>
      </c>
      <c r="L1645" s="13">
        <f t="shared" si="363"/>
        <v>2500</v>
      </c>
      <c r="M1645" s="85">
        <f t="shared" si="354"/>
        <v>2678.8</v>
      </c>
      <c r="N1645" s="13">
        <f t="shared" si="363"/>
        <v>0</v>
      </c>
      <c r="O1645" s="85">
        <f t="shared" si="355"/>
        <v>2678.8</v>
      </c>
      <c r="P1645" s="13">
        <f t="shared" si="363"/>
        <v>3959.5</v>
      </c>
      <c r="Q1645" s="85">
        <f t="shared" si="361"/>
        <v>6638.3</v>
      </c>
      <c r="R1645" s="13">
        <f t="shared" si="363"/>
        <v>213.5</v>
      </c>
      <c r="S1645" s="85">
        <f t="shared" si="357"/>
        <v>6851.8</v>
      </c>
      <c r="T1645" s="13">
        <f t="shared" si="363"/>
        <v>-138.6</v>
      </c>
      <c r="U1645" s="85">
        <f t="shared" si="362"/>
        <v>6713.2</v>
      </c>
    </row>
    <row r="1646" spans="1:21" ht="33">
      <c r="A1646" s="61" t="str">
        <f ca="1">IF(ISERROR(MATCH(F1646,Код_КВР,0)),"",INDIRECT(ADDRESS(MATCH(F1646,Код_КВР,0)+1,2,,,"КВР")))</f>
        <v>Бюджетные инвестиции в объекты капитального строительства муниципальной собственности</v>
      </c>
      <c r="B1646" s="145">
        <v>811</v>
      </c>
      <c r="C1646" s="8" t="s">
        <v>195</v>
      </c>
      <c r="D1646" s="8" t="s">
        <v>219</v>
      </c>
      <c r="E1646" s="145" t="s">
        <v>72</v>
      </c>
      <c r="F1646" s="145">
        <v>414</v>
      </c>
      <c r="G1646" s="69">
        <v>178.8</v>
      </c>
      <c r="H1646" s="69"/>
      <c r="I1646" s="69">
        <f t="shared" si="349"/>
        <v>178.8</v>
      </c>
      <c r="J1646" s="69"/>
      <c r="K1646" s="85">
        <f t="shared" si="360"/>
        <v>178.8</v>
      </c>
      <c r="L1646" s="13">
        <v>2500</v>
      </c>
      <c r="M1646" s="85">
        <f t="shared" si="354"/>
        <v>2678.8</v>
      </c>
      <c r="N1646" s="13"/>
      <c r="O1646" s="85">
        <f t="shared" si="355"/>
        <v>2678.8</v>
      </c>
      <c r="P1646" s="13">
        <v>3959.5</v>
      </c>
      <c r="Q1646" s="85">
        <f t="shared" si="361"/>
        <v>6638.3</v>
      </c>
      <c r="R1646" s="13">
        <f>286.4+286.4+286.4+283.3-178.8-750.2</f>
        <v>213.5</v>
      </c>
      <c r="S1646" s="85">
        <f t="shared" si="357"/>
        <v>6851.8</v>
      </c>
      <c r="T1646" s="13">
        <f>-0.5-138.1</f>
        <v>-138.6</v>
      </c>
      <c r="U1646" s="85">
        <f t="shared" si="362"/>
        <v>6713.2</v>
      </c>
    </row>
    <row r="1647" spans="1:21">
      <c r="A1647" s="61" t="str">
        <f ca="1">IF(ISERROR(MATCH(E1647,Код_КЦСР,0)),"",INDIRECT(ADDRESS(MATCH(E1647,Код_КЦСР,0)+1,2,,,"КЦСР")))</f>
        <v>Строительство детского сада № 35 на 330 мест в 105 мкр.</v>
      </c>
      <c r="B1647" s="145">
        <v>811</v>
      </c>
      <c r="C1647" s="8" t="s">
        <v>195</v>
      </c>
      <c r="D1647" s="8" t="s">
        <v>219</v>
      </c>
      <c r="E1647" s="145" t="s">
        <v>74</v>
      </c>
      <c r="F1647" s="145"/>
      <c r="G1647" s="69">
        <f t="shared" ref="G1647:T1649" si="364">G1648</f>
        <v>51800</v>
      </c>
      <c r="H1647" s="69">
        <f t="shared" si="364"/>
        <v>0</v>
      </c>
      <c r="I1647" s="69">
        <f t="shared" si="349"/>
        <v>51800</v>
      </c>
      <c r="J1647" s="69">
        <f t="shared" si="364"/>
        <v>0</v>
      </c>
      <c r="K1647" s="85">
        <f t="shared" si="360"/>
        <v>51800</v>
      </c>
      <c r="L1647" s="13">
        <f t="shared" si="364"/>
        <v>-7657</v>
      </c>
      <c r="M1647" s="85">
        <f t="shared" si="354"/>
        <v>44143</v>
      </c>
      <c r="N1647" s="13">
        <f t="shared" si="364"/>
        <v>0</v>
      </c>
      <c r="O1647" s="85">
        <f t="shared" si="355"/>
        <v>44143</v>
      </c>
      <c r="P1647" s="13">
        <f t="shared" si="364"/>
        <v>0</v>
      </c>
      <c r="Q1647" s="85">
        <f t="shared" si="361"/>
        <v>44143</v>
      </c>
      <c r="R1647" s="13">
        <f t="shared" si="364"/>
        <v>0</v>
      </c>
      <c r="S1647" s="85">
        <f t="shared" si="357"/>
        <v>44143</v>
      </c>
      <c r="T1647" s="13">
        <f t="shared" si="364"/>
        <v>0</v>
      </c>
      <c r="U1647" s="85">
        <f t="shared" si="362"/>
        <v>44143</v>
      </c>
    </row>
    <row r="1648" spans="1:21" ht="33">
      <c r="A1648" s="61" t="str">
        <f ca="1">IF(ISERROR(MATCH(F1648,Код_КВР,0)),"",INDIRECT(ADDRESS(MATCH(F1648,Код_КВР,0)+1,2,,,"КВР")))</f>
        <v>Капитальные вложения в объекты недвижимого имущества муниципальной собственности</v>
      </c>
      <c r="B1648" s="145">
        <v>811</v>
      </c>
      <c r="C1648" s="8" t="s">
        <v>195</v>
      </c>
      <c r="D1648" s="8" t="s">
        <v>219</v>
      </c>
      <c r="E1648" s="145" t="s">
        <v>74</v>
      </c>
      <c r="F1648" s="145">
        <v>400</v>
      </c>
      <c r="G1648" s="69">
        <f t="shared" si="364"/>
        <v>51800</v>
      </c>
      <c r="H1648" s="69">
        <f t="shared" si="364"/>
        <v>0</v>
      </c>
      <c r="I1648" s="69">
        <f t="shared" si="349"/>
        <v>51800</v>
      </c>
      <c r="J1648" s="69">
        <f t="shared" si="364"/>
        <v>0</v>
      </c>
      <c r="K1648" s="85">
        <f t="shared" si="360"/>
        <v>51800</v>
      </c>
      <c r="L1648" s="13">
        <f t="shared" si="364"/>
        <v>-7657</v>
      </c>
      <c r="M1648" s="85">
        <f t="shared" si="354"/>
        <v>44143</v>
      </c>
      <c r="N1648" s="13">
        <f t="shared" si="364"/>
        <v>0</v>
      </c>
      <c r="O1648" s="85">
        <f t="shared" si="355"/>
        <v>44143</v>
      </c>
      <c r="P1648" s="13">
        <f t="shared" si="364"/>
        <v>0</v>
      </c>
      <c r="Q1648" s="85">
        <f t="shared" si="361"/>
        <v>44143</v>
      </c>
      <c r="R1648" s="13">
        <f t="shared" si="364"/>
        <v>0</v>
      </c>
      <c r="S1648" s="85">
        <f t="shared" si="357"/>
        <v>44143</v>
      </c>
      <c r="T1648" s="13">
        <f t="shared" si="364"/>
        <v>0</v>
      </c>
      <c r="U1648" s="85">
        <f t="shared" si="362"/>
        <v>44143</v>
      </c>
    </row>
    <row r="1649" spans="1:22">
      <c r="A1649" s="61" t="str">
        <f ca="1">IF(ISERROR(MATCH(F1649,Код_КВР,0)),"",INDIRECT(ADDRESS(MATCH(F1649,Код_КВР,0)+1,2,,,"КВР")))</f>
        <v>Бюджетные инвестиции</v>
      </c>
      <c r="B1649" s="145">
        <v>811</v>
      </c>
      <c r="C1649" s="8" t="s">
        <v>195</v>
      </c>
      <c r="D1649" s="8" t="s">
        <v>219</v>
      </c>
      <c r="E1649" s="145" t="s">
        <v>74</v>
      </c>
      <c r="F1649" s="145">
        <v>410</v>
      </c>
      <c r="G1649" s="69">
        <f t="shared" si="364"/>
        <v>51800</v>
      </c>
      <c r="H1649" s="69">
        <f t="shared" si="364"/>
        <v>0</v>
      </c>
      <c r="I1649" s="69">
        <f t="shared" si="349"/>
        <v>51800</v>
      </c>
      <c r="J1649" s="69">
        <f t="shared" si="364"/>
        <v>0</v>
      </c>
      <c r="K1649" s="85">
        <f t="shared" si="360"/>
        <v>51800</v>
      </c>
      <c r="L1649" s="13">
        <f t="shared" si="364"/>
        <v>-7657</v>
      </c>
      <c r="M1649" s="85">
        <f t="shared" si="354"/>
        <v>44143</v>
      </c>
      <c r="N1649" s="13">
        <f t="shared" si="364"/>
        <v>0</v>
      </c>
      <c r="O1649" s="85">
        <f t="shared" si="355"/>
        <v>44143</v>
      </c>
      <c r="P1649" s="13">
        <f t="shared" si="364"/>
        <v>0</v>
      </c>
      <c r="Q1649" s="85">
        <f t="shared" si="361"/>
        <v>44143</v>
      </c>
      <c r="R1649" s="13">
        <f t="shared" si="364"/>
        <v>0</v>
      </c>
      <c r="S1649" s="85">
        <f t="shared" si="357"/>
        <v>44143</v>
      </c>
      <c r="T1649" s="13">
        <f t="shared" si="364"/>
        <v>0</v>
      </c>
      <c r="U1649" s="85">
        <f t="shared" si="362"/>
        <v>44143</v>
      </c>
    </row>
    <row r="1650" spans="1:22" ht="33">
      <c r="A1650" s="61" t="str">
        <f ca="1">IF(ISERROR(MATCH(F1650,Код_КВР,0)),"",INDIRECT(ADDRESS(MATCH(F1650,Код_КВР,0)+1,2,,,"КВР")))</f>
        <v>Бюджетные инвестиции в объекты капитального строительства муниципальной собственности</v>
      </c>
      <c r="B1650" s="145">
        <v>811</v>
      </c>
      <c r="C1650" s="8" t="s">
        <v>195</v>
      </c>
      <c r="D1650" s="8" t="s">
        <v>219</v>
      </c>
      <c r="E1650" s="145" t="s">
        <v>74</v>
      </c>
      <c r="F1650" s="145">
        <v>414</v>
      </c>
      <c r="G1650" s="69">
        <v>51800</v>
      </c>
      <c r="H1650" s="69"/>
      <c r="I1650" s="69">
        <f t="shared" si="349"/>
        <v>51800</v>
      </c>
      <c r="J1650" s="69"/>
      <c r="K1650" s="85">
        <f t="shared" si="360"/>
        <v>51800</v>
      </c>
      <c r="L1650" s="13">
        <v>-7657</v>
      </c>
      <c r="M1650" s="85">
        <f t="shared" si="354"/>
        <v>44143</v>
      </c>
      <c r="N1650" s="13"/>
      <c r="O1650" s="85">
        <f t="shared" si="355"/>
        <v>44143</v>
      </c>
      <c r="P1650" s="13"/>
      <c r="Q1650" s="85">
        <f t="shared" si="361"/>
        <v>44143</v>
      </c>
      <c r="R1650" s="13"/>
      <c r="S1650" s="85">
        <f t="shared" si="357"/>
        <v>44143</v>
      </c>
      <c r="T1650" s="13"/>
      <c r="U1650" s="85">
        <f t="shared" si="362"/>
        <v>44143</v>
      </c>
    </row>
    <row r="1651" spans="1:22">
      <c r="A1651" s="61" t="str">
        <f ca="1">IF(ISERROR(MATCH(E1651,Код_КЦСР,0)),"",INDIRECT(ADDRESS(MATCH(E1651,Код_КЦСР,0)+1,2,,,"КЦСР")))</f>
        <v>Строительство детского сада № 27 в 115 мкр.</v>
      </c>
      <c r="B1651" s="145">
        <v>811</v>
      </c>
      <c r="C1651" s="8" t="s">
        <v>195</v>
      </c>
      <c r="D1651" s="8" t="s">
        <v>219</v>
      </c>
      <c r="E1651" s="145" t="s">
        <v>75</v>
      </c>
      <c r="F1651" s="145"/>
      <c r="G1651" s="69">
        <f t="shared" ref="G1651:T1653" si="365">G1652</f>
        <v>26800</v>
      </c>
      <c r="H1651" s="69">
        <f t="shared" si="365"/>
        <v>0</v>
      </c>
      <c r="I1651" s="69">
        <f t="shared" si="349"/>
        <v>26800</v>
      </c>
      <c r="J1651" s="69">
        <f t="shared" si="365"/>
        <v>0</v>
      </c>
      <c r="K1651" s="85">
        <f t="shared" si="360"/>
        <v>26800</v>
      </c>
      <c r="L1651" s="13">
        <f t="shared" si="365"/>
        <v>0</v>
      </c>
      <c r="M1651" s="85">
        <f t="shared" si="354"/>
        <v>26800</v>
      </c>
      <c r="N1651" s="13">
        <f t="shared" si="365"/>
        <v>0</v>
      </c>
      <c r="O1651" s="85">
        <f t="shared" si="355"/>
        <v>26800</v>
      </c>
      <c r="P1651" s="13">
        <f t="shared" si="365"/>
        <v>0</v>
      </c>
      <c r="Q1651" s="85">
        <f t="shared" si="361"/>
        <v>26800</v>
      </c>
      <c r="R1651" s="13">
        <f t="shared" si="365"/>
        <v>67686.3</v>
      </c>
      <c r="S1651" s="85">
        <f t="shared" si="357"/>
        <v>94486.3</v>
      </c>
      <c r="T1651" s="13">
        <f t="shared" si="365"/>
        <v>2</v>
      </c>
      <c r="U1651" s="85">
        <f t="shared" si="362"/>
        <v>94488.3</v>
      </c>
    </row>
    <row r="1652" spans="1:22" ht="33">
      <c r="A1652" s="61" t="str">
        <f ca="1">IF(ISERROR(MATCH(F1652,Код_КВР,0)),"",INDIRECT(ADDRESS(MATCH(F1652,Код_КВР,0)+1,2,,,"КВР")))</f>
        <v>Капитальные вложения в объекты недвижимого имущества муниципальной собственности</v>
      </c>
      <c r="B1652" s="145">
        <v>811</v>
      </c>
      <c r="C1652" s="8" t="s">
        <v>195</v>
      </c>
      <c r="D1652" s="8" t="s">
        <v>219</v>
      </c>
      <c r="E1652" s="145" t="s">
        <v>75</v>
      </c>
      <c r="F1652" s="145">
        <v>400</v>
      </c>
      <c r="G1652" s="69">
        <f t="shared" si="365"/>
        <v>26800</v>
      </c>
      <c r="H1652" s="69">
        <f t="shared" si="365"/>
        <v>0</v>
      </c>
      <c r="I1652" s="69">
        <f t="shared" ref="I1652:I1741" si="366">G1652+H1652</f>
        <v>26800</v>
      </c>
      <c r="J1652" s="69">
        <f t="shared" si="365"/>
        <v>0</v>
      </c>
      <c r="K1652" s="85">
        <f t="shared" si="360"/>
        <v>26800</v>
      </c>
      <c r="L1652" s="13">
        <f t="shared" si="365"/>
        <v>0</v>
      </c>
      <c r="M1652" s="85">
        <f t="shared" si="354"/>
        <v>26800</v>
      </c>
      <c r="N1652" s="13">
        <f t="shared" si="365"/>
        <v>0</v>
      </c>
      <c r="O1652" s="85">
        <f t="shared" si="355"/>
        <v>26800</v>
      </c>
      <c r="P1652" s="13">
        <f t="shared" si="365"/>
        <v>0</v>
      </c>
      <c r="Q1652" s="85">
        <f t="shared" si="361"/>
        <v>26800</v>
      </c>
      <c r="R1652" s="13">
        <f t="shared" si="365"/>
        <v>67686.3</v>
      </c>
      <c r="S1652" s="85">
        <f t="shared" si="357"/>
        <v>94486.3</v>
      </c>
      <c r="T1652" s="13">
        <f t="shared" si="365"/>
        <v>2</v>
      </c>
      <c r="U1652" s="85">
        <f t="shared" si="362"/>
        <v>94488.3</v>
      </c>
    </row>
    <row r="1653" spans="1:22">
      <c r="A1653" s="61" t="str">
        <f ca="1">IF(ISERROR(MATCH(F1653,Код_КВР,0)),"",INDIRECT(ADDRESS(MATCH(F1653,Код_КВР,0)+1,2,,,"КВР")))</f>
        <v>Бюджетные инвестиции</v>
      </c>
      <c r="B1653" s="145">
        <v>811</v>
      </c>
      <c r="C1653" s="8" t="s">
        <v>195</v>
      </c>
      <c r="D1653" s="8" t="s">
        <v>219</v>
      </c>
      <c r="E1653" s="145" t="s">
        <v>75</v>
      </c>
      <c r="F1653" s="145">
        <v>410</v>
      </c>
      <c r="G1653" s="69">
        <f t="shared" si="365"/>
        <v>26800</v>
      </c>
      <c r="H1653" s="69">
        <f t="shared" si="365"/>
        <v>0</v>
      </c>
      <c r="I1653" s="69">
        <f t="shared" si="366"/>
        <v>26800</v>
      </c>
      <c r="J1653" s="69">
        <f t="shared" si="365"/>
        <v>0</v>
      </c>
      <c r="K1653" s="85">
        <f t="shared" si="360"/>
        <v>26800</v>
      </c>
      <c r="L1653" s="13">
        <f t="shared" si="365"/>
        <v>0</v>
      </c>
      <c r="M1653" s="85">
        <f t="shared" si="354"/>
        <v>26800</v>
      </c>
      <c r="N1653" s="13">
        <f t="shared" si="365"/>
        <v>0</v>
      </c>
      <c r="O1653" s="85">
        <f t="shared" si="355"/>
        <v>26800</v>
      </c>
      <c r="P1653" s="13">
        <f t="shared" si="365"/>
        <v>0</v>
      </c>
      <c r="Q1653" s="85">
        <f t="shared" si="361"/>
        <v>26800</v>
      </c>
      <c r="R1653" s="13">
        <f t="shared" si="365"/>
        <v>67686.3</v>
      </c>
      <c r="S1653" s="85">
        <f t="shared" si="357"/>
        <v>94486.3</v>
      </c>
      <c r="T1653" s="13">
        <f t="shared" si="365"/>
        <v>2</v>
      </c>
      <c r="U1653" s="85">
        <f t="shared" si="362"/>
        <v>94488.3</v>
      </c>
    </row>
    <row r="1654" spans="1:22" ht="33">
      <c r="A1654" s="61" t="str">
        <f ca="1">IF(ISERROR(MATCH(F1654,Код_КВР,0)),"",INDIRECT(ADDRESS(MATCH(F1654,Код_КВР,0)+1,2,,,"КВР")))</f>
        <v>Бюджетные инвестиции в объекты капитального строительства муниципальной собственности</v>
      </c>
      <c r="B1654" s="145">
        <v>811</v>
      </c>
      <c r="C1654" s="8" t="s">
        <v>195</v>
      </c>
      <c r="D1654" s="8" t="s">
        <v>219</v>
      </c>
      <c r="E1654" s="145" t="s">
        <v>75</v>
      </c>
      <c r="F1654" s="145">
        <v>414</v>
      </c>
      <c r="G1654" s="69">
        <v>26800</v>
      </c>
      <c r="H1654" s="69"/>
      <c r="I1654" s="69">
        <f t="shared" si="366"/>
        <v>26800</v>
      </c>
      <c r="J1654" s="69"/>
      <c r="K1654" s="85">
        <f t="shared" si="360"/>
        <v>26800</v>
      </c>
      <c r="L1654" s="13"/>
      <c r="M1654" s="85">
        <f t="shared" si="354"/>
        <v>26800</v>
      </c>
      <c r="N1654" s="13"/>
      <c r="O1654" s="85">
        <f t="shared" si="355"/>
        <v>26800</v>
      </c>
      <c r="P1654" s="13"/>
      <c r="Q1654" s="85">
        <f t="shared" si="361"/>
        <v>26800</v>
      </c>
      <c r="R1654" s="13">
        <f>109794-45124.4+3017.1-0.4</f>
        <v>67686.3</v>
      </c>
      <c r="S1654" s="85">
        <f t="shared" si="357"/>
        <v>94486.3</v>
      </c>
      <c r="T1654" s="13">
        <v>2</v>
      </c>
      <c r="U1654" s="85">
        <f t="shared" si="362"/>
        <v>94488.3</v>
      </c>
    </row>
    <row r="1655" spans="1:22">
      <c r="A1655" s="61" t="str">
        <f ca="1">IF(ISERROR(MATCH(E1655,Код_КЦСР,0)),"",INDIRECT(ADDRESS(MATCH(E1655,Код_КЦСР,0)+1,2,,,"КЦСР")))</f>
        <v>Строительство детского сада № 20 в 112 мкр.</v>
      </c>
      <c r="B1655" s="145">
        <v>811</v>
      </c>
      <c r="C1655" s="8" t="s">
        <v>195</v>
      </c>
      <c r="D1655" s="8" t="s">
        <v>219</v>
      </c>
      <c r="E1655" s="145" t="s">
        <v>592</v>
      </c>
      <c r="F1655" s="145"/>
      <c r="G1655" s="69"/>
      <c r="H1655" s="69"/>
      <c r="I1655" s="69"/>
      <c r="J1655" s="69">
        <f>J1656</f>
        <v>10964.4</v>
      </c>
      <c r="K1655" s="85">
        <f t="shared" si="360"/>
        <v>10964.4</v>
      </c>
      <c r="L1655" s="13">
        <f>L1656</f>
        <v>0</v>
      </c>
      <c r="M1655" s="85">
        <f t="shared" si="354"/>
        <v>10964.4</v>
      </c>
      <c r="N1655" s="13">
        <f>N1656</f>
        <v>0</v>
      </c>
      <c r="O1655" s="85">
        <f t="shared" si="355"/>
        <v>10964.4</v>
      </c>
      <c r="P1655" s="13">
        <f>P1656</f>
        <v>0</v>
      </c>
      <c r="Q1655" s="85">
        <f t="shared" si="361"/>
        <v>10964.4</v>
      </c>
      <c r="R1655" s="13">
        <f>R1656</f>
        <v>-6487.5</v>
      </c>
      <c r="S1655" s="85">
        <f t="shared" si="357"/>
        <v>4476.8999999999996</v>
      </c>
      <c r="T1655" s="13">
        <f>T1656</f>
        <v>-548.4</v>
      </c>
      <c r="U1655" s="85">
        <f t="shared" si="362"/>
        <v>3928.4999999999995</v>
      </c>
    </row>
    <row r="1656" spans="1:22" ht="33">
      <c r="A1656" s="61" t="str">
        <f ca="1">IF(ISERROR(MATCH(F1656,Код_КВР,0)),"",INDIRECT(ADDRESS(MATCH(F1656,Код_КВР,0)+1,2,,,"КВР")))</f>
        <v>Капитальные вложения в объекты недвижимого имущества муниципальной собственности</v>
      </c>
      <c r="B1656" s="145">
        <v>811</v>
      </c>
      <c r="C1656" s="8" t="s">
        <v>195</v>
      </c>
      <c r="D1656" s="8" t="s">
        <v>219</v>
      </c>
      <c r="E1656" s="145" t="s">
        <v>592</v>
      </c>
      <c r="F1656" s="145">
        <v>400</v>
      </c>
      <c r="G1656" s="69"/>
      <c r="H1656" s="69"/>
      <c r="I1656" s="69"/>
      <c r="J1656" s="69">
        <f>J1657</f>
        <v>10964.4</v>
      </c>
      <c r="K1656" s="85">
        <f t="shared" si="360"/>
        <v>10964.4</v>
      </c>
      <c r="L1656" s="13">
        <f>L1657</f>
        <v>0</v>
      </c>
      <c r="M1656" s="85">
        <f t="shared" si="354"/>
        <v>10964.4</v>
      </c>
      <c r="N1656" s="13">
        <f>N1657</f>
        <v>0</v>
      </c>
      <c r="O1656" s="85">
        <f t="shared" si="355"/>
        <v>10964.4</v>
      </c>
      <c r="P1656" s="13">
        <f>P1657</f>
        <v>0</v>
      </c>
      <c r="Q1656" s="85">
        <f t="shared" si="361"/>
        <v>10964.4</v>
      </c>
      <c r="R1656" s="13">
        <f>R1657</f>
        <v>-6487.5</v>
      </c>
      <c r="S1656" s="85">
        <f t="shared" si="357"/>
        <v>4476.8999999999996</v>
      </c>
      <c r="T1656" s="13">
        <f>T1657</f>
        <v>-548.4</v>
      </c>
      <c r="U1656" s="85">
        <f t="shared" si="362"/>
        <v>3928.4999999999995</v>
      </c>
    </row>
    <row r="1657" spans="1:22">
      <c r="A1657" s="61" t="str">
        <f ca="1">IF(ISERROR(MATCH(F1657,Код_КВР,0)),"",INDIRECT(ADDRESS(MATCH(F1657,Код_КВР,0)+1,2,,,"КВР")))</f>
        <v>Бюджетные инвестиции</v>
      </c>
      <c r="B1657" s="145">
        <v>811</v>
      </c>
      <c r="C1657" s="8" t="s">
        <v>195</v>
      </c>
      <c r="D1657" s="8" t="s">
        <v>219</v>
      </c>
      <c r="E1657" s="145" t="s">
        <v>592</v>
      </c>
      <c r="F1657" s="145">
        <v>410</v>
      </c>
      <c r="G1657" s="69"/>
      <c r="H1657" s="69"/>
      <c r="I1657" s="69"/>
      <c r="J1657" s="69">
        <f>J1658</f>
        <v>10964.4</v>
      </c>
      <c r="K1657" s="85">
        <f t="shared" si="360"/>
        <v>10964.4</v>
      </c>
      <c r="L1657" s="13">
        <f>L1658</f>
        <v>0</v>
      </c>
      <c r="M1657" s="85">
        <f t="shared" si="354"/>
        <v>10964.4</v>
      </c>
      <c r="N1657" s="13">
        <f>N1658</f>
        <v>0</v>
      </c>
      <c r="O1657" s="85">
        <f t="shared" si="355"/>
        <v>10964.4</v>
      </c>
      <c r="P1657" s="13">
        <f>P1658</f>
        <v>0</v>
      </c>
      <c r="Q1657" s="85">
        <f t="shared" si="361"/>
        <v>10964.4</v>
      </c>
      <c r="R1657" s="13">
        <f>R1658</f>
        <v>-6487.5</v>
      </c>
      <c r="S1657" s="85">
        <f t="shared" si="357"/>
        <v>4476.8999999999996</v>
      </c>
      <c r="T1657" s="13">
        <f>T1658</f>
        <v>-548.4</v>
      </c>
      <c r="U1657" s="85">
        <f t="shared" si="362"/>
        <v>3928.4999999999995</v>
      </c>
    </row>
    <row r="1658" spans="1:22" ht="33">
      <c r="A1658" s="61" t="str">
        <f ca="1">IF(ISERROR(MATCH(F1658,Код_КВР,0)),"",INDIRECT(ADDRESS(MATCH(F1658,Код_КВР,0)+1,2,,,"КВР")))</f>
        <v>Бюджетные инвестиции в объекты капитального строительства муниципальной собственности</v>
      </c>
      <c r="B1658" s="145">
        <v>811</v>
      </c>
      <c r="C1658" s="8" t="s">
        <v>195</v>
      </c>
      <c r="D1658" s="8" t="s">
        <v>219</v>
      </c>
      <c r="E1658" s="145" t="s">
        <v>592</v>
      </c>
      <c r="F1658" s="145">
        <v>414</v>
      </c>
      <c r="G1658" s="69"/>
      <c r="H1658" s="69"/>
      <c r="I1658" s="69"/>
      <c r="J1658" s="69">
        <v>10964.4</v>
      </c>
      <c r="K1658" s="85">
        <f t="shared" si="360"/>
        <v>10964.4</v>
      </c>
      <c r="L1658" s="13"/>
      <c r="M1658" s="85">
        <f t="shared" si="354"/>
        <v>10964.4</v>
      </c>
      <c r="N1658" s="13"/>
      <c r="O1658" s="85">
        <f t="shared" si="355"/>
        <v>10964.4</v>
      </c>
      <c r="P1658" s="13"/>
      <c r="Q1658" s="85">
        <f>O1658+P1658</f>
        <v>10964.4</v>
      </c>
      <c r="R1658" s="13">
        <f>-6402-85.5</f>
        <v>-6487.5</v>
      </c>
      <c r="S1658" s="85">
        <f t="shared" si="357"/>
        <v>4476.8999999999996</v>
      </c>
      <c r="T1658" s="13">
        <f>-548.4</f>
        <v>-548.4</v>
      </c>
      <c r="U1658" s="85">
        <f t="shared" si="362"/>
        <v>3928.4999999999995</v>
      </c>
    </row>
    <row r="1659" spans="1:22" ht="23.25" customHeight="1">
      <c r="A1659" s="61" t="str">
        <f ca="1">IF(ISERROR(MATCH(E1659,Код_КЦСР,0)),"",INDIRECT(ADDRESS(MATCH(E1659,Код_КЦСР,0)+1,2,,,"КЦСР")))</f>
        <v>Строительство средней общеобразовательной школы № 24 в 112 мкр.</v>
      </c>
      <c r="B1659" s="145">
        <v>811</v>
      </c>
      <c r="C1659" s="8" t="s">
        <v>195</v>
      </c>
      <c r="D1659" s="8" t="s">
        <v>219</v>
      </c>
      <c r="E1659" s="145" t="s">
        <v>648</v>
      </c>
      <c r="F1659" s="145"/>
      <c r="G1659" s="69"/>
      <c r="H1659" s="69"/>
      <c r="I1659" s="69"/>
      <c r="J1659" s="69"/>
      <c r="K1659" s="85"/>
      <c r="L1659" s="13"/>
      <c r="M1659" s="85"/>
      <c r="N1659" s="13"/>
      <c r="O1659" s="85"/>
      <c r="P1659" s="13"/>
      <c r="Q1659" s="85"/>
      <c r="R1659" s="13">
        <f>R1660</f>
        <v>1289.7</v>
      </c>
      <c r="S1659" s="85">
        <f t="shared" si="357"/>
        <v>1289.7</v>
      </c>
      <c r="T1659" s="13">
        <f>T1660</f>
        <v>-541</v>
      </c>
      <c r="U1659" s="85">
        <f t="shared" si="362"/>
        <v>748.7</v>
      </c>
    </row>
    <row r="1660" spans="1:22" ht="33">
      <c r="A1660" s="61" t="str">
        <f ca="1">IF(ISERROR(MATCH(F1660,Код_КВР,0)),"",INDIRECT(ADDRESS(MATCH(F1660,Код_КВР,0)+1,2,,,"КВР")))</f>
        <v>Капитальные вложения в объекты недвижимого имущества муниципальной собственности</v>
      </c>
      <c r="B1660" s="145">
        <v>811</v>
      </c>
      <c r="C1660" s="8" t="s">
        <v>195</v>
      </c>
      <c r="D1660" s="8" t="s">
        <v>219</v>
      </c>
      <c r="E1660" s="145" t="s">
        <v>648</v>
      </c>
      <c r="F1660" s="145">
        <v>400</v>
      </c>
      <c r="G1660" s="69"/>
      <c r="H1660" s="69"/>
      <c r="I1660" s="69"/>
      <c r="J1660" s="69"/>
      <c r="K1660" s="85"/>
      <c r="L1660" s="13"/>
      <c r="M1660" s="85"/>
      <c r="N1660" s="13"/>
      <c r="O1660" s="85"/>
      <c r="P1660" s="13"/>
      <c r="Q1660" s="85"/>
      <c r="R1660" s="13">
        <f>R1661</f>
        <v>1289.7</v>
      </c>
      <c r="S1660" s="85">
        <f t="shared" si="357"/>
        <v>1289.7</v>
      </c>
      <c r="T1660" s="13">
        <f>T1661</f>
        <v>-541</v>
      </c>
      <c r="U1660" s="85">
        <f t="shared" si="362"/>
        <v>748.7</v>
      </c>
    </row>
    <row r="1661" spans="1:22">
      <c r="A1661" s="61" t="str">
        <f ca="1">IF(ISERROR(MATCH(F1661,Код_КВР,0)),"",INDIRECT(ADDRESS(MATCH(F1661,Код_КВР,0)+1,2,,,"КВР")))</f>
        <v>Бюджетные инвестиции</v>
      </c>
      <c r="B1661" s="145">
        <v>811</v>
      </c>
      <c r="C1661" s="8" t="s">
        <v>195</v>
      </c>
      <c r="D1661" s="8" t="s">
        <v>219</v>
      </c>
      <c r="E1661" s="145" t="s">
        <v>648</v>
      </c>
      <c r="F1661" s="145">
        <v>410</v>
      </c>
      <c r="G1661" s="69"/>
      <c r="H1661" s="69"/>
      <c r="I1661" s="69"/>
      <c r="J1661" s="69"/>
      <c r="K1661" s="85"/>
      <c r="L1661" s="13"/>
      <c r="M1661" s="85"/>
      <c r="N1661" s="13"/>
      <c r="O1661" s="85"/>
      <c r="P1661" s="13"/>
      <c r="Q1661" s="85"/>
      <c r="R1661" s="13">
        <f>R1662</f>
        <v>1289.7</v>
      </c>
      <c r="S1661" s="85">
        <f t="shared" si="357"/>
        <v>1289.7</v>
      </c>
      <c r="T1661" s="13">
        <f>T1662</f>
        <v>-541</v>
      </c>
      <c r="U1661" s="85">
        <f t="shared" si="362"/>
        <v>748.7</v>
      </c>
    </row>
    <row r="1662" spans="1:22" ht="33">
      <c r="A1662" s="61" t="str">
        <f ca="1">IF(ISERROR(MATCH(F1662,Код_КВР,0)),"",INDIRECT(ADDRESS(MATCH(F1662,Код_КВР,0)+1,2,,,"КВР")))</f>
        <v>Бюджетные инвестиции в объекты капитального строительства муниципальной собственности</v>
      </c>
      <c r="B1662" s="145">
        <v>811</v>
      </c>
      <c r="C1662" s="8" t="s">
        <v>195</v>
      </c>
      <c r="D1662" s="8" t="s">
        <v>219</v>
      </c>
      <c r="E1662" s="145" t="s">
        <v>648</v>
      </c>
      <c r="F1662" s="145">
        <v>414</v>
      </c>
      <c r="G1662" s="69"/>
      <c r="H1662" s="69"/>
      <c r="I1662" s="69"/>
      <c r="J1662" s="69"/>
      <c r="K1662" s="85"/>
      <c r="L1662" s="13"/>
      <c r="M1662" s="85"/>
      <c r="N1662" s="13"/>
      <c r="O1662" s="85"/>
      <c r="P1662" s="13"/>
      <c r="Q1662" s="85"/>
      <c r="R1662" s="13">
        <v>1289.7</v>
      </c>
      <c r="S1662" s="85">
        <f t="shared" si="357"/>
        <v>1289.7</v>
      </c>
      <c r="T1662" s="13">
        <v>-541</v>
      </c>
      <c r="U1662" s="85">
        <f t="shared" si="362"/>
        <v>748.7</v>
      </c>
    </row>
    <row r="1663" spans="1:22" hidden="1">
      <c r="A1663" s="61" t="str">
        <f ca="1">IF(ISERROR(MATCH(E1663,Код_КЦСР,0)),"",INDIRECT(ADDRESS(MATCH(E1663,Код_КЦСР,0)+1,2,,,"КЦСР")))</f>
        <v>Капитальный ремонт  объектов муниципальной собственности</v>
      </c>
      <c r="B1663" s="145">
        <v>811</v>
      </c>
      <c r="C1663" s="8" t="s">
        <v>195</v>
      </c>
      <c r="D1663" s="8" t="s">
        <v>219</v>
      </c>
      <c r="E1663" s="145" t="s">
        <v>77</v>
      </c>
      <c r="F1663" s="145"/>
      <c r="G1663" s="69">
        <f t="shared" ref="G1663:T1665" si="367">G1664</f>
        <v>5751.3</v>
      </c>
      <c r="H1663" s="69">
        <f t="shared" si="367"/>
        <v>0</v>
      </c>
      <c r="I1663" s="69">
        <f t="shared" si="366"/>
        <v>5751.3</v>
      </c>
      <c r="J1663" s="69">
        <f t="shared" si="367"/>
        <v>0</v>
      </c>
      <c r="K1663" s="85">
        <f t="shared" si="360"/>
        <v>5751.3</v>
      </c>
      <c r="L1663" s="13">
        <f t="shared" si="367"/>
        <v>0</v>
      </c>
      <c r="M1663" s="85">
        <f t="shared" si="354"/>
        <v>5751.3</v>
      </c>
      <c r="N1663" s="13">
        <f t="shared" si="367"/>
        <v>0</v>
      </c>
      <c r="O1663" s="85">
        <f t="shared" si="355"/>
        <v>5751.3</v>
      </c>
      <c r="P1663" s="13">
        <f t="shared" si="367"/>
        <v>0</v>
      </c>
      <c r="Q1663" s="85">
        <f t="shared" si="361"/>
        <v>5751.3</v>
      </c>
      <c r="R1663" s="13">
        <f t="shared" si="367"/>
        <v>-5751.3</v>
      </c>
      <c r="S1663" s="85">
        <f t="shared" si="357"/>
        <v>0</v>
      </c>
      <c r="T1663" s="13">
        <f t="shared" si="367"/>
        <v>0</v>
      </c>
      <c r="U1663" s="85">
        <f t="shared" si="362"/>
        <v>0</v>
      </c>
      <c r="V1663" s="155" t="s">
        <v>715</v>
      </c>
    </row>
    <row r="1664" spans="1:22" hidden="1">
      <c r="A1664" s="61" t="str">
        <f ca="1">IF(ISERROR(MATCH(F1664,Код_КВР,0)),"",INDIRECT(ADDRESS(MATCH(F1664,Код_КВР,0)+1,2,,,"КВР")))</f>
        <v>Закупка товаров, работ и услуг для муниципальных нужд</v>
      </c>
      <c r="B1664" s="145">
        <v>811</v>
      </c>
      <c r="C1664" s="8" t="s">
        <v>195</v>
      </c>
      <c r="D1664" s="8" t="s">
        <v>219</v>
      </c>
      <c r="E1664" s="145" t="s">
        <v>77</v>
      </c>
      <c r="F1664" s="145">
        <v>200</v>
      </c>
      <c r="G1664" s="69">
        <f t="shared" si="367"/>
        <v>5751.3</v>
      </c>
      <c r="H1664" s="69">
        <f t="shared" si="367"/>
        <v>0</v>
      </c>
      <c r="I1664" s="69">
        <f t="shared" si="366"/>
        <v>5751.3</v>
      </c>
      <c r="J1664" s="69">
        <f t="shared" si="367"/>
        <v>0</v>
      </c>
      <c r="K1664" s="85">
        <f t="shared" si="360"/>
        <v>5751.3</v>
      </c>
      <c r="L1664" s="13">
        <f t="shared" si="367"/>
        <v>0</v>
      </c>
      <c r="M1664" s="85">
        <f t="shared" si="354"/>
        <v>5751.3</v>
      </c>
      <c r="N1664" s="13">
        <f t="shared" si="367"/>
        <v>0</v>
      </c>
      <c r="O1664" s="85">
        <f t="shared" si="355"/>
        <v>5751.3</v>
      </c>
      <c r="P1664" s="13">
        <f t="shared" si="367"/>
        <v>0</v>
      </c>
      <c r="Q1664" s="85">
        <f t="shared" si="361"/>
        <v>5751.3</v>
      </c>
      <c r="R1664" s="13">
        <f t="shared" si="367"/>
        <v>-5751.3</v>
      </c>
      <c r="S1664" s="85">
        <f t="shared" si="357"/>
        <v>0</v>
      </c>
      <c r="T1664" s="13">
        <f t="shared" si="367"/>
        <v>0</v>
      </c>
      <c r="U1664" s="85">
        <f t="shared" si="362"/>
        <v>0</v>
      </c>
      <c r="V1664" s="155" t="s">
        <v>715</v>
      </c>
    </row>
    <row r="1665" spans="1:22" ht="33" hidden="1">
      <c r="A1665" s="61" t="str">
        <f ca="1">IF(ISERROR(MATCH(F1665,Код_КВР,0)),"",INDIRECT(ADDRESS(MATCH(F1665,Код_КВР,0)+1,2,,,"КВР")))</f>
        <v>Иные закупки товаров, работ и услуг для обеспечения муниципальных нужд</v>
      </c>
      <c r="B1665" s="145">
        <v>811</v>
      </c>
      <c r="C1665" s="8" t="s">
        <v>195</v>
      </c>
      <c r="D1665" s="8" t="s">
        <v>219</v>
      </c>
      <c r="E1665" s="145" t="s">
        <v>77</v>
      </c>
      <c r="F1665" s="145">
        <v>240</v>
      </c>
      <c r="G1665" s="69">
        <f t="shared" si="367"/>
        <v>5751.3</v>
      </c>
      <c r="H1665" s="69">
        <f t="shared" si="367"/>
        <v>0</v>
      </c>
      <c r="I1665" s="69">
        <f t="shared" si="366"/>
        <v>5751.3</v>
      </c>
      <c r="J1665" s="69">
        <f t="shared" si="367"/>
        <v>0</v>
      </c>
      <c r="K1665" s="85">
        <f t="shared" si="360"/>
        <v>5751.3</v>
      </c>
      <c r="L1665" s="13">
        <f t="shared" si="367"/>
        <v>0</v>
      </c>
      <c r="M1665" s="85">
        <f t="shared" si="354"/>
        <v>5751.3</v>
      </c>
      <c r="N1665" s="13">
        <f t="shared" si="367"/>
        <v>0</v>
      </c>
      <c r="O1665" s="85">
        <f t="shared" si="355"/>
        <v>5751.3</v>
      </c>
      <c r="P1665" s="13">
        <f t="shared" si="367"/>
        <v>0</v>
      </c>
      <c r="Q1665" s="85">
        <f t="shared" si="361"/>
        <v>5751.3</v>
      </c>
      <c r="R1665" s="13">
        <f t="shared" si="367"/>
        <v>-5751.3</v>
      </c>
      <c r="S1665" s="85">
        <f t="shared" si="357"/>
        <v>0</v>
      </c>
      <c r="T1665" s="13">
        <f t="shared" si="367"/>
        <v>0</v>
      </c>
      <c r="U1665" s="85">
        <f t="shared" si="362"/>
        <v>0</v>
      </c>
      <c r="V1665" s="155" t="s">
        <v>715</v>
      </c>
    </row>
    <row r="1666" spans="1:22" ht="33" hidden="1">
      <c r="A1666" s="61" t="str">
        <f ca="1">IF(ISERROR(MATCH(F1666,Код_КВР,0)),"",INDIRECT(ADDRESS(MATCH(F1666,Код_КВР,0)+1,2,,,"КВР")))</f>
        <v>Закупка товаров, работ, услуг в целях капитального ремонта муниципального имущества</v>
      </c>
      <c r="B1666" s="145">
        <v>811</v>
      </c>
      <c r="C1666" s="8" t="s">
        <v>195</v>
      </c>
      <c r="D1666" s="8" t="s">
        <v>219</v>
      </c>
      <c r="E1666" s="145" t="s">
        <v>77</v>
      </c>
      <c r="F1666" s="145">
        <v>243</v>
      </c>
      <c r="G1666" s="69">
        <v>5751.3</v>
      </c>
      <c r="H1666" s="69"/>
      <c r="I1666" s="69">
        <f t="shared" si="366"/>
        <v>5751.3</v>
      </c>
      <c r="J1666" s="69"/>
      <c r="K1666" s="85">
        <f t="shared" si="360"/>
        <v>5751.3</v>
      </c>
      <c r="L1666" s="13"/>
      <c r="M1666" s="85">
        <f t="shared" si="354"/>
        <v>5751.3</v>
      </c>
      <c r="N1666" s="13"/>
      <c r="O1666" s="85">
        <f t="shared" si="355"/>
        <v>5751.3</v>
      </c>
      <c r="P1666" s="13"/>
      <c r="Q1666" s="85">
        <f t="shared" si="361"/>
        <v>5751.3</v>
      </c>
      <c r="R1666" s="13">
        <v>-5751.3</v>
      </c>
      <c r="S1666" s="85">
        <f t="shared" si="357"/>
        <v>0</v>
      </c>
      <c r="T1666" s="13"/>
      <c r="U1666" s="85">
        <f t="shared" si="362"/>
        <v>0</v>
      </c>
      <c r="V1666" s="155" t="s">
        <v>715</v>
      </c>
    </row>
    <row r="1667" spans="1:22" ht="38.25" customHeight="1">
      <c r="A1667" s="61" t="str">
        <f ca="1">IF(ISERROR(MATCH(E1667,Код_КЦСР,0)),"",INDIRECT(ADDRESS(MATCH(E1667,Код_КЦСР,0)+1,2,,,"КЦСР")))</f>
        <v>Модернизация региональных систем дошкольного образования за счет субсидии из федерального бюджета</v>
      </c>
      <c r="B1667" s="145">
        <v>811</v>
      </c>
      <c r="C1667" s="8" t="s">
        <v>195</v>
      </c>
      <c r="D1667" s="8" t="s">
        <v>219</v>
      </c>
      <c r="E1667" s="145" t="s">
        <v>640</v>
      </c>
      <c r="F1667" s="145"/>
      <c r="G1667" s="69"/>
      <c r="H1667" s="69"/>
      <c r="I1667" s="69"/>
      <c r="J1667" s="69"/>
      <c r="K1667" s="85"/>
      <c r="L1667" s="13"/>
      <c r="M1667" s="85"/>
      <c r="N1667" s="13"/>
      <c r="O1667" s="85"/>
      <c r="P1667" s="13"/>
      <c r="Q1667" s="85"/>
      <c r="R1667" s="13">
        <f>R1668</f>
        <v>215795.7</v>
      </c>
      <c r="S1667" s="85">
        <f t="shared" si="357"/>
        <v>215795.7</v>
      </c>
      <c r="T1667" s="13">
        <f>T1668</f>
        <v>0</v>
      </c>
      <c r="U1667" s="85">
        <f t="shared" si="362"/>
        <v>215795.7</v>
      </c>
    </row>
    <row r="1668" spans="1:22" ht="33">
      <c r="A1668" s="61" t="str">
        <f ca="1">IF(ISERROR(MATCH(F1668,Код_КВР,0)),"",INDIRECT(ADDRESS(MATCH(F1668,Код_КВР,0)+1,2,,,"КВР")))</f>
        <v>Капитальные вложения в объекты недвижимого имущества муниципальной собственности</v>
      </c>
      <c r="B1668" s="145">
        <v>811</v>
      </c>
      <c r="C1668" s="8" t="s">
        <v>195</v>
      </c>
      <c r="D1668" s="8" t="s">
        <v>219</v>
      </c>
      <c r="E1668" s="145" t="s">
        <v>640</v>
      </c>
      <c r="F1668" s="145">
        <v>400</v>
      </c>
      <c r="G1668" s="69"/>
      <c r="H1668" s="69"/>
      <c r="I1668" s="69"/>
      <c r="J1668" s="69"/>
      <c r="K1668" s="85"/>
      <c r="L1668" s="13"/>
      <c r="M1668" s="85"/>
      <c r="N1668" s="13"/>
      <c r="O1668" s="85"/>
      <c r="P1668" s="13"/>
      <c r="Q1668" s="85"/>
      <c r="R1668" s="13">
        <f>R1669</f>
        <v>215795.7</v>
      </c>
      <c r="S1668" s="85">
        <f t="shared" si="357"/>
        <v>215795.7</v>
      </c>
      <c r="T1668" s="13">
        <f>T1669</f>
        <v>0</v>
      </c>
      <c r="U1668" s="85">
        <f t="shared" si="362"/>
        <v>215795.7</v>
      </c>
    </row>
    <row r="1669" spans="1:22">
      <c r="A1669" s="61" t="str">
        <f ca="1">IF(ISERROR(MATCH(F1669,Код_КВР,0)),"",INDIRECT(ADDRESS(MATCH(F1669,Код_КВР,0)+1,2,,,"КВР")))</f>
        <v>Бюджетные инвестиции</v>
      </c>
      <c r="B1669" s="145">
        <v>811</v>
      </c>
      <c r="C1669" s="8" t="s">
        <v>195</v>
      </c>
      <c r="D1669" s="8" t="s">
        <v>219</v>
      </c>
      <c r="E1669" s="145" t="s">
        <v>640</v>
      </c>
      <c r="F1669" s="145">
        <v>410</v>
      </c>
      <c r="G1669" s="69"/>
      <c r="H1669" s="69"/>
      <c r="I1669" s="69"/>
      <c r="J1669" s="69"/>
      <c r="K1669" s="85"/>
      <c r="L1669" s="13"/>
      <c r="M1669" s="85"/>
      <c r="N1669" s="13"/>
      <c r="O1669" s="85"/>
      <c r="P1669" s="13"/>
      <c r="Q1669" s="85"/>
      <c r="R1669" s="13">
        <f>R1670</f>
        <v>215795.7</v>
      </c>
      <c r="S1669" s="85">
        <f t="shared" si="357"/>
        <v>215795.7</v>
      </c>
      <c r="T1669" s="13">
        <f>T1670</f>
        <v>0</v>
      </c>
      <c r="U1669" s="85">
        <f t="shared" si="362"/>
        <v>215795.7</v>
      </c>
    </row>
    <row r="1670" spans="1:22" ht="33">
      <c r="A1670" s="61" t="str">
        <f ca="1">IF(ISERROR(MATCH(F1670,Код_КВР,0)),"",INDIRECT(ADDRESS(MATCH(F1670,Код_КВР,0)+1,2,,,"КВР")))</f>
        <v>Бюджетные инвестиции в объекты капитального строительства муниципальной собственности</v>
      </c>
      <c r="B1670" s="145">
        <v>811</v>
      </c>
      <c r="C1670" s="8" t="s">
        <v>195</v>
      </c>
      <c r="D1670" s="8" t="s">
        <v>219</v>
      </c>
      <c r="E1670" s="145" t="s">
        <v>640</v>
      </c>
      <c r="F1670" s="145">
        <v>414</v>
      </c>
      <c r="G1670" s="69"/>
      <c r="H1670" s="69"/>
      <c r="I1670" s="69"/>
      <c r="J1670" s="69"/>
      <c r="K1670" s="85"/>
      <c r="L1670" s="13"/>
      <c r="M1670" s="85"/>
      <c r="N1670" s="13"/>
      <c r="O1670" s="85"/>
      <c r="P1670" s="13"/>
      <c r="Q1670" s="85"/>
      <c r="R1670" s="13">
        <v>215795.7</v>
      </c>
      <c r="S1670" s="85">
        <f t="shared" si="357"/>
        <v>215795.7</v>
      </c>
      <c r="T1670" s="13"/>
      <c r="U1670" s="85">
        <f t="shared" si="362"/>
        <v>215795.7</v>
      </c>
    </row>
    <row r="1671" spans="1:22">
      <c r="A1671" s="61" t="str">
        <f ca="1">IF(ISERROR(MATCH(C1671,Код_Раздел,0)),"",INDIRECT(ADDRESS(MATCH(C1671,Код_Раздел,0)+1,2,,,"Раздел")))</f>
        <v>Культура, кинематография</v>
      </c>
      <c r="B1671" s="145">
        <v>811</v>
      </c>
      <c r="C1671" s="8" t="s">
        <v>222</v>
      </c>
      <c r="D1671" s="8"/>
      <c r="E1671" s="145"/>
      <c r="F1671" s="145"/>
      <c r="G1671" s="69"/>
      <c r="H1671" s="69"/>
      <c r="I1671" s="69"/>
      <c r="J1671" s="69"/>
      <c r="K1671" s="85"/>
      <c r="L1671" s="13">
        <f t="shared" ref="L1671:T1676" si="368">L1672</f>
        <v>1712.9</v>
      </c>
      <c r="M1671" s="85">
        <f t="shared" si="354"/>
        <v>1712.9</v>
      </c>
      <c r="N1671" s="13">
        <f t="shared" si="368"/>
        <v>0</v>
      </c>
      <c r="O1671" s="85">
        <f t="shared" si="355"/>
        <v>1712.9</v>
      </c>
      <c r="P1671" s="13">
        <f t="shared" si="368"/>
        <v>0</v>
      </c>
      <c r="Q1671" s="85">
        <f t="shared" si="361"/>
        <v>1712.9</v>
      </c>
      <c r="R1671" s="13">
        <f>R1672+R1678</f>
        <v>5719.1</v>
      </c>
      <c r="S1671" s="85">
        <f t="shared" si="357"/>
        <v>7432</v>
      </c>
      <c r="T1671" s="13">
        <f>T1672+T1678</f>
        <v>-203.2</v>
      </c>
      <c r="U1671" s="85">
        <f t="shared" si="362"/>
        <v>7228.8</v>
      </c>
    </row>
    <row r="1672" spans="1:22">
      <c r="A1672" s="12" t="s">
        <v>184</v>
      </c>
      <c r="B1672" s="145">
        <v>811</v>
      </c>
      <c r="C1672" s="8" t="s">
        <v>222</v>
      </c>
      <c r="D1672" s="8" t="s">
        <v>213</v>
      </c>
      <c r="E1672" s="145"/>
      <c r="F1672" s="145"/>
      <c r="G1672" s="69"/>
      <c r="H1672" s="69"/>
      <c r="I1672" s="69"/>
      <c r="J1672" s="69"/>
      <c r="K1672" s="85"/>
      <c r="L1672" s="13">
        <f t="shared" si="368"/>
        <v>1712.9</v>
      </c>
      <c r="M1672" s="85">
        <f t="shared" si="354"/>
        <v>1712.9</v>
      </c>
      <c r="N1672" s="13">
        <f t="shared" si="368"/>
        <v>0</v>
      </c>
      <c r="O1672" s="85">
        <f t="shared" si="355"/>
        <v>1712.9</v>
      </c>
      <c r="P1672" s="13">
        <f t="shared" si="368"/>
        <v>0</v>
      </c>
      <c r="Q1672" s="85">
        <f t="shared" si="361"/>
        <v>1712.9</v>
      </c>
      <c r="R1672" s="13">
        <f t="shared" si="368"/>
        <v>0</v>
      </c>
      <c r="S1672" s="85">
        <f t="shared" si="357"/>
        <v>1712.9</v>
      </c>
      <c r="T1672" s="13">
        <f t="shared" si="368"/>
        <v>0</v>
      </c>
      <c r="U1672" s="85">
        <f t="shared" si="362"/>
        <v>1712.9</v>
      </c>
    </row>
    <row r="1673" spans="1:22" ht="49.5">
      <c r="A1673" s="61" t="str">
        <f ca="1">IF(ISERROR(MATCH(E1673,Код_КЦСР,0)),"",INDIRECT(ADDRESS(MATCH(E1673,Код_КЦСР,0)+1,2,,,"КЦСР")))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73" s="145">
        <v>811</v>
      </c>
      <c r="C1673" s="8" t="s">
        <v>222</v>
      </c>
      <c r="D1673" s="8" t="s">
        <v>213</v>
      </c>
      <c r="E1673" s="145" t="s">
        <v>69</v>
      </c>
      <c r="F1673" s="145"/>
      <c r="G1673" s="69"/>
      <c r="H1673" s="69"/>
      <c r="I1673" s="69"/>
      <c r="J1673" s="69"/>
      <c r="K1673" s="85"/>
      <c r="L1673" s="13">
        <f t="shared" si="368"/>
        <v>1712.9</v>
      </c>
      <c r="M1673" s="85">
        <f t="shared" si="354"/>
        <v>1712.9</v>
      </c>
      <c r="N1673" s="13">
        <f t="shared" si="368"/>
        <v>0</v>
      </c>
      <c r="O1673" s="85">
        <f t="shared" si="355"/>
        <v>1712.9</v>
      </c>
      <c r="P1673" s="13">
        <f t="shared" si="368"/>
        <v>0</v>
      </c>
      <c r="Q1673" s="85">
        <f t="shared" si="361"/>
        <v>1712.9</v>
      </c>
      <c r="R1673" s="13">
        <f t="shared" si="368"/>
        <v>0</v>
      </c>
      <c r="S1673" s="85">
        <f t="shared" si="357"/>
        <v>1712.9</v>
      </c>
      <c r="T1673" s="13">
        <f t="shared" si="368"/>
        <v>0</v>
      </c>
      <c r="U1673" s="85">
        <f t="shared" si="362"/>
        <v>1712.9</v>
      </c>
    </row>
    <row r="1674" spans="1:22">
      <c r="A1674" s="61" t="str">
        <f ca="1">IF(ISERROR(MATCH(E1674,Код_КЦСР,0)),"",INDIRECT(ADDRESS(MATCH(E1674,Код_КЦСР,0)+1,2,,,"КЦСР")))</f>
        <v>Капитальный ремонт  объектов муниципальной собственности</v>
      </c>
      <c r="B1674" s="145">
        <v>811</v>
      </c>
      <c r="C1674" s="8" t="s">
        <v>222</v>
      </c>
      <c r="D1674" s="8" t="s">
        <v>213</v>
      </c>
      <c r="E1674" s="145" t="s">
        <v>77</v>
      </c>
      <c r="F1674" s="145"/>
      <c r="G1674" s="69"/>
      <c r="H1674" s="69"/>
      <c r="I1674" s="69"/>
      <c r="J1674" s="69"/>
      <c r="K1674" s="85"/>
      <c r="L1674" s="13">
        <f t="shared" si="368"/>
        <v>1712.9</v>
      </c>
      <c r="M1674" s="85">
        <f t="shared" si="354"/>
        <v>1712.9</v>
      </c>
      <c r="N1674" s="13">
        <f t="shared" si="368"/>
        <v>0</v>
      </c>
      <c r="O1674" s="85">
        <f t="shared" si="355"/>
        <v>1712.9</v>
      </c>
      <c r="P1674" s="13">
        <f t="shared" si="368"/>
        <v>0</v>
      </c>
      <c r="Q1674" s="85">
        <f t="shared" si="361"/>
        <v>1712.9</v>
      </c>
      <c r="R1674" s="13">
        <f t="shared" si="368"/>
        <v>0</v>
      </c>
      <c r="S1674" s="85">
        <f t="shared" si="357"/>
        <v>1712.9</v>
      </c>
      <c r="T1674" s="13">
        <f t="shared" si="368"/>
        <v>0</v>
      </c>
      <c r="U1674" s="85">
        <f t="shared" si="362"/>
        <v>1712.9</v>
      </c>
    </row>
    <row r="1675" spans="1:22">
      <c r="A1675" s="61" t="str">
        <f ca="1">IF(ISERROR(MATCH(F1675,Код_КВР,0)),"",INDIRECT(ADDRESS(MATCH(F1675,Код_КВР,0)+1,2,,,"КВР")))</f>
        <v>Закупка товаров, работ и услуг для муниципальных нужд</v>
      </c>
      <c r="B1675" s="145">
        <v>811</v>
      </c>
      <c r="C1675" s="8" t="s">
        <v>222</v>
      </c>
      <c r="D1675" s="8" t="s">
        <v>213</v>
      </c>
      <c r="E1675" s="145" t="s">
        <v>77</v>
      </c>
      <c r="F1675" s="145">
        <v>200</v>
      </c>
      <c r="G1675" s="69"/>
      <c r="H1675" s="69"/>
      <c r="I1675" s="69"/>
      <c r="J1675" s="69"/>
      <c r="K1675" s="85"/>
      <c r="L1675" s="13">
        <f t="shared" si="368"/>
        <v>1712.9</v>
      </c>
      <c r="M1675" s="85">
        <f t="shared" si="354"/>
        <v>1712.9</v>
      </c>
      <c r="N1675" s="13">
        <f t="shared" si="368"/>
        <v>0</v>
      </c>
      <c r="O1675" s="85">
        <f t="shared" si="355"/>
        <v>1712.9</v>
      </c>
      <c r="P1675" s="13">
        <f t="shared" si="368"/>
        <v>0</v>
      </c>
      <c r="Q1675" s="85">
        <f t="shared" si="361"/>
        <v>1712.9</v>
      </c>
      <c r="R1675" s="13">
        <f t="shared" si="368"/>
        <v>0</v>
      </c>
      <c r="S1675" s="85">
        <f t="shared" si="357"/>
        <v>1712.9</v>
      </c>
      <c r="T1675" s="13">
        <f t="shared" si="368"/>
        <v>0</v>
      </c>
      <c r="U1675" s="85">
        <f t="shared" si="362"/>
        <v>1712.9</v>
      </c>
    </row>
    <row r="1676" spans="1:22" ht="33">
      <c r="A1676" s="61" t="str">
        <f ca="1">IF(ISERROR(MATCH(F1676,Код_КВР,0)),"",INDIRECT(ADDRESS(MATCH(F1676,Код_КВР,0)+1,2,,,"КВР")))</f>
        <v>Иные закупки товаров, работ и услуг для обеспечения муниципальных нужд</v>
      </c>
      <c r="B1676" s="145">
        <v>811</v>
      </c>
      <c r="C1676" s="8" t="s">
        <v>222</v>
      </c>
      <c r="D1676" s="8" t="s">
        <v>213</v>
      </c>
      <c r="E1676" s="145" t="s">
        <v>77</v>
      </c>
      <c r="F1676" s="145">
        <v>240</v>
      </c>
      <c r="G1676" s="69"/>
      <c r="H1676" s="69"/>
      <c r="I1676" s="69"/>
      <c r="J1676" s="69"/>
      <c r="K1676" s="85"/>
      <c r="L1676" s="13">
        <f t="shared" si="368"/>
        <v>1712.9</v>
      </c>
      <c r="M1676" s="85">
        <f t="shared" si="354"/>
        <v>1712.9</v>
      </c>
      <c r="N1676" s="13">
        <f t="shared" si="368"/>
        <v>0</v>
      </c>
      <c r="O1676" s="85">
        <f t="shared" si="355"/>
        <v>1712.9</v>
      </c>
      <c r="P1676" s="13">
        <f t="shared" si="368"/>
        <v>0</v>
      </c>
      <c r="Q1676" s="85">
        <f t="shared" si="361"/>
        <v>1712.9</v>
      </c>
      <c r="R1676" s="13">
        <f t="shared" si="368"/>
        <v>0</v>
      </c>
      <c r="S1676" s="85">
        <f t="shared" si="357"/>
        <v>1712.9</v>
      </c>
      <c r="T1676" s="13">
        <f t="shared" si="368"/>
        <v>0</v>
      </c>
      <c r="U1676" s="85">
        <f t="shared" si="362"/>
        <v>1712.9</v>
      </c>
    </row>
    <row r="1677" spans="1:22" ht="33.75" customHeight="1">
      <c r="A1677" s="61" t="str">
        <f ca="1">IF(ISERROR(MATCH(F1677,Код_КВР,0)),"",INDIRECT(ADDRESS(MATCH(F1677,Код_КВР,0)+1,2,,,"КВР")))</f>
        <v>Закупка товаров, работ, услуг в целях капитального ремонта муниципального имущества</v>
      </c>
      <c r="B1677" s="145">
        <v>811</v>
      </c>
      <c r="C1677" s="8" t="s">
        <v>222</v>
      </c>
      <c r="D1677" s="8" t="s">
        <v>213</v>
      </c>
      <c r="E1677" s="145" t="s">
        <v>77</v>
      </c>
      <c r="F1677" s="145">
        <v>243</v>
      </c>
      <c r="G1677" s="69"/>
      <c r="H1677" s="69"/>
      <c r="I1677" s="69"/>
      <c r="J1677" s="69"/>
      <c r="K1677" s="85"/>
      <c r="L1677" s="13">
        <v>1712.9</v>
      </c>
      <c r="M1677" s="85">
        <f t="shared" si="354"/>
        <v>1712.9</v>
      </c>
      <c r="N1677" s="13"/>
      <c r="O1677" s="85">
        <f t="shared" si="355"/>
        <v>1712.9</v>
      </c>
      <c r="P1677" s="13"/>
      <c r="Q1677" s="85">
        <f t="shared" si="361"/>
        <v>1712.9</v>
      </c>
      <c r="R1677" s="13"/>
      <c r="S1677" s="85">
        <f t="shared" si="357"/>
        <v>1712.9</v>
      </c>
      <c r="T1677" s="13"/>
      <c r="U1677" s="85">
        <f t="shared" si="362"/>
        <v>1712.9</v>
      </c>
    </row>
    <row r="1678" spans="1:22" ht="20.25" customHeight="1">
      <c r="A1678" s="12" t="s">
        <v>163</v>
      </c>
      <c r="B1678" s="145">
        <v>811</v>
      </c>
      <c r="C1678" s="8" t="s">
        <v>222</v>
      </c>
      <c r="D1678" s="8" t="s">
        <v>216</v>
      </c>
      <c r="E1678" s="145"/>
      <c r="F1678" s="145"/>
      <c r="G1678" s="69"/>
      <c r="H1678" s="69"/>
      <c r="I1678" s="69"/>
      <c r="J1678" s="69"/>
      <c r="K1678" s="85"/>
      <c r="L1678" s="13"/>
      <c r="M1678" s="85"/>
      <c r="N1678" s="13"/>
      <c r="O1678" s="85"/>
      <c r="P1678" s="13"/>
      <c r="Q1678" s="85"/>
      <c r="R1678" s="13">
        <f>R1679</f>
        <v>5719.1</v>
      </c>
      <c r="S1678" s="85">
        <f t="shared" si="357"/>
        <v>5719.1</v>
      </c>
      <c r="T1678" s="13">
        <f>T1679</f>
        <v>-203.2</v>
      </c>
      <c r="U1678" s="85">
        <f t="shared" si="362"/>
        <v>5515.9000000000005</v>
      </c>
    </row>
    <row r="1679" spans="1:22" ht="51" customHeight="1">
      <c r="A1679" s="61" t="str">
        <f ca="1">IF(ISERROR(MATCH(E1679,Код_КЦСР,0)),"",INDIRECT(ADDRESS(MATCH(E1679,Код_КЦСР,0)+1,2,,,"КЦСР")))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79" s="145">
        <v>811</v>
      </c>
      <c r="C1679" s="8" t="s">
        <v>222</v>
      </c>
      <c r="D1679" s="8" t="s">
        <v>216</v>
      </c>
      <c r="E1679" s="145" t="s">
        <v>69</v>
      </c>
      <c r="F1679" s="145"/>
      <c r="G1679" s="69"/>
      <c r="H1679" s="69"/>
      <c r="I1679" s="69"/>
      <c r="J1679" s="69"/>
      <c r="K1679" s="85"/>
      <c r="L1679" s="13"/>
      <c r="M1679" s="85"/>
      <c r="N1679" s="13"/>
      <c r="O1679" s="85"/>
      <c r="P1679" s="13"/>
      <c r="Q1679" s="85"/>
      <c r="R1679" s="13">
        <f>R1680</f>
        <v>5719.1</v>
      </c>
      <c r="S1679" s="85">
        <f t="shared" si="357"/>
        <v>5719.1</v>
      </c>
      <c r="T1679" s="13">
        <f>T1680</f>
        <v>-203.2</v>
      </c>
      <c r="U1679" s="85">
        <f t="shared" si="362"/>
        <v>5515.9000000000005</v>
      </c>
    </row>
    <row r="1680" spans="1:22" ht="22.5" customHeight="1">
      <c r="A1680" s="61" t="str">
        <f ca="1">IF(ISERROR(MATCH(E1680,Код_КЦСР,0)),"",INDIRECT(ADDRESS(MATCH(E1680,Код_КЦСР,0)+1,2,,,"КЦСР")))</f>
        <v>Строительство объектов сметной стоимостью до 100 млн. рублей</v>
      </c>
      <c r="B1680" s="145">
        <v>811</v>
      </c>
      <c r="C1680" s="8" t="s">
        <v>222</v>
      </c>
      <c r="D1680" s="8" t="s">
        <v>216</v>
      </c>
      <c r="E1680" s="145" t="s">
        <v>72</v>
      </c>
      <c r="F1680" s="145"/>
      <c r="G1680" s="69"/>
      <c r="H1680" s="69"/>
      <c r="I1680" s="69"/>
      <c r="J1680" s="69"/>
      <c r="K1680" s="85"/>
      <c r="L1680" s="13"/>
      <c r="M1680" s="85"/>
      <c r="N1680" s="13"/>
      <c r="O1680" s="85"/>
      <c r="P1680" s="13"/>
      <c r="Q1680" s="85"/>
      <c r="R1680" s="13">
        <f>R1681</f>
        <v>5719.1</v>
      </c>
      <c r="S1680" s="85">
        <f t="shared" si="357"/>
        <v>5719.1</v>
      </c>
      <c r="T1680" s="13">
        <f>T1681</f>
        <v>-203.2</v>
      </c>
      <c r="U1680" s="85">
        <f t="shared" si="362"/>
        <v>5515.9000000000005</v>
      </c>
    </row>
    <row r="1681" spans="1:21" ht="35.25" customHeight="1">
      <c r="A1681" s="61" t="str">
        <f ca="1">IF(ISERROR(MATCH(F1681,Код_КВР,0)),"",INDIRECT(ADDRESS(MATCH(F1681,Код_КВР,0)+1,2,,,"КВР")))</f>
        <v>Капитальные вложения в объекты недвижимого имущества муниципальной собственности</v>
      </c>
      <c r="B1681" s="145">
        <v>811</v>
      </c>
      <c r="C1681" s="8" t="s">
        <v>222</v>
      </c>
      <c r="D1681" s="8" t="s">
        <v>216</v>
      </c>
      <c r="E1681" s="145" t="s">
        <v>72</v>
      </c>
      <c r="F1681" s="145">
        <v>400</v>
      </c>
      <c r="G1681" s="69"/>
      <c r="H1681" s="69"/>
      <c r="I1681" s="69"/>
      <c r="J1681" s="69"/>
      <c r="K1681" s="85"/>
      <c r="L1681" s="13"/>
      <c r="M1681" s="85"/>
      <c r="N1681" s="13"/>
      <c r="O1681" s="85"/>
      <c r="P1681" s="13"/>
      <c r="Q1681" s="85"/>
      <c r="R1681" s="13">
        <f>R1682</f>
        <v>5719.1</v>
      </c>
      <c r="S1681" s="85">
        <f t="shared" si="357"/>
        <v>5719.1</v>
      </c>
      <c r="T1681" s="13">
        <f>T1682</f>
        <v>-203.2</v>
      </c>
      <c r="U1681" s="85">
        <f t="shared" si="362"/>
        <v>5515.9000000000005</v>
      </c>
    </row>
    <row r="1682" spans="1:21" ht="18.75" customHeight="1">
      <c r="A1682" s="61" t="str">
        <f ca="1">IF(ISERROR(MATCH(F1682,Код_КВР,0)),"",INDIRECT(ADDRESS(MATCH(F1682,Код_КВР,0)+1,2,,,"КВР")))</f>
        <v>Бюджетные инвестиции</v>
      </c>
      <c r="B1682" s="145">
        <v>811</v>
      </c>
      <c r="C1682" s="8" t="s">
        <v>222</v>
      </c>
      <c r="D1682" s="8" t="s">
        <v>216</v>
      </c>
      <c r="E1682" s="145" t="s">
        <v>72</v>
      </c>
      <c r="F1682" s="145">
        <v>410</v>
      </c>
      <c r="G1682" s="69"/>
      <c r="H1682" s="69"/>
      <c r="I1682" s="69"/>
      <c r="J1682" s="69"/>
      <c r="K1682" s="85"/>
      <c r="L1682" s="13"/>
      <c r="M1682" s="85"/>
      <c r="N1682" s="13"/>
      <c r="O1682" s="85"/>
      <c r="P1682" s="13"/>
      <c r="Q1682" s="85"/>
      <c r="R1682" s="13">
        <f>R1683</f>
        <v>5719.1</v>
      </c>
      <c r="S1682" s="85">
        <f t="shared" si="357"/>
        <v>5719.1</v>
      </c>
      <c r="T1682" s="13">
        <f>T1683</f>
        <v>-203.2</v>
      </c>
      <c r="U1682" s="85">
        <f t="shared" si="362"/>
        <v>5515.9000000000005</v>
      </c>
    </row>
    <row r="1683" spans="1:21" ht="33.75" customHeight="1">
      <c r="A1683" s="61" t="str">
        <f ca="1">IF(ISERROR(MATCH(F1683,Код_КВР,0)),"",INDIRECT(ADDRESS(MATCH(F1683,Код_КВР,0)+1,2,,,"КВР")))</f>
        <v>Бюджетные инвестиции в объекты капитального строительства муниципальной собственности</v>
      </c>
      <c r="B1683" s="145">
        <v>811</v>
      </c>
      <c r="C1683" s="8" t="s">
        <v>222</v>
      </c>
      <c r="D1683" s="8" t="s">
        <v>216</v>
      </c>
      <c r="E1683" s="145" t="s">
        <v>72</v>
      </c>
      <c r="F1683" s="145">
        <v>414</v>
      </c>
      <c r="G1683" s="69"/>
      <c r="H1683" s="69"/>
      <c r="I1683" s="69"/>
      <c r="J1683" s="69"/>
      <c r="K1683" s="85"/>
      <c r="L1683" s="13"/>
      <c r="M1683" s="85"/>
      <c r="N1683" s="13"/>
      <c r="O1683" s="85"/>
      <c r="P1683" s="13"/>
      <c r="Q1683" s="85"/>
      <c r="R1683" s="13">
        <f>7374.2-3017.1+1362</f>
        <v>5719.1</v>
      </c>
      <c r="S1683" s="85">
        <f t="shared" si="357"/>
        <v>5719.1</v>
      </c>
      <c r="T1683" s="13">
        <f>-203.2</f>
        <v>-203.2</v>
      </c>
      <c r="U1683" s="85">
        <f t="shared" si="362"/>
        <v>5515.9000000000005</v>
      </c>
    </row>
    <row r="1684" spans="1:21">
      <c r="A1684" s="61" t="str">
        <f ca="1">IF(ISERROR(MATCH(C1684,Код_Раздел,0)),"",INDIRECT(ADDRESS(MATCH(C1684,Код_Раздел,0)+1,2,,,"Раздел")))</f>
        <v>Физическая культура и спорт</v>
      </c>
      <c r="B1684" s="145">
        <v>811</v>
      </c>
      <c r="C1684" s="8" t="s">
        <v>224</v>
      </c>
      <c r="D1684" s="8"/>
      <c r="E1684" s="145"/>
      <c r="F1684" s="145"/>
      <c r="G1684" s="69">
        <f t="shared" ref="G1684:T1690" si="369">G1685</f>
        <v>10000</v>
      </c>
      <c r="H1684" s="69">
        <f t="shared" si="369"/>
        <v>0</v>
      </c>
      <c r="I1684" s="69">
        <f t="shared" si="366"/>
        <v>10000</v>
      </c>
      <c r="J1684" s="69">
        <f t="shared" si="369"/>
        <v>2813.9</v>
      </c>
      <c r="K1684" s="85">
        <f t="shared" si="360"/>
        <v>12813.9</v>
      </c>
      <c r="L1684" s="13">
        <f t="shared" si="369"/>
        <v>0</v>
      </c>
      <c r="M1684" s="85">
        <f t="shared" si="354"/>
        <v>12813.9</v>
      </c>
      <c r="N1684" s="13">
        <f t="shared" si="369"/>
        <v>0</v>
      </c>
      <c r="O1684" s="85">
        <f t="shared" si="355"/>
        <v>12813.9</v>
      </c>
      <c r="P1684" s="13">
        <f t="shared" si="369"/>
        <v>0</v>
      </c>
      <c r="Q1684" s="85">
        <f t="shared" si="361"/>
        <v>12813.9</v>
      </c>
      <c r="R1684" s="13">
        <f t="shared" si="369"/>
        <v>0</v>
      </c>
      <c r="S1684" s="85">
        <f t="shared" si="357"/>
        <v>12813.9</v>
      </c>
      <c r="T1684" s="13">
        <f t="shared" si="369"/>
        <v>0</v>
      </c>
      <c r="U1684" s="85">
        <f t="shared" si="362"/>
        <v>12813.9</v>
      </c>
    </row>
    <row r="1685" spans="1:21">
      <c r="A1685" s="12" t="s">
        <v>192</v>
      </c>
      <c r="B1685" s="145">
        <v>811</v>
      </c>
      <c r="C1685" s="8" t="s">
        <v>224</v>
      </c>
      <c r="D1685" s="8" t="s">
        <v>221</v>
      </c>
      <c r="E1685" s="145"/>
      <c r="F1685" s="145"/>
      <c r="G1685" s="69">
        <f t="shared" si="369"/>
        <v>10000</v>
      </c>
      <c r="H1685" s="69">
        <f t="shared" si="369"/>
        <v>0</v>
      </c>
      <c r="I1685" s="69">
        <f t="shared" si="366"/>
        <v>10000</v>
      </c>
      <c r="J1685" s="69">
        <f>J1686+J1692</f>
        <v>2813.9</v>
      </c>
      <c r="K1685" s="85">
        <f t="shared" si="360"/>
        <v>12813.9</v>
      </c>
      <c r="L1685" s="13">
        <f>L1686+L1692</f>
        <v>0</v>
      </c>
      <c r="M1685" s="85">
        <f t="shared" si="354"/>
        <v>12813.9</v>
      </c>
      <c r="N1685" s="13">
        <f>N1686+N1692</f>
        <v>0</v>
      </c>
      <c r="O1685" s="85">
        <f t="shared" si="355"/>
        <v>12813.9</v>
      </c>
      <c r="P1685" s="13">
        <f>P1686+P1692</f>
        <v>0</v>
      </c>
      <c r="Q1685" s="85">
        <f t="shared" si="361"/>
        <v>12813.9</v>
      </c>
      <c r="R1685" s="13">
        <f>R1686+R1692</f>
        <v>0</v>
      </c>
      <c r="S1685" s="85">
        <f t="shared" si="357"/>
        <v>12813.9</v>
      </c>
      <c r="T1685" s="13">
        <f>T1686+T1692</f>
        <v>0</v>
      </c>
      <c r="U1685" s="85">
        <f t="shared" si="362"/>
        <v>12813.9</v>
      </c>
    </row>
    <row r="1686" spans="1:21" ht="49.5">
      <c r="A1686" s="61" t="str">
        <f ca="1">IF(ISERROR(MATCH(E1686,Код_КЦСР,0)),"",INDIRECT(ADDRESS(MATCH(E1686,Код_КЦСР,0)+1,2,,,"КЦСР")))</f>
        <v>Муниципальная программа «Строительство, реконструкция, модернизация и капитальный ремонт объектов муниципальной собственности города Череповца» на 2014-2018 годы</v>
      </c>
      <c r="B1686" s="145">
        <v>811</v>
      </c>
      <c r="C1686" s="8" t="s">
        <v>224</v>
      </c>
      <c r="D1686" s="8" t="s">
        <v>221</v>
      </c>
      <c r="E1686" s="145" t="s">
        <v>69</v>
      </c>
      <c r="F1686" s="145"/>
      <c r="G1686" s="69">
        <f t="shared" si="369"/>
        <v>10000</v>
      </c>
      <c r="H1686" s="69">
        <f t="shared" si="369"/>
        <v>0</v>
      </c>
      <c r="I1686" s="69">
        <f t="shared" si="366"/>
        <v>10000</v>
      </c>
      <c r="J1686" s="69">
        <f t="shared" si="369"/>
        <v>0</v>
      </c>
      <c r="K1686" s="85">
        <f t="shared" si="360"/>
        <v>10000</v>
      </c>
      <c r="L1686" s="13">
        <f t="shared" si="369"/>
        <v>0</v>
      </c>
      <c r="M1686" s="85">
        <f t="shared" si="354"/>
        <v>10000</v>
      </c>
      <c r="N1686" s="13">
        <f t="shared" si="369"/>
        <v>0</v>
      </c>
      <c r="O1686" s="85">
        <f t="shared" si="355"/>
        <v>10000</v>
      </c>
      <c r="P1686" s="13">
        <f t="shared" si="369"/>
        <v>0</v>
      </c>
      <c r="Q1686" s="85">
        <f t="shared" si="361"/>
        <v>10000</v>
      </c>
      <c r="R1686" s="13">
        <f t="shared" si="369"/>
        <v>0</v>
      </c>
      <c r="S1686" s="85">
        <f t="shared" si="357"/>
        <v>10000</v>
      </c>
      <c r="T1686" s="13">
        <f t="shared" si="369"/>
        <v>0</v>
      </c>
      <c r="U1686" s="85">
        <f t="shared" si="362"/>
        <v>10000</v>
      </c>
    </row>
    <row r="1687" spans="1:21" ht="33">
      <c r="A1687" s="61" t="str">
        <f ca="1">IF(ISERROR(MATCH(E1687,Код_КЦСР,0)),"",INDIRECT(ADDRESS(MATCH(E1687,Код_КЦСР,0)+1,2,,,"КЦСР")))</f>
        <v>Капитальное строительство и реконструкция объектов муниципальной собственности</v>
      </c>
      <c r="B1687" s="145">
        <v>811</v>
      </c>
      <c r="C1687" s="8" t="s">
        <v>224</v>
      </c>
      <c r="D1687" s="8" t="s">
        <v>221</v>
      </c>
      <c r="E1687" s="145" t="s">
        <v>71</v>
      </c>
      <c r="F1687" s="145"/>
      <c r="G1687" s="69">
        <f t="shared" si="369"/>
        <v>10000</v>
      </c>
      <c r="H1687" s="69">
        <f t="shared" si="369"/>
        <v>0</v>
      </c>
      <c r="I1687" s="69">
        <f t="shared" si="366"/>
        <v>10000</v>
      </c>
      <c r="J1687" s="69">
        <f t="shared" si="369"/>
        <v>0</v>
      </c>
      <c r="K1687" s="85">
        <f t="shared" si="360"/>
        <v>10000</v>
      </c>
      <c r="L1687" s="13">
        <f t="shared" si="369"/>
        <v>0</v>
      </c>
      <c r="M1687" s="85">
        <f t="shared" si="354"/>
        <v>10000</v>
      </c>
      <c r="N1687" s="13">
        <f t="shared" si="369"/>
        <v>0</v>
      </c>
      <c r="O1687" s="85">
        <f t="shared" si="355"/>
        <v>10000</v>
      </c>
      <c r="P1687" s="13">
        <f t="shared" si="369"/>
        <v>0</v>
      </c>
      <c r="Q1687" s="85">
        <f t="shared" si="361"/>
        <v>10000</v>
      </c>
      <c r="R1687" s="13">
        <f t="shared" si="369"/>
        <v>0</v>
      </c>
      <c r="S1687" s="85">
        <f t="shared" si="357"/>
        <v>10000</v>
      </c>
      <c r="T1687" s="13">
        <f t="shared" si="369"/>
        <v>0</v>
      </c>
      <c r="U1687" s="85">
        <f t="shared" si="362"/>
        <v>10000</v>
      </c>
    </row>
    <row r="1688" spans="1:21">
      <c r="A1688" s="61" t="str">
        <f ca="1">IF(ISERROR(MATCH(E1688,Код_КЦСР,0)),"",INDIRECT(ADDRESS(MATCH(E1688,Код_КЦСР,0)+1,2,,,"КЦСР")))</f>
        <v>Строительство объектов сметной стоимостью до 100 млн. рублей</v>
      </c>
      <c r="B1688" s="145">
        <v>811</v>
      </c>
      <c r="C1688" s="8" t="s">
        <v>224</v>
      </c>
      <c r="D1688" s="8" t="s">
        <v>221</v>
      </c>
      <c r="E1688" s="145" t="s">
        <v>72</v>
      </c>
      <c r="F1688" s="145"/>
      <c r="G1688" s="69">
        <f t="shared" si="369"/>
        <v>10000</v>
      </c>
      <c r="H1688" s="69">
        <f t="shared" si="369"/>
        <v>0</v>
      </c>
      <c r="I1688" s="69">
        <f t="shared" si="366"/>
        <v>10000</v>
      </c>
      <c r="J1688" s="69">
        <f t="shared" si="369"/>
        <v>0</v>
      </c>
      <c r="K1688" s="85">
        <f t="shared" si="360"/>
        <v>10000</v>
      </c>
      <c r="L1688" s="13">
        <f t="shared" si="369"/>
        <v>0</v>
      </c>
      <c r="M1688" s="85">
        <f t="shared" si="354"/>
        <v>10000</v>
      </c>
      <c r="N1688" s="13">
        <f t="shared" si="369"/>
        <v>0</v>
      </c>
      <c r="O1688" s="85">
        <f t="shared" si="355"/>
        <v>10000</v>
      </c>
      <c r="P1688" s="13">
        <f t="shared" si="369"/>
        <v>0</v>
      </c>
      <c r="Q1688" s="85">
        <f t="shared" si="361"/>
        <v>10000</v>
      </c>
      <c r="R1688" s="13">
        <f t="shared" si="369"/>
        <v>0</v>
      </c>
      <c r="S1688" s="85">
        <f t="shared" si="357"/>
        <v>10000</v>
      </c>
      <c r="T1688" s="13">
        <f t="shared" si="369"/>
        <v>0</v>
      </c>
      <c r="U1688" s="85">
        <f t="shared" si="362"/>
        <v>10000</v>
      </c>
    </row>
    <row r="1689" spans="1:21" ht="33">
      <c r="A1689" s="61" t="str">
        <f ca="1">IF(ISERROR(MATCH(F1689,Код_КВР,0)),"",INDIRECT(ADDRESS(MATCH(F1689,Код_КВР,0)+1,2,,,"КВР")))</f>
        <v>Капитальные вложения в объекты недвижимого имущества муниципальной собственности</v>
      </c>
      <c r="B1689" s="145">
        <v>811</v>
      </c>
      <c r="C1689" s="8" t="s">
        <v>224</v>
      </c>
      <c r="D1689" s="8" t="s">
        <v>221</v>
      </c>
      <c r="E1689" s="145" t="s">
        <v>72</v>
      </c>
      <c r="F1689" s="145">
        <v>400</v>
      </c>
      <c r="G1689" s="69">
        <f t="shared" si="369"/>
        <v>10000</v>
      </c>
      <c r="H1689" s="69">
        <f t="shared" si="369"/>
        <v>0</v>
      </c>
      <c r="I1689" s="69">
        <f t="shared" si="366"/>
        <v>10000</v>
      </c>
      <c r="J1689" s="69">
        <f t="shared" si="369"/>
        <v>0</v>
      </c>
      <c r="K1689" s="85">
        <f t="shared" si="360"/>
        <v>10000</v>
      </c>
      <c r="L1689" s="13">
        <f t="shared" si="369"/>
        <v>0</v>
      </c>
      <c r="M1689" s="85">
        <f t="shared" si="354"/>
        <v>10000</v>
      </c>
      <c r="N1689" s="13">
        <f t="shared" si="369"/>
        <v>0</v>
      </c>
      <c r="O1689" s="85">
        <f t="shared" si="355"/>
        <v>10000</v>
      </c>
      <c r="P1689" s="13">
        <f t="shared" si="369"/>
        <v>0</v>
      </c>
      <c r="Q1689" s="85">
        <f t="shared" si="361"/>
        <v>10000</v>
      </c>
      <c r="R1689" s="13">
        <f t="shared" si="369"/>
        <v>0</v>
      </c>
      <c r="S1689" s="85">
        <f t="shared" si="357"/>
        <v>10000</v>
      </c>
      <c r="T1689" s="13">
        <f t="shared" si="369"/>
        <v>0</v>
      </c>
      <c r="U1689" s="85">
        <f t="shared" si="362"/>
        <v>10000</v>
      </c>
    </row>
    <row r="1690" spans="1:21">
      <c r="A1690" s="61" t="str">
        <f ca="1">IF(ISERROR(MATCH(F1690,Код_КВР,0)),"",INDIRECT(ADDRESS(MATCH(F1690,Код_КВР,0)+1,2,,,"КВР")))</f>
        <v>Бюджетные инвестиции</v>
      </c>
      <c r="B1690" s="145">
        <v>811</v>
      </c>
      <c r="C1690" s="8" t="s">
        <v>224</v>
      </c>
      <c r="D1690" s="8" t="s">
        <v>221</v>
      </c>
      <c r="E1690" s="145" t="s">
        <v>72</v>
      </c>
      <c r="F1690" s="145">
        <v>410</v>
      </c>
      <c r="G1690" s="69">
        <f t="shared" si="369"/>
        <v>10000</v>
      </c>
      <c r="H1690" s="69">
        <f t="shared" si="369"/>
        <v>0</v>
      </c>
      <c r="I1690" s="69">
        <f t="shared" si="366"/>
        <v>10000</v>
      </c>
      <c r="J1690" s="69">
        <f t="shared" si="369"/>
        <v>0</v>
      </c>
      <c r="K1690" s="85">
        <f t="shared" si="360"/>
        <v>10000</v>
      </c>
      <c r="L1690" s="13">
        <f t="shared" si="369"/>
        <v>0</v>
      </c>
      <c r="M1690" s="85">
        <f t="shared" si="354"/>
        <v>10000</v>
      </c>
      <c r="N1690" s="13">
        <f t="shared" si="369"/>
        <v>0</v>
      </c>
      <c r="O1690" s="85">
        <f t="shared" si="355"/>
        <v>10000</v>
      </c>
      <c r="P1690" s="13">
        <f t="shared" si="369"/>
        <v>0</v>
      </c>
      <c r="Q1690" s="85">
        <f t="shared" si="361"/>
        <v>10000</v>
      </c>
      <c r="R1690" s="13">
        <f t="shared" si="369"/>
        <v>0</v>
      </c>
      <c r="S1690" s="85">
        <f t="shared" si="357"/>
        <v>10000</v>
      </c>
      <c r="T1690" s="13">
        <f t="shared" si="369"/>
        <v>0</v>
      </c>
      <c r="U1690" s="85">
        <f t="shared" si="362"/>
        <v>10000</v>
      </c>
    </row>
    <row r="1691" spans="1:21" ht="33">
      <c r="A1691" s="61" t="str">
        <f ca="1">IF(ISERROR(MATCH(F1691,Код_КВР,0)),"",INDIRECT(ADDRESS(MATCH(F1691,Код_КВР,0)+1,2,,,"КВР")))</f>
        <v>Бюджетные инвестиции в объекты капитального строительства муниципальной собственности</v>
      </c>
      <c r="B1691" s="145">
        <v>811</v>
      </c>
      <c r="C1691" s="8" t="s">
        <v>224</v>
      </c>
      <c r="D1691" s="8" t="s">
        <v>221</v>
      </c>
      <c r="E1691" s="145" t="s">
        <v>72</v>
      </c>
      <c r="F1691" s="145">
        <v>414</v>
      </c>
      <c r="G1691" s="69">
        <v>10000</v>
      </c>
      <c r="H1691" s="69"/>
      <c r="I1691" s="69">
        <f t="shared" si="366"/>
        <v>10000</v>
      </c>
      <c r="J1691" s="69"/>
      <c r="K1691" s="85">
        <f t="shared" si="360"/>
        <v>10000</v>
      </c>
      <c r="L1691" s="13"/>
      <c r="M1691" s="85">
        <f t="shared" si="354"/>
        <v>10000</v>
      </c>
      <c r="N1691" s="13"/>
      <c r="O1691" s="85">
        <f t="shared" si="355"/>
        <v>10000</v>
      </c>
      <c r="P1691" s="13"/>
      <c r="Q1691" s="85">
        <f t="shared" si="361"/>
        <v>10000</v>
      </c>
      <c r="R1691" s="13"/>
      <c r="S1691" s="85">
        <f t="shared" si="357"/>
        <v>10000</v>
      </c>
      <c r="T1691" s="13"/>
      <c r="U1691" s="85">
        <f t="shared" si="362"/>
        <v>10000</v>
      </c>
    </row>
    <row r="1692" spans="1:21" ht="33">
      <c r="A1692" s="61" t="str">
        <f ca="1">IF(ISERROR(MATCH(E1692,Код_КЦСР,0)),"",INDIRECT(ADDRESS(MATCH(E1692,Код_КЦСР,0)+1,2,,,"КЦСР")))</f>
        <v>Непрограммные направления деятельности органов местного самоуправления</v>
      </c>
      <c r="B1692" s="145">
        <v>811</v>
      </c>
      <c r="C1692" s="8" t="s">
        <v>224</v>
      </c>
      <c r="D1692" s="8" t="s">
        <v>221</v>
      </c>
      <c r="E1692" s="145" t="s">
        <v>299</v>
      </c>
      <c r="F1692" s="145"/>
      <c r="G1692" s="69"/>
      <c r="H1692" s="69"/>
      <c r="I1692" s="69"/>
      <c r="J1692" s="69">
        <f>J1693</f>
        <v>2813.9</v>
      </c>
      <c r="K1692" s="85">
        <f t="shared" si="360"/>
        <v>2813.9</v>
      </c>
      <c r="L1692" s="13">
        <f>L1693</f>
        <v>0</v>
      </c>
      <c r="M1692" s="85">
        <f t="shared" si="354"/>
        <v>2813.9</v>
      </c>
      <c r="N1692" s="13">
        <f>N1693</f>
        <v>0</v>
      </c>
      <c r="O1692" s="85">
        <f t="shared" si="355"/>
        <v>2813.9</v>
      </c>
      <c r="P1692" s="13">
        <f>P1693</f>
        <v>0</v>
      </c>
      <c r="Q1692" s="85">
        <f t="shared" si="361"/>
        <v>2813.9</v>
      </c>
      <c r="R1692" s="13">
        <f>R1693</f>
        <v>0</v>
      </c>
      <c r="S1692" s="85">
        <f t="shared" si="357"/>
        <v>2813.9</v>
      </c>
      <c r="T1692" s="13">
        <f>T1693</f>
        <v>0</v>
      </c>
      <c r="U1692" s="85">
        <f t="shared" si="362"/>
        <v>2813.9</v>
      </c>
    </row>
    <row r="1693" spans="1:21">
      <c r="A1693" s="61" t="str">
        <f ca="1">IF(ISERROR(MATCH(E1693,Код_КЦСР,0)),"",INDIRECT(ADDRESS(MATCH(E1693,Код_КЦСР,0)+1,2,,,"КЦСР")))</f>
        <v>Расходы, не включенные в муниципальные программы города Череповца</v>
      </c>
      <c r="B1693" s="145">
        <v>811</v>
      </c>
      <c r="C1693" s="8" t="s">
        <v>224</v>
      </c>
      <c r="D1693" s="8" t="s">
        <v>221</v>
      </c>
      <c r="E1693" s="145" t="s">
        <v>301</v>
      </c>
      <c r="F1693" s="145"/>
      <c r="G1693" s="69"/>
      <c r="H1693" s="69"/>
      <c r="I1693" s="69"/>
      <c r="J1693" s="69">
        <f>J1694</f>
        <v>2813.9</v>
      </c>
      <c r="K1693" s="85">
        <f t="shared" si="360"/>
        <v>2813.9</v>
      </c>
      <c r="L1693" s="13">
        <f>L1694</f>
        <v>0</v>
      </c>
      <c r="M1693" s="85">
        <f t="shared" si="354"/>
        <v>2813.9</v>
      </c>
      <c r="N1693" s="13">
        <f>N1694</f>
        <v>0</v>
      </c>
      <c r="O1693" s="85">
        <f t="shared" si="355"/>
        <v>2813.9</v>
      </c>
      <c r="P1693" s="13">
        <f>P1694</f>
        <v>0</v>
      </c>
      <c r="Q1693" s="85">
        <f t="shared" si="361"/>
        <v>2813.9</v>
      </c>
      <c r="R1693" s="13">
        <f>R1694</f>
        <v>0</v>
      </c>
      <c r="S1693" s="85">
        <f t="shared" si="357"/>
        <v>2813.9</v>
      </c>
      <c r="T1693" s="13">
        <f>T1694</f>
        <v>0</v>
      </c>
      <c r="U1693" s="85">
        <f t="shared" si="362"/>
        <v>2813.9</v>
      </c>
    </row>
    <row r="1694" spans="1:21">
      <c r="A1694" s="61" t="str">
        <f ca="1">IF(ISERROR(MATCH(E1694,Код_КЦСР,0)),"",INDIRECT(ADDRESS(MATCH(E1694,Код_КЦСР,0)+1,2,,,"КЦСР")))</f>
        <v>Кредиторская задолженность, сложившаяся по итогам 2013 года</v>
      </c>
      <c r="B1694" s="145">
        <v>811</v>
      </c>
      <c r="C1694" s="8" t="s">
        <v>224</v>
      </c>
      <c r="D1694" s="8" t="s">
        <v>221</v>
      </c>
      <c r="E1694" s="145" t="s">
        <v>371</v>
      </c>
      <c r="F1694" s="145"/>
      <c r="G1694" s="69"/>
      <c r="H1694" s="69"/>
      <c r="I1694" s="69"/>
      <c r="J1694" s="69">
        <f>J1695</f>
        <v>2813.9</v>
      </c>
      <c r="K1694" s="85">
        <f t="shared" si="360"/>
        <v>2813.9</v>
      </c>
      <c r="L1694" s="13">
        <f>L1695</f>
        <v>0</v>
      </c>
      <c r="M1694" s="85">
        <f t="shared" si="354"/>
        <v>2813.9</v>
      </c>
      <c r="N1694" s="13">
        <f>N1695</f>
        <v>0</v>
      </c>
      <c r="O1694" s="85">
        <f t="shared" si="355"/>
        <v>2813.9</v>
      </c>
      <c r="P1694" s="13">
        <f>P1695</f>
        <v>0</v>
      </c>
      <c r="Q1694" s="85">
        <f t="shared" si="361"/>
        <v>2813.9</v>
      </c>
      <c r="R1694" s="13">
        <f>R1695</f>
        <v>0</v>
      </c>
      <c r="S1694" s="85">
        <f t="shared" si="357"/>
        <v>2813.9</v>
      </c>
      <c r="T1694" s="13">
        <f>T1695</f>
        <v>0</v>
      </c>
      <c r="U1694" s="85">
        <f t="shared" si="362"/>
        <v>2813.9</v>
      </c>
    </row>
    <row r="1695" spans="1:21" ht="33">
      <c r="A1695" s="61" t="str">
        <f ca="1">IF(ISERROR(MATCH(F1695,Код_КВР,0)),"",INDIRECT(ADDRESS(MATCH(F1695,Код_КВР,0)+1,2,,,"КВР")))</f>
        <v>Капитальные вложения в объекты недвижимого имущества муниципальной собственности</v>
      </c>
      <c r="B1695" s="145">
        <v>811</v>
      </c>
      <c r="C1695" s="8" t="s">
        <v>224</v>
      </c>
      <c r="D1695" s="8" t="s">
        <v>221</v>
      </c>
      <c r="E1695" s="145" t="s">
        <v>371</v>
      </c>
      <c r="F1695" s="145">
        <v>400</v>
      </c>
      <c r="G1695" s="69"/>
      <c r="H1695" s="69"/>
      <c r="I1695" s="69"/>
      <c r="J1695" s="69">
        <f>J1696</f>
        <v>2813.9</v>
      </c>
      <c r="K1695" s="85">
        <f t="shared" si="360"/>
        <v>2813.9</v>
      </c>
      <c r="L1695" s="13">
        <f>L1696</f>
        <v>0</v>
      </c>
      <c r="M1695" s="85">
        <f t="shared" si="354"/>
        <v>2813.9</v>
      </c>
      <c r="N1695" s="13">
        <f>N1696</f>
        <v>0</v>
      </c>
      <c r="O1695" s="85">
        <f t="shared" si="355"/>
        <v>2813.9</v>
      </c>
      <c r="P1695" s="13">
        <f>P1696</f>
        <v>0</v>
      </c>
      <c r="Q1695" s="85">
        <f t="shared" si="361"/>
        <v>2813.9</v>
      </c>
      <c r="R1695" s="13">
        <f>R1696</f>
        <v>0</v>
      </c>
      <c r="S1695" s="85">
        <f t="shared" si="357"/>
        <v>2813.9</v>
      </c>
      <c r="T1695" s="13">
        <f>T1696</f>
        <v>0</v>
      </c>
      <c r="U1695" s="85">
        <f t="shared" si="362"/>
        <v>2813.9</v>
      </c>
    </row>
    <row r="1696" spans="1:21">
      <c r="A1696" s="61" t="str">
        <f ca="1">IF(ISERROR(MATCH(F1696,Код_КВР,0)),"",INDIRECT(ADDRESS(MATCH(F1696,Код_КВР,0)+1,2,,,"КВР")))</f>
        <v>Бюджетные инвестиции</v>
      </c>
      <c r="B1696" s="145">
        <v>811</v>
      </c>
      <c r="C1696" s="8" t="s">
        <v>224</v>
      </c>
      <c r="D1696" s="8" t="s">
        <v>221</v>
      </c>
      <c r="E1696" s="145" t="s">
        <v>371</v>
      </c>
      <c r="F1696" s="145">
        <v>410</v>
      </c>
      <c r="G1696" s="69"/>
      <c r="H1696" s="69"/>
      <c r="I1696" s="69"/>
      <c r="J1696" s="69">
        <f>J1697</f>
        <v>2813.9</v>
      </c>
      <c r="K1696" s="85">
        <f t="shared" si="360"/>
        <v>2813.9</v>
      </c>
      <c r="L1696" s="13">
        <f>L1697</f>
        <v>0</v>
      </c>
      <c r="M1696" s="85">
        <f t="shared" si="354"/>
        <v>2813.9</v>
      </c>
      <c r="N1696" s="13">
        <f>N1697</f>
        <v>0</v>
      </c>
      <c r="O1696" s="85">
        <f t="shared" si="355"/>
        <v>2813.9</v>
      </c>
      <c r="P1696" s="13">
        <f>P1697</f>
        <v>0</v>
      </c>
      <c r="Q1696" s="85">
        <f t="shared" si="361"/>
        <v>2813.9</v>
      </c>
      <c r="R1696" s="13">
        <f>R1697</f>
        <v>0</v>
      </c>
      <c r="S1696" s="85">
        <f t="shared" si="357"/>
        <v>2813.9</v>
      </c>
      <c r="T1696" s="13">
        <f>T1697</f>
        <v>0</v>
      </c>
      <c r="U1696" s="85">
        <f t="shared" si="362"/>
        <v>2813.9</v>
      </c>
    </row>
    <row r="1697" spans="1:21" ht="33">
      <c r="A1697" s="61" t="str">
        <f ca="1">IF(ISERROR(MATCH(F1697,Код_КВР,0)),"",INDIRECT(ADDRESS(MATCH(F1697,Код_КВР,0)+1,2,,,"КВР")))</f>
        <v>Бюджетные инвестиции в объекты капитального строительства муниципальной собственности</v>
      </c>
      <c r="B1697" s="145">
        <v>811</v>
      </c>
      <c r="C1697" s="8" t="s">
        <v>224</v>
      </c>
      <c r="D1697" s="8" t="s">
        <v>221</v>
      </c>
      <c r="E1697" s="145" t="s">
        <v>371</v>
      </c>
      <c r="F1697" s="145">
        <v>414</v>
      </c>
      <c r="G1697" s="69"/>
      <c r="H1697" s="69"/>
      <c r="I1697" s="69"/>
      <c r="J1697" s="69">
        <v>2813.9</v>
      </c>
      <c r="K1697" s="85">
        <f t="shared" si="360"/>
        <v>2813.9</v>
      </c>
      <c r="L1697" s="13"/>
      <c r="M1697" s="85">
        <f t="shared" si="354"/>
        <v>2813.9</v>
      </c>
      <c r="N1697" s="13"/>
      <c r="O1697" s="85">
        <f t="shared" si="355"/>
        <v>2813.9</v>
      </c>
      <c r="P1697" s="13"/>
      <c r="Q1697" s="85">
        <f t="shared" si="361"/>
        <v>2813.9</v>
      </c>
      <c r="R1697" s="13"/>
      <c r="S1697" s="85">
        <f t="shared" si="357"/>
        <v>2813.9</v>
      </c>
      <c r="T1697" s="13"/>
      <c r="U1697" s="85">
        <f t="shared" si="362"/>
        <v>2813.9</v>
      </c>
    </row>
    <row r="1698" spans="1:21">
      <c r="A1698" s="61" t="str">
        <f ca="1">IF(ISERROR(MATCH(B1698,Код_ППП,0)),"",INDIRECT(ADDRESS(MATCH(B1698,Код_ППП,0)+1,2,,,"ППП")))</f>
        <v xml:space="preserve">КОНТРОЛЬНО-СЧЕТНАЯ ПАЛАТА ГОРОДА ЧЕРЕПОВЦА </v>
      </c>
      <c r="B1698" s="145">
        <v>812</v>
      </c>
      <c r="C1698" s="8"/>
      <c r="D1698" s="8"/>
      <c r="E1698" s="145"/>
      <c r="F1698" s="145"/>
      <c r="G1698" s="69"/>
      <c r="H1698" s="69"/>
      <c r="I1698" s="69"/>
      <c r="J1698" s="69">
        <f t="shared" ref="J1698:T1703" si="370">J1699</f>
        <v>8199.9</v>
      </c>
      <c r="K1698" s="85">
        <f t="shared" si="360"/>
        <v>8199.9</v>
      </c>
      <c r="L1698" s="13">
        <f t="shared" si="370"/>
        <v>0</v>
      </c>
      <c r="M1698" s="85">
        <f t="shared" si="354"/>
        <v>8199.9</v>
      </c>
      <c r="N1698" s="13">
        <f t="shared" si="370"/>
        <v>0</v>
      </c>
      <c r="O1698" s="85">
        <f t="shared" si="355"/>
        <v>8199.9</v>
      </c>
      <c r="P1698" s="13">
        <f t="shared" si="370"/>
        <v>0</v>
      </c>
      <c r="Q1698" s="85">
        <f t="shared" si="361"/>
        <v>8199.9</v>
      </c>
      <c r="R1698" s="13">
        <f t="shared" si="370"/>
        <v>119.2</v>
      </c>
      <c r="S1698" s="85">
        <f t="shared" si="357"/>
        <v>8319.1</v>
      </c>
      <c r="T1698" s="13">
        <f t="shared" si="370"/>
        <v>0</v>
      </c>
      <c r="U1698" s="85">
        <f t="shared" si="362"/>
        <v>8319.1</v>
      </c>
    </row>
    <row r="1699" spans="1:21">
      <c r="A1699" s="61" t="str">
        <f ca="1">IF(ISERROR(MATCH(C1699,Код_Раздел,0)),"",INDIRECT(ADDRESS(MATCH(C1699,Код_Раздел,0)+1,2,,,"Раздел")))</f>
        <v>Общегосударственные  вопросы</v>
      </c>
      <c r="B1699" s="145">
        <v>812</v>
      </c>
      <c r="C1699" s="8" t="s">
        <v>213</v>
      </c>
      <c r="D1699" s="8"/>
      <c r="E1699" s="145"/>
      <c r="F1699" s="145"/>
      <c r="G1699" s="69"/>
      <c r="H1699" s="69"/>
      <c r="I1699" s="69"/>
      <c r="J1699" s="69">
        <f t="shared" si="370"/>
        <v>8199.9</v>
      </c>
      <c r="K1699" s="85">
        <f t="shared" si="360"/>
        <v>8199.9</v>
      </c>
      <c r="L1699" s="13">
        <f t="shared" si="370"/>
        <v>0</v>
      </c>
      <c r="M1699" s="85">
        <f t="shared" si="354"/>
        <v>8199.9</v>
      </c>
      <c r="N1699" s="13">
        <f t="shared" si="370"/>
        <v>0</v>
      </c>
      <c r="O1699" s="85">
        <f t="shared" si="355"/>
        <v>8199.9</v>
      </c>
      <c r="P1699" s="13">
        <f t="shared" si="370"/>
        <v>0</v>
      </c>
      <c r="Q1699" s="85">
        <f t="shared" si="361"/>
        <v>8199.9</v>
      </c>
      <c r="R1699" s="13">
        <f t="shared" si="370"/>
        <v>119.2</v>
      </c>
      <c r="S1699" s="85">
        <f t="shared" si="357"/>
        <v>8319.1</v>
      </c>
      <c r="T1699" s="13">
        <f t="shared" si="370"/>
        <v>0</v>
      </c>
      <c r="U1699" s="85">
        <f t="shared" si="362"/>
        <v>8319.1</v>
      </c>
    </row>
    <row r="1700" spans="1:21" ht="33">
      <c r="A1700" s="12" t="s">
        <v>165</v>
      </c>
      <c r="B1700" s="145">
        <v>812</v>
      </c>
      <c r="C1700" s="8" t="s">
        <v>213</v>
      </c>
      <c r="D1700" s="8" t="s">
        <v>217</v>
      </c>
      <c r="E1700" s="145"/>
      <c r="F1700" s="145"/>
      <c r="G1700" s="69"/>
      <c r="H1700" s="69"/>
      <c r="I1700" s="69"/>
      <c r="J1700" s="69">
        <f t="shared" si="370"/>
        <v>8199.9</v>
      </c>
      <c r="K1700" s="85">
        <f t="shared" si="360"/>
        <v>8199.9</v>
      </c>
      <c r="L1700" s="13">
        <f t="shared" si="370"/>
        <v>0</v>
      </c>
      <c r="M1700" s="85">
        <f t="shared" ref="M1700:M1742" si="371">K1700+L1700</f>
        <v>8199.9</v>
      </c>
      <c r="N1700" s="13">
        <f t="shared" si="370"/>
        <v>0</v>
      </c>
      <c r="O1700" s="85">
        <f t="shared" ref="O1700:O1741" si="372">M1700+N1700</f>
        <v>8199.9</v>
      </c>
      <c r="P1700" s="13">
        <f t="shared" si="370"/>
        <v>0</v>
      </c>
      <c r="Q1700" s="85">
        <f t="shared" si="361"/>
        <v>8199.9</v>
      </c>
      <c r="R1700" s="13">
        <f t="shared" si="370"/>
        <v>119.2</v>
      </c>
      <c r="S1700" s="85">
        <f t="shared" si="357"/>
        <v>8319.1</v>
      </c>
      <c r="T1700" s="13">
        <f t="shared" si="370"/>
        <v>0</v>
      </c>
      <c r="U1700" s="85">
        <f t="shared" si="362"/>
        <v>8319.1</v>
      </c>
    </row>
    <row r="1701" spans="1:21" ht="33">
      <c r="A1701" s="61" t="str">
        <f ca="1">IF(ISERROR(MATCH(E1701,Код_КЦСР,0)),"",INDIRECT(ADDRESS(MATCH(E1701,Код_КЦСР,0)+1,2,,,"КЦСР")))</f>
        <v>Непрограммные направления деятельности органов местного самоуправления</v>
      </c>
      <c r="B1701" s="145">
        <v>812</v>
      </c>
      <c r="C1701" s="8" t="s">
        <v>213</v>
      </c>
      <c r="D1701" s="8" t="s">
        <v>217</v>
      </c>
      <c r="E1701" s="145" t="s">
        <v>299</v>
      </c>
      <c r="F1701" s="145"/>
      <c r="G1701" s="69"/>
      <c r="H1701" s="69"/>
      <c r="I1701" s="69"/>
      <c r="J1701" s="69">
        <f t="shared" si="370"/>
        <v>8199.9</v>
      </c>
      <c r="K1701" s="85">
        <f t="shared" si="360"/>
        <v>8199.9</v>
      </c>
      <c r="L1701" s="13">
        <f t="shared" si="370"/>
        <v>0</v>
      </c>
      <c r="M1701" s="85">
        <f t="shared" si="371"/>
        <v>8199.9</v>
      </c>
      <c r="N1701" s="13">
        <f t="shared" si="370"/>
        <v>0</v>
      </c>
      <c r="O1701" s="85">
        <f t="shared" si="372"/>
        <v>8199.9</v>
      </c>
      <c r="P1701" s="13">
        <f t="shared" si="370"/>
        <v>0</v>
      </c>
      <c r="Q1701" s="85">
        <f t="shared" si="361"/>
        <v>8199.9</v>
      </c>
      <c r="R1701" s="13">
        <f t="shared" si="370"/>
        <v>119.2</v>
      </c>
      <c r="S1701" s="85">
        <f t="shared" si="357"/>
        <v>8319.1</v>
      </c>
      <c r="T1701" s="13">
        <f t="shared" si="370"/>
        <v>0</v>
      </c>
      <c r="U1701" s="85">
        <f t="shared" si="362"/>
        <v>8319.1</v>
      </c>
    </row>
    <row r="1702" spans="1:21">
      <c r="A1702" s="61" t="str">
        <f ca="1">IF(ISERROR(MATCH(E1702,Код_КЦСР,0)),"",INDIRECT(ADDRESS(MATCH(E1702,Код_КЦСР,0)+1,2,,,"КЦСР")))</f>
        <v>Расходы, не включенные в муниципальные программы города Череповца</v>
      </c>
      <c r="B1702" s="145">
        <v>812</v>
      </c>
      <c r="C1702" s="8" t="s">
        <v>213</v>
      </c>
      <c r="D1702" s="8" t="s">
        <v>217</v>
      </c>
      <c r="E1702" s="145" t="s">
        <v>301</v>
      </c>
      <c r="F1702" s="145"/>
      <c r="G1702" s="69"/>
      <c r="H1702" s="69"/>
      <c r="I1702" s="69"/>
      <c r="J1702" s="69">
        <f t="shared" si="370"/>
        <v>8199.9</v>
      </c>
      <c r="K1702" s="85">
        <f t="shared" si="360"/>
        <v>8199.9</v>
      </c>
      <c r="L1702" s="13">
        <f t="shared" si="370"/>
        <v>0</v>
      </c>
      <c r="M1702" s="85">
        <f t="shared" si="371"/>
        <v>8199.9</v>
      </c>
      <c r="N1702" s="13">
        <f t="shared" si="370"/>
        <v>0</v>
      </c>
      <c r="O1702" s="85">
        <f t="shared" si="372"/>
        <v>8199.9</v>
      </c>
      <c r="P1702" s="13">
        <f t="shared" si="370"/>
        <v>0</v>
      </c>
      <c r="Q1702" s="85">
        <f t="shared" si="361"/>
        <v>8199.9</v>
      </c>
      <c r="R1702" s="13">
        <f t="shared" si="370"/>
        <v>119.2</v>
      </c>
      <c r="S1702" s="85">
        <f t="shared" si="357"/>
        <v>8319.1</v>
      </c>
      <c r="T1702" s="13">
        <f t="shared" si="370"/>
        <v>0</v>
      </c>
      <c r="U1702" s="85">
        <f t="shared" si="362"/>
        <v>8319.1</v>
      </c>
    </row>
    <row r="1703" spans="1:21" ht="33">
      <c r="A1703" s="61" t="str">
        <f ca="1">IF(ISERROR(MATCH(E1703,Код_КЦСР,0)),"",INDIRECT(ADDRESS(MATCH(E1703,Код_КЦСР,0)+1,2,,,"КЦСР")))</f>
        <v>Руководство и управление в сфере установленных функций органов местного самоуправления</v>
      </c>
      <c r="B1703" s="145">
        <v>812</v>
      </c>
      <c r="C1703" s="8" t="s">
        <v>213</v>
      </c>
      <c r="D1703" s="8" t="s">
        <v>217</v>
      </c>
      <c r="E1703" s="145" t="s">
        <v>303</v>
      </c>
      <c r="F1703" s="145"/>
      <c r="G1703" s="69"/>
      <c r="H1703" s="69"/>
      <c r="I1703" s="69"/>
      <c r="J1703" s="69">
        <f t="shared" si="370"/>
        <v>8199.9</v>
      </c>
      <c r="K1703" s="85">
        <f t="shared" si="360"/>
        <v>8199.9</v>
      </c>
      <c r="L1703" s="13">
        <f t="shared" si="370"/>
        <v>0</v>
      </c>
      <c r="M1703" s="85">
        <f t="shared" si="371"/>
        <v>8199.9</v>
      </c>
      <c r="N1703" s="13">
        <f t="shared" si="370"/>
        <v>0</v>
      </c>
      <c r="O1703" s="85">
        <f t="shared" si="372"/>
        <v>8199.9</v>
      </c>
      <c r="P1703" s="13">
        <f t="shared" si="370"/>
        <v>0</v>
      </c>
      <c r="Q1703" s="85">
        <f t="shared" si="361"/>
        <v>8199.9</v>
      </c>
      <c r="R1703" s="13">
        <f t="shared" si="370"/>
        <v>119.2</v>
      </c>
      <c r="S1703" s="85">
        <f t="shared" si="357"/>
        <v>8319.1</v>
      </c>
      <c r="T1703" s="13">
        <f t="shared" si="370"/>
        <v>0</v>
      </c>
      <c r="U1703" s="85">
        <f t="shared" si="362"/>
        <v>8319.1</v>
      </c>
    </row>
    <row r="1704" spans="1:21">
      <c r="A1704" s="61" t="str">
        <f ca="1">IF(ISERROR(MATCH(E1704,Код_КЦСР,0)),"",INDIRECT(ADDRESS(MATCH(E1704,Код_КЦСР,0)+1,2,,,"КЦСР")))</f>
        <v>Центральный аппарат</v>
      </c>
      <c r="B1704" s="145">
        <v>812</v>
      </c>
      <c r="C1704" s="8" t="s">
        <v>213</v>
      </c>
      <c r="D1704" s="8" t="s">
        <v>217</v>
      </c>
      <c r="E1704" s="145" t="s">
        <v>306</v>
      </c>
      <c r="F1704" s="145"/>
      <c r="G1704" s="69"/>
      <c r="H1704" s="69"/>
      <c r="I1704" s="69"/>
      <c r="J1704" s="69">
        <f>J1705+J1708+J1710</f>
        <v>8199.9</v>
      </c>
      <c r="K1704" s="85">
        <f t="shared" si="360"/>
        <v>8199.9</v>
      </c>
      <c r="L1704" s="13">
        <f>L1705+L1708+L1710</f>
        <v>0</v>
      </c>
      <c r="M1704" s="85">
        <f t="shared" si="371"/>
        <v>8199.9</v>
      </c>
      <c r="N1704" s="13">
        <f>N1705+N1708+N1710</f>
        <v>0</v>
      </c>
      <c r="O1704" s="85">
        <f t="shared" si="372"/>
        <v>8199.9</v>
      </c>
      <c r="P1704" s="13">
        <f>P1705+P1708+P1710</f>
        <v>0</v>
      </c>
      <c r="Q1704" s="85">
        <f t="shared" si="361"/>
        <v>8199.9</v>
      </c>
      <c r="R1704" s="13">
        <f>R1705+R1708+R1710</f>
        <v>119.2</v>
      </c>
      <c r="S1704" s="85">
        <f t="shared" si="357"/>
        <v>8319.1</v>
      </c>
      <c r="T1704" s="13">
        <f>T1705+T1708+T1710</f>
        <v>0</v>
      </c>
      <c r="U1704" s="85">
        <f t="shared" si="362"/>
        <v>8319.1</v>
      </c>
    </row>
    <row r="1705" spans="1:21" ht="33">
      <c r="A1705" s="61" t="str">
        <f t="shared" ref="A1705:A1711" ca="1" si="373">IF(ISERROR(MATCH(F1705,Код_КВР,0)),"",INDIRECT(ADDRESS(MATCH(F1705,Код_КВР,0)+1,2,,,"КВР")))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05" s="145">
        <v>812</v>
      </c>
      <c r="C1705" s="8" t="s">
        <v>213</v>
      </c>
      <c r="D1705" s="8" t="s">
        <v>217</v>
      </c>
      <c r="E1705" s="145" t="s">
        <v>306</v>
      </c>
      <c r="F1705" s="145">
        <v>100</v>
      </c>
      <c r="G1705" s="69"/>
      <c r="H1705" s="69"/>
      <c r="I1705" s="69"/>
      <c r="J1705" s="69">
        <f>J1706</f>
        <v>8130.3</v>
      </c>
      <c r="K1705" s="85">
        <f t="shared" si="360"/>
        <v>8130.3</v>
      </c>
      <c r="L1705" s="13">
        <f>L1706</f>
        <v>0</v>
      </c>
      <c r="M1705" s="85">
        <f t="shared" si="371"/>
        <v>8130.3</v>
      </c>
      <c r="N1705" s="13">
        <f>N1706</f>
        <v>0</v>
      </c>
      <c r="O1705" s="85">
        <f t="shared" si="372"/>
        <v>8130.3</v>
      </c>
      <c r="P1705" s="13">
        <f>P1706</f>
        <v>0</v>
      </c>
      <c r="Q1705" s="85">
        <f t="shared" si="361"/>
        <v>8130.3</v>
      </c>
      <c r="R1705" s="13">
        <f>R1706</f>
        <v>119.2</v>
      </c>
      <c r="S1705" s="85">
        <f t="shared" si="357"/>
        <v>8249.5</v>
      </c>
      <c r="T1705" s="13">
        <f>T1706</f>
        <v>0</v>
      </c>
      <c r="U1705" s="85">
        <f t="shared" si="362"/>
        <v>8249.5</v>
      </c>
    </row>
    <row r="1706" spans="1:21">
      <c r="A1706" s="61" t="str">
        <f t="shared" ca="1" si="373"/>
        <v>Расходы на выплаты персоналу муниципальных органов</v>
      </c>
      <c r="B1706" s="145">
        <v>812</v>
      </c>
      <c r="C1706" s="8" t="s">
        <v>213</v>
      </c>
      <c r="D1706" s="8" t="s">
        <v>217</v>
      </c>
      <c r="E1706" s="145" t="s">
        <v>306</v>
      </c>
      <c r="F1706" s="145">
        <v>120</v>
      </c>
      <c r="G1706" s="69"/>
      <c r="H1706" s="69"/>
      <c r="I1706" s="69"/>
      <c r="J1706" s="69">
        <v>8130.3</v>
      </c>
      <c r="K1706" s="85">
        <f t="shared" si="360"/>
        <v>8130.3</v>
      </c>
      <c r="L1706" s="13"/>
      <c r="M1706" s="85">
        <f t="shared" si="371"/>
        <v>8130.3</v>
      </c>
      <c r="N1706" s="13"/>
      <c r="O1706" s="85">
        <f t="shared" si="372"/>
        <v>8130.3</v>
      </c>
      <c r="P1706" s="13"/>
      <c r="Q1706" s="85">
        <f t="shared" si="361"/>
        <v>8130.3</v>
      </c>
      <c r="R1706" s="13">
        <v>119.2</v>
      </c>
      <c r="S1706" s="85">
        <f t="shared" ref="S1706:S1742" si="374">Q1706+R1706</f>
        <v>8249.5</v>
      </c>
      <c r="T1706" s="13"/>
      <c r="U1706" s="85">
        <f t="shared" ref="U1706:U1741" si="375">S1706+T1706</f>
        <v>8249.5</v>
      </c>
    </row>
    <row r="1707" spans="1:21">
      <c r="A1707" s="61" t="str">
        <f t="shared" ca="1" si="373"/>
        <v>Закупка товаров, работ и услуг для муниципальных нужд</v>
      </c>
      <c r="B1707" s="145">
        <v>812</v>
      </c>
      <c r="C1707" s="8" t="s">
        <v>213</v>
      </c>
      <c r="D1707" s="8" t="s">
        <v>217</v>
      </c>
      <c r="E1707" s="145" t="s">
        <v>306</v>
      </c>
      <c r="F1707" s="145">
        <v>200</v>
      </c>
      <c r="G1707" s="69"/>
      <c r="H1707" s="69"/>
      <c r="I1707" s="69"/>
      <c r="J1707" s="69">
        <f>J1708</f>
        <v>66.599999999999994</v>
      </c>
      <c r="K1707" s="85">
        <f t="shared" si="360"/>
        <v>66.599999999999994</v>
      </c>
      <c r="L1707" s="13">
        <f>L1708</f>
        <v>0</v>
      </c>
      <c r="M1707" s="85">
        <f t="shared" si="371"/>
        <v>66.599999999999994</v>
      </c>
      <c r="N1707" s="13">
        <f>N1708</f>
        <v>0</v>
      </c>
      <c r="O1707" s="85">
        <f t="shared" si="372"/>
        <v>66.599999999999994</v>
      </c>
      <c r="P1707" s="13">
        <f>P1708</f>
        <v>0</v>
      </c>
      <c r="Q1707" s="85">
        <f t="shared" si="361"/>
        <v>66.599999999999994</v>
      </c>
      <c r="R1707" s="13">
        <f>R1708</f>
        <v>0</v>
      </c>
      <c r="S1707" s="85">
        <f t="shared" si="374"/>
        <v>66.599999999999994</v>
      </c>
      <c r="T1707" s="13">
        <f>T1708</f>
        <v>0</v>
      </c>
      <c r="U1707" s="85">
        <f t="shared" si="375"/>
        <v>66.599999999999994</v>
      </c>
    </row>
    <row r="1708" spans="1:21" ht="33">
      <c r="A1708" s="61" t="str">
        <f t="shared" ca="1" si="373"/>
        <v>Иные закупки товаров, работ и услуг для обеспечения муниципальных нужд</v>
      </c>
      <c r="B1708" s="145">
        <v>812</v>
      </c>
      <c r="C1708" s="8" t="s">
        <v>213</v>
      </c>
      <c r="D1708" s="8" t="s">
        <v>217</v>
      </c>
      <c r="E1708" s="145" t="s">
        <v>306</v>
      </c>
      <c r="F1708" s="145">
        <v>240</v>
      </c>
      <c r="G1708" s="69"/>
      <c r="H1708" s="69"/>
      <c r="I1708" s="69"/>
      <c r="J1708" s="69">
        <f>J1709</f>
        <v>66.599999999999994</v>
      </c>
      <c r="K1708" s="85">
        <f t="shared" si="360"/>
        <v>66.599999999999994</v>
      </c>
      <c r="L1708" s="13">
        <f>L1709</f>
        <v>0</v>
      </c>
      <c r="M1708" s="85">
        <f t="shared" si="371"/>
        <v>66.599999999999994</v>
      </c>
      <c r="N1708" s="13">
        <f>N1709</f>
        <v>0</v>
      </c>
      <c r="O1708" s="85">
        <f t="shared" si="372"/>
        <v>66.599999999999994</v>
      </c>
      <c r="P1708" s="13">
        <f>P1709</f>
        <v>0</v>
      </c>
      <c r="Q1708" s="85">
        <f t="shared" si="361"/>
        <v>66.599999999999994</v>
      </c>
      <c r="R1708" s="13">
        <f>R1709</f>
        <v>0</v>
      </c>
      <c r="S1708" s="85">
        <f t="shared" si="374"/>
        <v>66.599999999999994</v>
      </c>
      <c r="T1708" s="13">
        <f>T1709</f>
        <v>0</v>
      </c>
      <c r="U1708" s="85">
        <f t="shared" si="375"/>
        <v>66.599999999999994</v>
      </c>
    </row>
    <row r="1709" spans="1:21" ht="33">
      <c r="A1709" s="61" t="str">
        <f t="shared" ca="1" si="373"/>
        <v xml:space="preserve">Прочая закупка товаров, работ и услуг для обеспечения муниципальных нужд         </v>
      </c>
      <c r="B1709" s="145">
        <v>812</v>
      </c>
      <c r="C1709" s="8" t="s">
        <v>213</v>
      </c>
      <c r="D1709" s="8" t="s">
        <v>217</v>
      </c>
      <c r="E1709" s="145" t="s">
        <v>306</v>
      </c>
      <c r="F1709" s="145">
        <v>244</v>
      </c>
      <c r="G1709" s="69"/>
      <c r="H1709" s="69"/>
      <c r="I1709" s="69"/>
      <c r="J1709" s="69">
        <v>66.599999999999994</v>
      </c>
      <c r="K1709" s="85">
        <f t="shared" si="360"/>
        <v>66.599999999999994</v>
      </c>
      <c r="L1709" s="13"/>
      <c r="M1709" s="85">
        <f t="shared" si="371"/>
        <v>66.599999999999994</v>
      </c>
      <c r="N1709" s="13"/>
      <c r="O1709" s="85">
        <f t="shared" si="372"/>
        <v>66.599999999999994</v>
      </c>
      <c r="P1709" s="13"/>
      <c r="Q1709" s="85">
        <f t="shared" si="361"/>
        <v>66.599999999999994</v>
      </c>
      <c r="R1709" s="13"/>
      <c r="S1709" s="85">
        <f t="shared" si="374"/>
        <v>66.599999999999994</v>
      </c>
      <c r="T1709" s="13"/>
      <c r="U1709" s="85">
        <f t="shared" si="375"/>
        <v>66.599999999999994</v>
      </c>
    </row>
    <row r="1710" spans="1:21">
      <c r="A1710" s="61" t="str">
        <f t="shared" ca="1" si="373"/>
        <v>Иные бюджетные ассигнования</v>
      </c>
      <c r="B1710" s="145">
        <v>812</v>
      </c>
      <c r="C1710" s="8" t="s">
        <v>213</v>
      </c>
      <c r="D1710" s="8" t="s">
        <v>217</v>
      </c>
      <c r="E1710" s="145" t="s">
        <v>306</v>
      </c>
      <c r="F1710" s="145">
        <v>800</v>
      </c>
      <c r="G1710" s="69"/>
      <c r="H1710" s="69"/>
      <c r="I1710" s="69"/>
      <c r="J1710" s="69">
        <f>J1711</f>
        <v>3</v>
      </c>
      <c r="K1710" s="85">
        <f t="shared" si="360"/>
        <v>3</v>
      </c>
      <c r="L1710" s="13">
        <f>L1711</f>
        <v>0</v>
      </c>
      <c r="M1710" s="85">
        <f t="shared" si="371"/>
        <v>3</v>
      </c>
      <c r="N1710" s="13">
        <f>N1711</f>
        <v>0</v>
      </c>
      <c r="O1710" s="85">
        <f t="shared" si="372"/>
        <v>3</v>
      </c>
      <c r="P1710" s="13">
        <f>P1711</f>
        <v>0</v>
      </c>
      <c r="Q1710" s="85">
        <f t="shared" si="361"/>
        <v>3</v>
      </c>
      <c r="R1710" s="13">
        <f>R1711</f>
        <v>0</v>
      </c>
      <c r="S1710" s="85">
        <f t="shared" si="374"/>
        <v>3</v>
      </c>
      <c r="T1710" s="13">
        <f>T1711</f>
        <v>0</v>
      </c>
      <c r="U1710" s="85">
        <f t="shared" si="375"/>
        <v>3</v>
      </c>
    </row>
    <row r="1711" spans="1:21">
      <c r="A1711" s="61" t="str">
        <f t="shared" ca="1" si="373"/>
        <v>Уплата налогов, сборов и иных платежей</v>
      </c>
      <c r="B1711" s="145">
        <v>812</v>
      </c>
      <c r="C1711" s="8" t="s">
        <v>213</v>
      </c>
      <c r="D1711" s="8" t="s">
        <v>217</v>
      </c>
      <c r="E1711" s="145" t="s">
        <v>306</v>
      </c>
      <c r="F1711" s="145">
        <v>850</v>
      </c>
      <c r="G1711" s="69"/>
      <c r="H1711" s="69"/>
      <c r="I1711" s="69"/>
      <c r="J1711" s="69">
        <f>J1712</f>
        <v>3</v>
      </c>
      <c r="K1711" s="85">
        <f t="shared" si="360"/>
        <v>3</v>
      </c>
      <c r="L1711" s="13">
        <f>L1712</f>
        <v>0</v>
      </c>
      <c r="M1711" s="85">
        <f t="shared" si="371"/>
        <v>3</v>
      </c>
      <c r="N1711" s="13">
        <f>N1712</f>
        <v>0</v>
      </c>
      <c r="O1711" s="85">
        <f t="shared" si="372"/>
        <v>3</v>
      </c>
      <c r="P1711" s="13">
        <f>P1712</f>
        <v>0</v>
      </c>
      <c r="Q1711" s="85">
        <f t="shared" si="361"/>
        <v>3</v>
      </c>
      <c r="R1711" s="13">
        <f>R1712</f>
        <v>0</v>
      </c>
      <c r="S1711" s="85">
        <f t="shared" si="374"/>
        <v>3</v>
      </c>
      <c r="T1711" s="13">
        <f>T1712</f>
        <v>0</v>
      </c>
      <c r="U1711" s="85">
        <f t="shared" si="375"/>
        <v>3</v>
      </c>
    </row>
    <row r="1712" spans="1:21">
      <c r="A1712" s="61" t="str">
        <f ca="1">IF(ISERROR(MATCH(F1712,Код_КВР,0)),"",INDIRECT(ADDRESS(MATCH(F1712,Код_КВР,0)+1,2,,,"КВР")))</f>
        <v>Уплата прочих налогов, сборов и иных платежей</v>
      </c>
      <c r="B1712" s="145">
        <v>812</v>
      </c>
      <c r="C1712" s="8" t="s">
        <v>213</v>
      </c>
      <c r="D1712" s="8" t="s">
        <v>217</v>
      </c>
      <c r="E1712" s="145" t="s">
        <v>306</v>
      </c>
      <c r="F1712" s="145">
        <v>852</v>
      </c>
      <c r="G1712" s="69"/>
      <c r="H1712" s="69"/>
      <c r="I1712" s="69"/>
      <c r="J1712" s="69">
        <v>3</v>
      </c>
      <c r="K1712" s="85">
        <f t="shared" si="360"/>
        <v>3</v>
      </c>
      <c r="L1712" s="13"/>
      <c r="M1712" s="85">
        <f t="shared" si="371"/>
        <v>3</v>
      </c>
      <c r="N1712" s="13"/>
      <c r="O1712" s="85">
        <f t="shared" si="372"/>
        <v>3</v>
      </c>
      <c r="P1712" s="13"/>
      <c r="Q1712" s="85">
        <f t="shared" si="361"/>
        <v>3</v>
      </c>
      <c r="R1712" s="13"/>
      <c r="S1712" s="85">
        <f t="shared" si="374"/>
        <v>3</v>
      </c>
      <c r="T1712" s="13"/>
      <c r="U1712" s="85">
        <f t="shared" si="375"/>
        <v>3</v>
      </c>
    </row>
    <row r="1713" spans="1:21" ht="33">
      <c r="A1713" s="61" t="str">
        <f ca="1">IF(ISERROR(MATCH(B1713,Код_ППП,0)),"",INDIRECT(ADDRESS(MATCH(B1713,Код_ППП,0)+1,2,,,"ППП")))</f>
        <v>КОМИТЕТ ПО КОНТРОЛЮ В СФЕРЕ БЛАГОУСТРОЙСТВА И ОХРАНЫ ОКРУЖАЮЩЕЙ СРЕДЫ ГОРОДА</v>
      </c>
      <c r="B1713" s="145">
        <v>840</v>
      </c>
      <c r="C1713" s="8"/>
      <c r="D1713" s="8"/>
      <c r="E1713" s="145"/>
      <c r="F1713" s="145"/>
      <c r="G1713" s="69">
        <f>G1714</f>
        <v>17671.599999999999</v>
      </c>
      <c r="H1713" s="69">
        <f>H1714</f>
        <v>0</v>
      </c>
      <c r="I1713" s="69">
        <f t="shared" si="366"/>
        <v>17671.599999999999</v>
      </c>
      <c r="J1713" s="69">
        <f>J1714</f>
        <v>0</v>
      </c>
      <c r="K1713" s="85">
        <f t="shared" ref="K1713:K1742" si="376">I1713+J1713</f>
        <v>17671.599999999999</v>
      </c>
      <c r="L1713" s="13">
        <f>L1714</f>
        <v>-0.6</v>
      </c>
      <c r="M1713" s="85">
        <f t="shared" si="371"/>
        <v>17671</v>
      </c>
      <c r="N1713" s="13">
        <f>N1714</f>
        <v>0</v>
      </c>
      <c r="O1713" s="85">
        <f t="shared" si="372"/>
        <v>17671</v>
      </c>
      <c r="P1713" s="13">
        <f>P1714</f>
        <v>0</v>
      </c>
      <c r="Q1713" s="85">
        <f t="shared" si="361"/>
        <v>17671</v>
      </c>
      <c r="R1713" s="13">
        <f>R1714</f>
        <v>0</v>
      </c>
      <c r="S1713" s="85">
        <f t="shared" si="374"/>
        <v>17671</v>
      </c>
      <c r="T1713" s="13">
        <f>T1714</f>
        <v>0</v>
      </c>
      <c r="U1713" s="85">
        <f t="shared" si="375"/>
        <v>17671</v>
      </c>
    </row>
    <row r="1714" spans="1:21">
      <c r="A1714" s="61" t="str">
        <f ca="1">IF(ISERROR(MATCH(C1714,Код_Раздел,0)),"",INDIRECT(ADDRESS(MATCH(C1714,Код_Раздел,0)+1,2,,,"Раздел")))</f>
        <v>Охрана окружающей среды</v>
      </c>
      <c r="B1714" s="145">
        <v>840</v>
      </c>
      <c r="C1714" s="8" t="s">
        <v>217</v>
      </c>
      <c r="D1714" s="8"/>
      <c r="E1714" s="145"/>
      <c r="F1714" s="145"/>
      <c r="G1714" s="69">
        <f>G1715+G1724</f>
        <v>17671.599999999999</v>
      </c>
      <c r="H1714" s="69">
        <f>H1715+H1724</f>
        <v>0</v>
      </c>
      <c r="I1714" s="69">
        <f t="shared" si="366"/>
        <v>17671.599999999999</v>
      </c>
      <c r="J1714" s="69">
        <f>J1715+J1724</f>
        <v>0</v>
      </c>
      <c r="K1714" s="85">
        <f t="shared" si="376"/>
        <v>17671.599999999999</v>
      </c>
      <c r="L1714" s="13">
        <f>L1715+L1724</f>
        <v>-0.6</v>
      </c>
      <c r="M1714" s="85">
        <f t="shared" si="371"/>
        <v>17671</v>
      </c>
      <c r="N1714" s="13">
        <f>N1715+N1724</f>
        <v>0</v>
      </c>
      <c r="O1714" s="85">
        <f t="shared" si="372"/>
        <v>17671</v>
      </c>
      <c r="P1714" s="13">
        <f>P1715+P1724</f>
        <v>0</v>
      </c>
      <c r="Q1714" s="85">
        <f t="shared" si="361"/>
        <v>17671</v>
      </c>
      <c r="R1714" s="13">
        <f>R1715+R1724</f>
        <v>0</v>
      </c>
      <c r="S1714" s="85">
        <f t="shared" si="374"/>
        <v>17671</v>
      </c>
      <c r="T1714" s="13">
        <f>T1715+T1724</f>
        <v>0</v>
      </c>
      <c r="U1714" s="85">
        <f t="shared" si="375"/>
        <v>17671</v>
      </c>
    </row>
    <row r="1715" spans="1:21">
      <c r="A1715" s="78" t="s">
        <v>160</v>
      </c>
      <c r="B1715" s="145">
        <v>840</v>
      </c>
      <c r="C1715" s="8" t="s">
        <v>217</v>
      </c>
      <c r="D1715" s="8" t="s">
        <v>215</v>
      </c>
      <c r="E1715" s="145"/>
      <c r="F1715" s="145"/>
      <c r="G1715" s="69">
        <f t="shared" ref="G1715:T1717" si="377">G1716</f>
        <v>1703.5</v>
      </c>
      <c r="H1715" s="69">
        <f t="shared" si="377"/>
        <v>0</v>
      </c>
      <c r="I1715" s="69">
        <f t="shared" si="366"/>
        <v>1703.5</v>
      </c>
      <c r="J1715" s="69">
        <f t="shared" si="377"/>
        <v>0</v>
      </c>
      <c r="K1715" s="85">
        <f t="shared" si="376"/>
        <v>1703.5</v>
      </c>
      <c r="L1715" s="13">
        <f t="shared" si="377"/>
        <v>0</v>
      </c>
      <c r="M1715" s="85">
        <f t="shared" si="371"/>
        <v>1703.5</v>
      </c>
      <c r="N1715" s="13">
        <f t="shared" si="377"/>
        <v>0</v>
      </c>
      <c r="O1715" s="85">
        <f t="shared" si="372"/>
        <v>1703.5</v>
      </c>
      <c r="P1715" s="13">
        <f t="shared" si="377"/>
        <v>0</v>
      </c>
      <c r="Q1715" s="85">
        <f t="shared" ref="Q1715:Q1742" si="378">O1715+P1715</f>
        <v>1703.5</v>
      </c>
      <c r="R1715" s="13">
        <f t="shared" si="377"/>
        <v>0</v>
      </c>
      <c r="S1715" s="85">
        <f t="shared" si="374"/>
        <v>1703.5</v>
      </c>
      <c r="T1715" s="13">
        <f t="shared" si="377"/>
        <v>0</v>
      </c>
      <c r="U1715" s="85">
        <f t="shared" si="375"/>
        <v>1703.5</v>
      </c>
    </row>
    <row r="1716" spans="1:21" ht="33">
      <c r="A1716" s="61" t="str">
        <f ca="1">IF(ISERROR(MATCH(E1716,Код_КЦСР,0)),"",INDIRECT(ADDRESS(MATCH(E1716,Код_КЦСР,0)+1,2,,,"КЦСР")))</f>
        <v>Непрограммные направления деятельности органов местного самоуправления</v>
      </c>
      <c r="B1716" s="145">
        <v>840</v>
      </c>
      <c r="C1716" s="8" t="s">
        <v>217</v>
      </c>
      <c r="D1716" s="8" t="s">
        <v>215</v>
      </c>
      <c r="E1716" s="145" t="s">
        <v>299</v>
      </c>
      <c r="F1716" s="145"/>
      <c r="G1716" s="69">
        <f t="shared" si="377"/>
        <v>1703.5</v>
      </c>
      <c r="H1716" s="69">
        <f t="shared" si="377"/>
        <v>0</v>
      </c>
      <c r="I1716" s="69">
        <f t="shared" si="366"/>
        <v>1703.5</v>
      </c>
      <c r="J1716" s="69">
        <f t="shared" si="377"/>
        <v>0</v>
      </c>
      <c r="K1716" s="85">
        <f t="shared" si="376"/>
        <v>1703.5</v>
      </c>
      <c r="L1716" s="13">
        <f t="shared" si="377"/>
        <v>0</v>
      </c>
      <c r="M1716" s="85">
        <f t="shared" si="371"/>
        <v>1703.5</v>
      </c>
      <c r="N1716" s="13">
        <f t="shared" si="377"/>
        <v>0</v>
      </c>
      <c r="O1716" s="85">
        <f t="shared" si="372"/>
        <v>1703.5</v>
      </c>
      <c r="P1716" s="13">
        <f t="shared" si="377"/>
        <v>0</v>
      </c>
      <c r="Q1716" s="85">
        <f t="shared" si="378"/>
        <v>1703.5</v>
      </c>
      <c r="R1716" s="13">
        <f t="shared" si="377"/>
        <v>0</v>
      </c>
      <c r="S1716" s="85">
        <f t="shared" si="374"/>
        <v>1703.5</v>
      </c>
      <c r="T1716" s="13">
        <f t="shared" si="377"/>
        <v>0</v>
      </c>
      <c r="U1716" s="85">
        <f t="shared" si="375"/>
        <v>1703.5</v>
      </c>
    </row>
    <row r="1717" spans="1:21">
      <c r="A1717" s="61" t="str">
        <f ca="1">IF(ISERROR(MATCH(E1717,Код_КЦСР,0)),"",INDIRECT(ADDRESS(MATCH(E1717,Код_КЦСР,0)+1,2,,,"КЦСР")))</f>
        <v>Расходы, не включенные в муниципальные программы города Череповца</v>
      </c>
      <c r="B1717" s="145">
        <v>840</v>
      </c>
      <c r="C1717" s="8" t="s">
        <v>217</v>
      </c>
      <c r="D1717" s="8" t="s">
        <v>215</v>
      </c>
      <c r="E1717" s="145" t="s">
        <v>301</v>
      </c>
      <c r="F1717" s="145"/>
      <c r="G1717" s="69">
        <f t="shared" si="377"/>
        <v>1703.5</v>
      </c>
      <c r="H1717" s="69">
        <f t="shared" si="377"/>
        <v>0</v>
      </c>
      <c r="I1717" s="69">
        <f t="shared" si="366"/>
        <v>1703.5</v>
      </c>
      <c r="J1717" s="69">
        <f t="shared" si="377"/>
        <v>0</v>
      </c>
      <c r="K1717" s="85">
        <f t="shared" si="376"/>
        <v>1703.5</v>
      </c>
      <c r="L1717" s="13">
        <f t="shared" si="377"/>
        <v>0</v>
      </c>
      <c r="M1717" s="85">
        <f t="shared" si="371"/>
        <v>1703.5</v>
      </c>
      <c r="N1717" s="13">
        <f t="shared" si="377"/>
        <v>0</v>
      </c>
      <c r="O1717" s="85">
        <f t="shared" si="372"/>
        <v>1703.5</v>
      </c>
      <c r="P1717" s="13">
        <f t="shared" si="377"/>
        <v>0</v>
      </c>
      <c r="Q1717" s="85">
        <f t="shared" si="378"/>
        <v>1703.5</v>
      </c>
      <c r="R1717" s="13">
        <f t="shared" si="377"/>
        <v>0</v>
      </c>
      <c r="S1717" s="85">
        <f t="shared" si="374"/>
        <v>1703.5</v>
      </c>
      <c r="T1717" s="13">
        <f t="shared" si="377"/>
        <v>0</v>
      </c>
      <c r="U1717" s="85">
        <f t="shared" si="375"/>
        <v>1703.5</v>
      </c>
    </row>
    <row r="1718" spans="1:21" ht="82.5">
      <c r="A1718" s="61" t="str">
        <f ca="1">IF(ISERROR(MATCH(E1718,Код_КЦСР,0)),"",INDIRECT(ADDRESS(MATCH(E1718,Код_КЦСР,0)+1,2,,,"КЦСР")))</f>
        <v>Осуществление отдельных государственных полномочий в соответствии с законом области от 28 июня 2006 года № 1465-ОЗ «О наделении органов местного самоуправления отдельными государственными полномочиями в сфере охраны окружающей среды» за счет субвенций из областного бюджета</v>
      </c>
      <c r="B1718" s="145">
        <v>840</v>
      </c>
      <c r="C1718" s="8" t="s">
        <v>217</v>
      </c>
      <c r="D1718" s="8" t="s">
        <v>215</v>
      </c>
      <c r="E1718" s="145" t="s">
        <v>407</v>
      </c>
      <c r="F1718" s="145"/>
      <c r="G1718" s="69">
        <f>G1719+G1721</f>
        <v>1703.5</v>
      </c>
      <c r="H1718" s="69">
        <f>H1719+H1721</f>
        <v>0</v>
      </c>
      <c r="I1718" s="69">
        <f t="shared" si="366"/>
        <v>1703.5</v>
      </c>
      <c r="J1718" s="69">
        <f>J1719+J1721</f>
        <v>0</v>
      </c>
      <c r="K1718" s="85">
        <f t="shared" si="376"/>
        <v>1703.5</v>
      </c>
      <c r="L1718" s="13">
        <f>L1719+L1721</f>
        <v>0</v>
      </c>
      <c r="M1718" s="85">
        <f t="shared" si="371"/>
        <v>1703.5</v>
      </c>
      <c r="N1718" s="13">
        <f>N1719+N1721</f>
        <v>0</v>
      </c>
      <c r="O1718" s="85">
        <f t="shared" si="372"/>
        <v>1703.5</v>
      </c>
      <c r="P1718" s="13">
        <f>P1719+P1721</f>
        <v>0</v>
      </c>
      <c r="Q1718" s="85">
        <f t="shared" si="378"/>
        <v>1703.5</v>
      </c>
      <c r="R1718" s="13">
        <f>R1719+R1721</f>
        <v>0</v>
      </c>
      <c r="S1718" s="85">
        <f t="shared" si="374"/>
        <v>1703.5</v>
      </c>
      <c r="T1718" s="13">
        <f>T1719+T1721</f>
        <v>0</v>
      </c>
      <c r="U1718" s="85">
        <f t="shared" si="375"/>
        <v>1703.5</v>
      </c>
    </row>
    <row r="1719" spans="1:21" ht="33">
      <c r="A1719" s="61" t="str">
        <f ca="1">IF(ISERROR(MATCH(F1719,Код_КВР,0)),"",INDIRECT(ADDRESS(MATCH(F1719,Код_КВР,0)+1,2,,,"КВР")))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19" s="145">
        <v>840</v>
      </c>
      <c r="C1719" s="8" t="s">
        <v>217</v>
      </c>
      <c r="D1719" s="8" t="s">
        <v>215</v>
      </c>
      <c r="E1719" s="145" t="s">
        <v>407</v>
      </c>
      <c r="F1719" s="145">
        <v>100</v>
      </c>
      <c r="G1719" s="69">
        <f>G1720</f>
        <v>1653.5</v>
      </c>
      <c r="H1719" s="69">
        <f>H1720</f>
        <v>0</v>
      </c>
      <c r="I1719" s="69">
        <f t="shared" si="366"/>
        <v>1653.5</v>
      </c>
      <c r="J1719" s="69">
        <f>J1720</f>
        <v>0</v>
      </c>
      <c r="K1719" s="85">
        <f t="shared" si="376"/>
        <v>1653.5</v>
      </c>
      <c r="L1719" s="13">
        <f>L1720</f>
        <v>0</v>
      </c>
      <c r="M1719" s="85">
        <f t="shared" si="371"/>
        <v>1653.5</v>
      </c>
      <c r="N1719" s="13">
        <f>N1720</f>
        <v>0</v>
      </c>
      <c r="O1719" s="85">
        <f t="shared" si="372"/>
        <v>1653.5</v>
      </c>
      <c r="P1719" s="13">
        <f>P1720</f>
        <v>0</v>
      </c>
      <c r="Q1719" s="85">
        <f t="shared" si="378"/>
        <v>1653.5</v>
      </c>
      <c r="R1719" s="13">
        <f>R1720</f>
        <v>0</v>
      </c>
      <c r="S1719" s="85">
        <f t="shared" si="374"/>
        <v>1653.5</v>
      </c>
      <c r="T1719" s="13">
        <f>T1720</f>
        <v>50</v>
      </c>
      <c r="U1719" s="85">
        <f t="shared" si="375"/>
        <v>1703.5</v>
      </c>
    </row>
    <row r="1720" spans="1:21">
      <c r="A1720" s="61" t="str">
        <f ca="1">IF(ISERROR(MATCH(F1720,Код_КВР,0)),"",INDIRECT(ADDRESS(MATCH(F1720,Код_КВР,0)+1,2,,,"КВР")))</f>
        <v>Расходы на выплаты персоналу муниципальных органов</v>
      </c>
      <c r="B1720" s="145">
        <v>840</v>
      </c>
      <c r="C1720" s="8" t="s">
        <v>217</v>
      </c>
      <c r="D1720" s="8" t="s">
        <v>215</v>
      </c>
      <c r="E1720" s="145" t="s">
        <v>407</v>
      </c>
      <c r="F1720" s="145">
        <v>120</v>
      </c>
      <c r="G1720" s="69">
        <v>1653.5</v>
      </c>
      <c r="H1720" s="69"/>
      <c r="I1720" s="69">
        <f t="shared" si="366"/>
        <v>1653.5</v>
      </c>
      <c r="J1720" s="69"/>
      <c r="K1720" s="85">
        <f t="shared" si="376"/>
        <v>1653.5</v>
      </c>
      <c r="L1720" s="13"/>
      <c r="M1720" s="85">
        <f t="shared" si="371"/>
        <v>1653.5</v>
      </c>
      <c r="N1720" s="13"/>
      <c r="O1720" s="85">
        <f t="shared" si="372"/>
        <v>1653.5</v>
      </c>
      <c r="P1720" s="13"/>
      <c r="Q1720" s="85">
        <f t="shared" si="378"/>
        <v>1653.5</v>
      </c>
      <c r="R1720" s="13"/>
      <c r="S1720" s="85">
        <f t="shared" si="374"/>
        <v>1653.5</v>
      </c>
      <c r="T1720" s="13">
        <v>50</v>
      </c>
      <c r="U1720" s="85">
        <f t="shared" si="375"/>
        <v>1703.5</v>
      </c>
    </row>
    <row r="1721" spans="1:21">
      <c r="A1721" s="61" t="str">
        <f ca="1">IF(ISERROR(MATCH(F1721,Код_КВР,0)),"",INDIRECT(ADDRESS(MATCH(F1721,Код_КВР,0)+1,2,,,"КВР")))</f>
        <v>Закупка товаров, работ и услуг для муниципальных нужд</v>
      </c>
      <c r="B1721" s="145">
        <v>840</v>
      </c>
      <c r="C1721" s="8" t="s">
        <v>217</v>
      </c>
      <c r="D1721" s="8" t="s">
        <v>215</v>
      </c>
      <c r="E1721" s="145" t="s">
        <v>407</v>
      </c>
      <c r="F1721" s="145">
        <v>200</v>
      </c>
      <c r="G1721" s="69">
        <f>G1722</f>
        <v>50</v>
      </c>
      <c r="H1721" s="69">
        <f>H1722</f>
        <v>0</v>
      </c>
      <c r="I1721" s="69">
        <f t="shared" si="366"/>
        <v>50</v>
      </c>
      <c r="J1721" s="69">
        <f>J1722</f>
        <v>0</v>
      </c>
      <c r="K1721" s="85">
        <f t="shared" si="376"/>
        <v>50</v>
      </c>
      <c r="L1721" s="13">
        <f>L1722</f>
        <v>0</v>
      </c>
      <c r="M1721" s="85">
        <f t="shared" si="371"/>
        <v>50</v>
      </c>
      <c r="N1721" s="13">
        <f>N1722</f>
        <v>0</v>
      </c>
      <c r="O1721" s="85">
        <f t="shared" si="372"/>
        <v>50</v>
      </c>
      <c r="P1721" s="13">
        <f>P1722</f>
        <v>0</v>
      </c>
      <c r="Q1721" s="85">
        <f t="shared" si="378"/>
        <v>50</v>
      </c>
      <c r="R1721" s="13">
        <f>R1722</f>
        <v>0</v>
      </c>
      <c r="S1721" s="85">
        <f t="shared" si="374"/>
        <v>50</v>
      </c>
      <c r="T1721" s="13">
        <f>T1722</f>
        <v>-50</v>
      </c>
      <c r="U1721" s="85">
        <f t="shared" si="375"/>
        <v>0</v>
      </c>
    </row>
    <row r="1722" spans="1:21" ht="33">
      <c r="A1722" s="61" t="str">
        <f ca="1">IF(ISERROR(MATCH(F1722,Код_КВР,0)),"",INDIRECT(ADDRESS(MATCH(F1722,Код_КВР,0)+1,2,,,"КВР")))</f>
        <v>Иные закупки товаров, работ и услуг для обеспечения муниципальных нужд</v>
      </c>
      <c r="B1722" s="145">
        <v>840</v>
      </c>
      <c r="C1722" s="8" t="s">
        <v>217</v>
      </c>
      <c r="D1722" s="8" t="s">
        <v>215</v>
      </c>
      <c r="E1722" s="145" t="s">
        <v>407</v>
      </c>
      <c r="F1722" s="145">
        <v>240</v>
      </c>
      <c r="G1722" s="69">
        <f>G1723</f>
        <v>50</v>
      </c>
      <c r="H1722" s="69">
        <f>H1723</f>
        <v>0</v>
      </c>
      <c r="I1722" s="69">
        <f t="shared" si="366"/>
        <v>50</v>
      </c>
      <c r="J1722" s="69">
        <f>J1723</f>
        <v>0</v>
      </c>
      <c r="K1722" s="85">
        <f t="shared" si="376"/>
        <v>50</v>
      </c>
      <c r="L1722" s="13">
        <f>L1723</f>
        <v>0</v>
      </c>
      <c r="M1722" s="85">
        <f t="shared" si="371"/>
        <v>50</v>
      </c>
      <c r="N1722" s="13">
        <f>N1723</f>
        <v>0</v>
      </c>
      <c r="O1722" s="85">
        <f t="shared" si="372"/>
        <v>50</v>
      </c>
      <c r="P1722" s="13">
        <f>P1723</f>
        <v>0</v>
      </c>
      <c r="Q1722" s="85">
        <f t="shared" si="378"/>
        <v>50</v>
      </c>
      <c r="R1722" s="13">
        <f>R1723</f>
        <v>0</v>
      </c>
      <c r="S1722" s="85">
        <f t="shared" si="374"/>
        <v>50</v>
      </c>
      <c r="T1722" s="13">
        <f>T1723</f>
        <v>-50</v>
      </c>
      <c r="U1722" s="85">
        <f t="shared" si="375"/>
        <v>0</v>
      </c>
    </row>
    <row r="1723" spans="1:21" ht="33">
      <c r="A1723" s="61" t="str">
        <f ca="1">IF(ISERROR(MATCH(F1723,Код_КВР,0)),"",INDIRECT(ADDRESS(MATCH(F1723,Код_КВР,0)+1,2,,,"КВР")))</f>
        <v xml:space="preserve">Прочая закупка товаров, работ и услуг для обеспечения муниципальных нужд         </v>
      </c>
      <c r="B1723" s="145">
        <v>840</v>
      </c>
      <c r="C1723" s="8" t="s">
        <v>217</v>
      </c>
      <c r="D1723" s="8" t="s">
        <v>215</v>
      </c>
      <c r="E1723" s="145" t="s">
        <v>407</v>
      </c>
      <c r="F1723" s="145">
        <v>244</v>
      </c>
      <c r="G1723" s="69">
        <v>50</v>
      </c>
      <c r="H1723" s="69"/>
      <c r="I1723" s="69">
        <f t="shared" si="366"/>
        <v>50</v>
      </c>
      <c r="J1723" s="69"/>
      <c r="K1723" s="85">
        <f t="shared" si="376"/>
        <v>50</v>
      </c>
      <c r="L1723" s="13"/>
      <c r="M1723" s="85">
        <f t="shared" si="371"/>
        <v>50</v>
      </c>
      <c r="N1723" s="13"/>
      <c r="O1723" s="85">
        <f t="shared" si="372"/>
        <v>50</v>
      </c>
      <c r="P1723" s="13"/>
      <c r="Q1723" s="85">
        <f t="shared" si="378"/>
        <v>50</v>
      </c>
      <c r="R1723" s="13"/>
      <c r="S1723" s="85">
        <f t="shared" si="374"/>
        <v>50</v>
      </c>
      <c r="T1723" s="13">
        <v>-50</v>
      </c>
      <c r="U1723" s="85">
        <f t="shared" si="375"/>
        <v>0</v>
      </c>
    </row>
    <row r="1724" spans="1:21">
      <c r="A1724" s="12" t="s">
        <v>255</v>
      </c>
      <c r="B1724" s="145">
        <v>840</v>
      </c>
      <c r="C1724" s="8" t="s">
        <v>217</v>
      </c>
      <c r="D1724" s="8" t="s">
        <v>221</v>
      </c>
      <c r="E1724" s="145"/>
      <c r="F1724" s="145"/>
      <c r="G1724" s="69">
        <f>G1725+G1730</f>
        <v>15968.1</v>
      </c>
      <c r="H1724" s="69">
        <f>H1725+H1730</f>
        <v>0</v>
      </c>
      <c r="I1724" s="69">
        <f t="shared" si="366"/>
        <v>15968.1</v>
      </c>
      <c r="J1724" s="69">
        <f>J1725+J1730</f>
        <v>0</v>
      </c>
      <c r="K1724" s="85">
        <f t="shared" si="376"/>
        <v>15968.1</v>
      </c>
      <c r="L1724" s="13">
        <f>L1725+L1730</f>
        <v>-0.6</v>
      </c>
      <c r="M1724" s="85">
        <f t="shared" si="371"/>
        <v>15967.5</v>
      </c>
      <c r="N1724" s="13">
        <f>N1725+N1730</f>
        <v>0</v>
      </c>
      <c r="O1724" s="85">
        <f t="shared" si="372"/>
        <v>15967.5</v>
      </c>
      <c r="P1724" s="13">
        <f>P1725+P1730</f>
        <v>0</v>
      </c>
      <c r="Q1724" s="85">
        <f t="shared" si="378"/>
        <v>15967.5</v>
      </c>
      <c r="R1724" s="13">
        <f>R1725+R1730</f>
        <v>0</v>
      </c>
      <c r="S1724" s="85">
        <f t="shared" si="374"/>
        <v>15967.5</v>
      </c>
      <c r="T1724" s="13">
        <f>T1725+T1730</f>
        <v>0</v>
      </c>
      <c r="U1724" s="85">
        <f t="shared" si="375"/>
        <v>15967.5</v>
      </c>
    </row>
    <row r="1725" spans="1:21" ht="33">
      <c r="A1725" s="61" t="str">
        <f ca="1">IF(ISERROR(MATCH(E1725,Код_КЦСР,0)),"",INDIRECT(ADDRESS(MATCH(E1725,Код_КЦСР,0)+1,2,,,"КЦСР")))</f>
        <v>Муниципальная программа «Охрана окружающей среды» на 2013-2022 годы</v>
      </c>
      <c r="B1725" s="145">
        <v>840</v>
      </c>
      <c r="C1725" s="8" t="s">
        <v>217</v>
      </c>
      <c r="D1725" s="8" t="s">
        <v>221</v>
      </c>
      <c r="E1725" s="145" t="s">
        <v>539</v>
      </c>
      <c r="F1725" s="145"/>
      <c r="G1725" s="69">
        <f t="shared" ref="G1725:T1728" si="379">G1726</f>
        <v>4795</v>
      </c>
      <c r="H1725" s="69">
        <f t="shared" si="379"/>
        <v>0</v>
      </c>
      <c r="I1725" s="69">
        <f t="shared" si="366"/>
        <v>4795</v>
      </c>
      <c r="J1725" s="69">
        <f t="shared" si="379"/>
        <v>0</v>
      </c>
      <c r="K1725" s="85">
        <f t="shared" si="376"/>
        <v>4795</v>
      </c>
      <c r="L1725" s="13">
        <f t="shared" si="379"/>
        <v>-0.6</v>
      </c>
      <c r="M1725" s="85">
        <f t="shared" si="371"/>
        <v>4794.3999999999996</v>
      </c>
      <c r="N1725" s="13">
        <f t="shared" si="379"/>
        <v>0</v>
      </c>
      <c r="O1725" s="85">
        <f t="shared" si="372"/>
        <v>4794.3999999999996</v>
      </c>
      <c r="P1725" s="13">
        <f t="shared" si="379"/>
        <v>0</v>
      </c>
      <c r="Q1725" s="85">
        <f t="shared" si="378"/>
        <v>4794.3999999999996</v>
      </c>
      <c r="R1725" s="13">
        <f t="shared" si="379"/>
        <v>0</v>
      </c>
      <c r="S1725" s="85">
        <f t="shared" si="374"/>
        <v>4794.3999999999996</v>
      </c>
      <c r="T1725" s="13">
        <f t="shared" si="379"/>
        <v>0</v>
      </c>
      <c r="U1725" s="85">
        <f t="shared" si="375"/>
        <v>4794.3999999999996</v>
      </c>
    </row>
    <row r="1726" spans="1:21" ht="33">
      <c r="A1726" s="61" t="str">
        <f ca="1">IF(ISERROR(MATCH(E1726,Код_КЦСР,0)),"",INDIRECT(ADDRESS(MATCH(E1726,Код_КЦСР,0)+1,2,,,"КЦСР")))</f>
        <v>Сбор и анализ информации о факторах окружающей среды и оценка их влияния на здоровье населения</v>
      </c>
      <c r="B1726" s="145">
        <v>840</v>
      </c>
      <c r="C1726" s="8" t="s">
        <v>217</v>
      </c>
      <c r="D1726" s="8" t="s">
        <v>221</v>
      </c>
      <c r="E1726" s="145" t="s">
        <v>541</v>
      </c>
      <c r="F1726" s="145"/>
      <c r="G1726" s="69">
        <f t="shared" si="379"/>
        <v>4795</v>
      </c>
      <c r="H1726" s="69">
        <f t="shared" si="379"/>
        <v>0</v>
      </c>
      <c r="I1726" s="69">
        <f t="shared" si="366"/>
        <v>4795</v>
      </c>
      <c r="J1726" s="69">
        <f t="shared" si="379"/>
        <v>0</v>
      </c>
      <c r="K1726" s="85">
        <f t="shared" si="376"/>
        <v>4795</v>
      </c>
      <c r="L1726" s="13">
        <f t="shared" si="379"/>
        <v>-0.6</v>
      </c>
      <c r="M1726" s="85">
        <f t="shared" si="371"/>
        <v>4794.3999999999996</v>
      </c>
      <c r="N1726" s="13">
        <f t="shared" si="379"/>
        <v>0</v>
      </c>
      <c r="O1726" s="85">
        <f t="shared" si="372"/>
        <v>4794.3999999999996</v>
      </c>
      <c r="P1726" s="13">
        <f t="shared" si="379"/>
        <v>0</v>
      </c>
      <c r="Q1726" s="85">
        <f t="shared" si="378"/>
        <v>4794.3999999999996</v>
      </c>
      <c r="R1726" s="13">
        <f t="shared" si="379"/>
        <v>0</v>
      </c>
      <c r="S1726" s="85">
        <f t="shared" si="374"/>
        <v>4794.3999999999996</v>
      </c>
      <c r="T1726" s="13">
        <f t="shared" si="379"/>
        <v>0</v>
      </c>
      <c r="U1726" s="85">
        <f t="shared" si="375"/>
        <v>4794.3999999999996</v>
      </c>
    </row>
    <row r="1727" spans="1:21">
      <c r="A1727" s="61" t="str">
        <f ca="1">IF(ISERROR(MATCH(F1727,Код_КВР,0)),"",INDIRECT(ADDRESS(MATCH(F1727,Код_КВР,0)+1,2,,,"КВР")))</f>
        <v>Закупка товаров, работ и услуг для муниципальных нужд</v>
      </c>
      <c r="B1727" s="145">
        <v>840</v>
      </c>
      <c r="C1727" s="8" t="s">
        <v>217</v>
      </c>
      <c r="D1727" s="8" t="s">
        <v>221</v>
      </c>
      <c r="E1727" s="145" t="s">
        <v>541</v>
      </c>
      <c r="F1727" s="145">
        <v>200</v>
      </c>
      <c r="G1727" s="69">
        <f t="shared" si="379"/>
        <v>4795</v>
      </c>
      <c r="H1727" s="69">
        <f t="shared" si="379"/>
        <v>0</v>
      </c>
      <c r="I1727" s="69">
        <f t="shared" si="366"/>
        <v>4795</v>
      </c>
      <c r="J1727" s="69">
        <f t="shared" si="379"/>
        <v>0</v>
      </c>
      <c r="K1727" s="85">
        <f t="shared" si="376"/>
        <v>4795</v>
      </c>
      <c r="L1727" s="13">
        <f t="shared" si="379"/>
        <v>-0.6</v>
      </c>
      <c r="M1727" s="85">
        <f t="shared" si="371"/>
        <v>4794.3999999999996</v>
      </c>
      <c r="N1727" s="13">
        <f t="shared" si="379"/>
        <v>0</v>
      </c>
      <c r="O1727" s="85">
        <f t="shared" si="372"/>
        <v>4794.3999999999996</v>
      </c>
      <c r="P1727" s="13">
        <f t="shared" si="379"/>
        <v>0</v>
      </c>
      <c r="Q1727" s="85">
        <f t="shared" si="378"/>
        <v>4794.3999999999996</v>
      </c>
      <c r="R1727" s="13">
        <f t="shared" si="379"/>
        <v>0</v>
      </c>
      <c r="S1727" s="85">
        <f t="shared" si="374"/>
        <v>4794.3999999999996</v>
      </c>
      <c r="T1727" s="13">
        <f t="shared" si="379"/>
        <v>0</v>
      </c>
      <c r="U1727" s="85">
        <f t="shared" si="375"/>
        <v>4794.3999999999996</v>
      </c>
    </row>
    <row r="1728" spans="1:21" ht="33">
      <c r="A1728" s="61" t="str">
        <f ca="1">IF(ISERROR(MATCH(F1728,Код_КВР,0)),"",INDIRECT(ADDRESS(MATCH(F1728,Код_КВР,0)+1,2,,,"КВР")))</f>
        <v>Иные закупки товаров, работ и услуг для обеспечения муниципальных нужд</v>
      </c>
      <c r="B1728" s="145">
        <v>840</v>
      </c>
      <c r="C1728" s="8" t="s">
        <v>217</v>
      </c>
      <c r="D1728" s="8" t="s">
        <v>221</v>
      </c>
      <c r="E1728" s="145" t="s">
        <v>541</v>
      </c>
      <c r="F1728" s="145">
        <v>240</v>
      </c>
      <c r="G1728" s="69">
        <f t="shared" si="379"/>
        <v>4795</v>
      </c>
      <c r="H1728" s="69">
        <f t="shared" si="379"/>
        <v>0</v>
      </c>
      <c r="I1728" s="69">
        <f t="shared" si="366"/>
        <v>4795</v>
      </c>
      <c r="J1728" s="69">
        <f t="shared" si="379"/>
        <v>0</v>
      </c>
      <c r="K1728" s="85">
        <f t="shared" si="376"/>
        <v>4795</v>
      </c>
      <c r="L1728" s="13">
        <f t="shared" si="379"/>
        <v>-0.6</v>
      </c>
      <c r="M1728" s="85">
        <f t="shared" si="371"/>
        <v>4794.3999999999996</v>
      </c>
      <c r="N1728" s="13">
        <f t="shared" si="379"/>
        <v>0</v>
      </c>
      <c r="O1728" s="85">
        <f t="shared" si="372"/>
        <v>4794.3999999999996</v>
      </c>
      <c r="P1728" s="13">
        <f t="shared" si="379"/>
        <v>0</v>
      </c>
      <c r="Q1728" s="85">
        <f t="shared" si="378"/>
        <v>4794.3999999999996</v>
      </c>
      <c r="R1728" s="13">
        <f t="shared" si="379"/>
        <v>0</v>
      </c>
      <c r="S1728" s="85">
        <f t="shared" si="374"/>
        <v>4794.3999999999996</v>
      </c>
      <c r="T1728" s="13">
        <f t="shared" si="379"/>
        <v>0</v>
      </c>
      <c r="U1728" s="85">
        <f t="shared" si="375"/>
        <v>4794.3999999999996</v>
      </c>
    </row>
    <row r="1729" spans="1:22" ht="33">
      <c r="A1729" s="61" t="str">
        <f ca="1">IF(ISERROR(MATCH(F1729,Код_КВР,0)),"",INDIRECT(ADDRESS(MATCH(F1729,Код_КВР,0)+1,2,,,"КВР")))</f>
        <v xml:space="preserve">Прочая закупка товаров, работ и услуг для обеспечения муниципальных нужд         </v>
      </c>
      <c r="B1729" s="145">
        <v>840</v>
      </c>
      <c r="C1729" s="8" t="s">
        <v>217</v>
      </c>
      <c r="D1729" s="8" t="s">
        <v>221</v>
      </c>
      <c r="E1729" s="145" t="s">
        <v>541</v>
      </c>
      <c r="F1729" s="145">
        <v>244</v>
      </c>
      <c r="G1729" s="69">
        <v>4795</v>
      </c>
      <c r="H1729" s="69"/>
      <c r="I1729" s="69">
        <f t="shared" si="366"/>
        <v>4795</v>
      </c>
      <c r="J1729" s="69"/>
      <c r="K1729" s="85">
        <f t="shared" si="376"/>
        <v>4795</v>
      </c>
      <c r="L1729" s="13">
        <v>-0.6</v>
      </c>
      <c r="M1729" s="85">
        <f t="shared" si="371"/>
        <v>4794.3999999999996</v>
      </c>
      <c r="N1729" s="13"/>
      <c r="O1729" s="85">
        <f t="shared" si="372"/>
        <v>4794.3999999999996</v>
      </c>
      <c r="P1729" s="13"/>
      <c r="Q1729" s="85">
        <f t="shared" si="378"/>
        <v>4794.3999999999996</v>
      </c>
      <c r="R1729" s="13"/>
      <c r="S1729" s="85">
        <f t="shared" si="374"/>
        <v>4794.3999999999996</v>
      </c>
      <c r="T1729" s="13"/>
      <c r="U1729" s="85">
        <f t="shared" si="375"/>
        <v>4794.3999999999996</v>
      </c>
    </row>
    <row r="1730" spans="1:22" ht="33">
      <c r="A1730" s="61" t="str">
        <f ca="1">IF(ISERROR(MATCH(E1730,Код_КЦСР,0)),"",INDIRECT(ADDRESS(MATCH(E1730,Код_КЦСР,0)+1,2,,,"КЦСР")))</f>
        <v>Непрограммные направления деятельности органов местного самоуправления</v>
      </c>
      <c r="B1730" s="145">
        <v>840</v>
      </c>
      <c r="C1730" s="8" t="s">
        <v>217</v>
      </c>
      <c r="D1730" s="8" t="s">
        <v>221</v>
      </c>
      <c r="E1730" s="145" t="s">
        <v>299</v>
      </c>
      <c r="F1730" s="145"/>
      <c r="G1730" s="69">
        <f t="shared" ref="G1730:T1732" si="380">G1731</f>
        <v>11173.1</v>
      </c>
      <c r="H1730" s="69">
        <f t="shared" si="380"/>
        <v>0</v>
      </c>
      <c r="I1730" s="69">
        <f t="shared" si="366"/>
        <v>11173.1</v>
      </c>
      <c r="J1730" s="69">
        <f t="shared" si="380"/>
        <v>0</v>
      </c>
      <c r="K1730" s="85">
        <f t="shared" si="376"/>
        <v>11173.1</v>
      </c>
      <c r="L1730" s="13">
        <f t="shared" si="380"/>
        <v>0</v>
      </c>
      <c r="M1730" s="85">
        <f t="shared" si="371"/>
        <v>11173.1</v>
      </c>
      <c r="N1730" s="13">
        <f t="shared" si="380"/>
        <v>0</v>
      </c>
      <c r="O1730" s="85">
        <f t="shared" si="372"/>
        <v>11173.1</v>
      </c>
      <c r="P1730" s="13">
        <f t="shared" si="380"/>
        <v>0</v>
      </c>
      <c r="Q1730" s="85">
        <f t="shared" si="378"/>
        <v>11173.1</v>
      </c>
      <c r="R1730" s="13">
        <f t="shared" si="380"/>
        <v>0</v>
      </c>
      <c r="S1730" s="85">
        <f t="shared" si="374"/>
        <v>11173.1</v>
      </c>
      <c r="T1730" s="13">
        <f>T1731</f>
        <v>0</v>
      </c>
      <c r="U1730" s="85">
        <f t="shared" si="375"/>
        <v>11173.1</v>
      </c>
    </row>
    <row r="1731" spans="1:22">
      <c r="A1731" s="61" t="str">
        <f ca="1">IF(ISERROR(MATCH(E1731,Код_КЦСР,0)),"",INDIRECT(ADDRESS(MATCH(E1731,Код_КЦСР,0)+1,2,,,"КЦСР")))</f>
        <v>Расходы, не включенные в муниципальные программы города Череповца</v>
      </c>
      <c r="B1731" s="145">
        <v>840</v>
      </c>
      <c r="C1731" s="8" t="s">
        <v>217</v>
      </c>
      <c r="D1731" s="8" t="s">
        <v>221</v>
      </c>
      <c r="E1731" s="145" t="s">
        <v>301</v>
      </c>
      <c r="F1731" s="145"/>
      <c r="G1731" s="69">
        <f t="shared" si="380"/>
        <v>11173.1</v>
      </c>
      <c r="H1731" s="69">
        <f t="shared" si="380"/>
        <v>0</v>
      </c>
      <c r="I1731" s="69">
        <f t="shared" si="366"/>
        <v>11173.1</v>
      </c>
      <c r="J1731" s="69">
        <f t="shared" si="380"/>
        <v>0</v>
      </c>
      <c r="K1731" s="85">
        <f t="shared" si="376"/>
        <v>11173.1</v>
      </c>
      <c r="L1731" s="13">
        <f t="shared" si="380"/>
        <v>0</v>
      </c>
      <c r="M1731" s="85">
        <f t="shared" si="371"/>
        <v>11173.1</v>
      </c>
      <c r="N1731" s="13">
        <f t="shared" si="380"/>
        <v>0</v>
      </c>
      <c r="O1731" s="85">
        <f t="shared" si="372"/>
        <v>11173.1</v>
      </c>
      <c r="P1731" s="13">
        <f t="shared" si="380"/>
        <v>0</v>
      </c>
      <c r="Q1731" s="85">
        <f t="shared" si="378"/>
        <v>11173.1</v>
      </c>
      <c r="R1731" s="13">
        <f t="shared" si="380"/>
        <v>0</v>
      </c>
      <c r="S1731" s="85">
        <f t="shared" si="374"/>
        <v>11173.1</v>
      </c>
      <c r="T1731" s="13">
        <f t="shared" si="380"/>
        <v>0</v>
      </c>
      <c r="U1731" s="85">
        <f t="shared" si="375"/>
        <v>11173.1</v>
      </c>
    </row>
    <row r="1732" spans="1:22" ht="33">
      <c r="A1732" s="61" t="str">
        <f ca="1">IF(ISERROR(MATCH(E1732,Код_КЦСР,0)),"",INDIRECT(ADDRESS(MATCH(E1732,Код_КЦСР,0)+1,2,,,"КЦСР")))</f>
        <v>Руководство и управление в сфере установленных функций органов местного самоуправления</v>
      </c>
      <c r="B1732" s="145">
        <v>840</v>
      </c>
      <c r="C1732" s="8" t="s">
        <v>217</v>
      </c>
      <c r="D1732" s="8" t="s">
        <v>221</v>
      </c>
      <c r="E1732" s="145" t="s">
        <v>303</v>
      </c>
      <c r="F1732" s="145"/>
      <c r="G1732" s="69">
        <f t="shared" si="380"/>
        <v>11173.1</v>
      </c>
      <c r="H1732" s="69">
        <f t="shared" si="380"/>
        <v>0</v>
      </c>
      <c r="I1732" s="69">
        <f t="shared" si="366"/>
        <v>11173.1</v>
      </c>
      <c r="J1732" s="69">
        <f t="shared" si="380"/>
        <v>0</v>
      </c>
      <c r="K1732" s="85">
        <f t="shared" si="376"/>
        <v>11173.1</v>
      </c>
      <c r="L1732" s="13">
        <f t="shared" si="380"/>
        <v>0</v>
      </c>
      <c r="M1732" s="85">
        <f t="shared" si="371"/>
        <v>11173.1</v>
      </c>
      <c r="N1732" s="13">
        <f t="shared" si="380"/>
        <v>0</v>
      </c>
      <c r="O1732" s="85">
        <f t="shared" si="372"/>
        <v>11173.1</v>
      </c>
      <c r="P1732" s="13">
        <f t="shared" si="380"/>
        <v>0</v>
      </c>
      <c r="Q1732" s="85">
        <f t="shared" si="378"/>
        <v>11173.1</v>
      </c>
      <c r="R1732" s="13">
        <f t="shared" si="380"/>
        <v>0</v>
      </c>
      <c r="S1732" s="85">
        <f t="shared" si="374"/>
        <v>11173.1</v>
      </c>
      <c r="T1732" s="13">
        <f t="shared" si="380"/>
        <v>0</v>
      </c>
      <c r="U1732" s="85">
        <f t="shared" si="375"/>
        <v>11173.1</v>
      </c>
    </row>
    <row r="1733" spans="1:22">
      <c r="A1733" s="61" t="str">
        <f ca="1">IF(ISERROR(MATCH(E1733,Код_КЦСР,0)),"",INDIRECT(ADDRESS(MATCH(E1733,Код_КЦСР,0)+1,2,,,"КЦСР")))</f>
        <v>Центральный аппарат</v>
      </c>
      <c r="B1733" s="145">
        <v>840</v>
      </c>
      <c r="C1733" s="8" t="s">
        <v>217</v>
      </c>
      <c r="D1733" s="8" t="s">
        <v>221</v>
      </c>
      <c r="E1733" s="145" t="s">
        <v>306</v>
      </c>
      <c r="F1733" s="145"/>
      <c r="G1733" s="69">
        <f>G1734+G1736+G1739</f>
        <v>11173.1</v>
      </c>
      <c r="H1733" s="69">
        <f>H1734+H1736+H1739</f>
        <v>0</v>
      </c>
      <c r="I1733" s="69">
        <f t="shared" si="366"/>
        <v>11173.1</v>
      </c>
      <c r="J1733" s="69">
        <f>J1734+J1736+J1739</f>
        <v>0</v>
      </c>
      <c r="K1733" s="85">
        <f t="shared" si="376"/>
        <v>11173.1</v>
      </c>
      <c r="L1733" s="13">
        <f>L1734+L1736+L1739</f>
        <v>0</v>
      </c>
      <c r="M1733" s="85">
        <f t="shared" si="371"/>
        <v>11173.1</v>
      </c>
      <c r="N1733" s="13">
        <f>N1734+N1736+N1739</f>
        <v>0</v>
      </c>
      <c r="O1733" s="85">
        <f t="shared" si="372"/>
        <v>11173.1</v>
      </c>
      <c r="P1733" s="13">
        <f>P1734+P1736+P1739</f>
        <v>0</v>
      </c>
      <c r="Q1733" s="85">
        <f t="shared" si="378"/>
        <v>11173.1</v>
      </c>
      <c r="R1733" s="13">
        <f>R1734+R1736+R1739</f>
        <v>0</v>
      </c>
      <c r="S1733" s="85">
        <f t="shared" si="374"/>
        <v>11173.1</v>
      </c>
      <c r="T1733" s="13">
        <f>T1734+T1736+T1739</f>
        <v>0</v>
      </c>
      <c r="U1733" s="85">
        <f t="shared" si="375"/>
        <v>11173.1</v>
      </c>
    </row>
    <row r="1734" spans="1:22" ht="33">
      <c r="A1734" s="61" t="str">
        <f t="shared" ref="A1734:A1740" ca="1" si="381">IF(ISERROR(MATCH(F1734,Код_КВР,0)),"",INDIRECT(ADDRESS(MATCH(F1734,Код_КВР,0)+1,2,,,"КВР")))</f>
        <v>Расходы на выплаты персоналу в целях обеспечения выполнения функций муниципальными органами, казенными учреждениями</v>
      </c>
      <c r="B1734" s="145">
        <v>840</v>
      </c>
      <c r="C1734" s="8" t="s">
        <v>217</v>
      </c>
      <c r="D1734" s="8" t="s">
        <v>221</v>
      </c>
      <c r="E1734" s="145" t="s">
        <v>306</v>
      </c>
      <c r="F1734" s="145">
        <v>100</v>
      </c>
      <c r="G1734" s="69">
        <f>G1735</f>
        <v>11155.7</v>
      </c>
      <c r="H1734" s="69">
        <f>H1735</f>
        <v>0</v>
      </c>
      <c r="I1734" s="69">
        <f t="shared" si="366"/>
        <v>11155.7</v>
      </c>
      <c r="J1734" s="69">
        <f>J1735</f>
        <v>0</v>
      </c>
      <c r="K1734" s="85">
        <f t="shared" si="376"/>
        <v>11155.7</v>
      </c>
      <c r="L1734" s="13">
        <f>L1735</f>
        <v>0</v>
      </c>
      <c r="M1734" s="85">
        <f t="shared" si="371"/>
        <v>11155.7</v>
      </c>
      <c r="N1734" s="13">
        <f>N1735</f>
        <v>0</v>
      </c>
      <c r="O1734" s="85">
        <f t="shared" si="372"/>
        <v>11155.7</v>
      </c>
      <c r="P1734" s="13">
        <f>P1735</f>
        <v>0</v>
      </c>
      <c r="Q1734" s="85">
        <f t="shared" si="378"/>
        <v>11155.7</v>
      </c>
      <c r="R1734" s="13">
        <f>R1735</f>
        <v>0</v>
      </c>
      <c r="S1734" s="85">
        <f t="shared" si="374"/>
        <v>11155.7</v>
      </c>
      <c r="T1734" s="13">
        <f>T1735</f>
        <v>0</v>
      </c>
      <c r="U1734" s="85">
        <f t="shared" si="375"/>
        <v>11155.7</v>
      </c>
    </row>
    <row r="1735" spans="1:22">
      <c r="A1735" s="61" t="str">
        <f t="shared" ca="1" si="381"/>
        <v>Расходы на выплаты персоналу муниципальных органов</v>
      </c>
      <c r="B1735" s="145">
        <v>840</v>
      </c>
      <c r="C1735" s="8" t="s">
        <v>217</v>
      </c>
      <c r="D1735" s="8" t="s">
        <v>221</v>
      </c>
      <c r="E1735" s="145" t="s">
        <v>306</v>
      </c>
      <c r="F1735" s="145">
        <v>120</v>
      </c>
      <c r="G1735" s="69">
        <v>11155.7</v>
      </c>
      <c r="H1735" s="69"/>
      <c r="I1735" s="69">
        <f t="shared" si="366"/>
        <v>11155.7</v>
      </c>
      <c r="J1735" s="69"/>
      <c r="K1735" s="85">
        <f t="shared" si="376"/>
        <v>11155.7</v>
      </c>
      <c r="L1735" s="13"/>
      <c r="M1735" s="85">
        <f t="shared" si="371"/>
        <v>11155.7</v>
      </c>
      <c r="N1735" s="13"/>
      <c r="O1735" s="85">
        <f t="shared" si="372"/>
        <v>11155.7</v>
      </c>
      <c r="P1735" s="13"/>
      <c r="Q1735" s="85">
        <f t="shared" si="378"/>
        <v>11155.7</v>
      </c>
      <c r="R1735" s="13"/>
      <c r="S1735" s="85">
        <f t="shared" si="374"/>
        <v>11155.7</v>
      </c>
      <c r="T1735" s="13"/>
      <c r="U1735" s="85">
        <f t="shared" si="375"/>
        <v>11155.7</v>
      </c>
    </row>
    <row r="1736" spans="1:22">
      <c r="A1736" s="61" t="str">
        <f t="shared" ca="1" si="381"/>
        <v>Закупка товаров, работ и услуг для муниципальных нужд</v>
      </c>
      <c r="B1736" s="145">
        <v>840</v>
      </c>
      <c r="C1736" s="8" t="s">
        <v>217</v>
      </c>
      <c r="D1736" s="8" t="s">
        <v>221</v>
      </c>
      <c r="E1736" s="145" t="s">
        <v>306</v>
      </c>
      <c r="F1736" s="145">
        <v>200</v>
      </c>
      <c r="G1736" s="69">
        <f>G1737</f>
        <v>15.4</v>
      </c>
      <c r="H1736" s="69">
        <f>H1737</f>
        <v>0</v>
      </c>
      <c r="I1736" s="69">
        <f t="shared" si="366"/>
        <v>15.4</v>
      </c>
      <c r="J1736" s="69">
        <f>J1737</f>
        <v>0</v>
      </c>
      <c r="K1736" s="85">
        <f t="shared" si="376"/>
        <v>15.4</v>
      </c>
      <c r="L1736" s="13">
        <f>L1737</f>
        <v>0</v>
      </c>
      <c r="M1736" s="85">
        <f t="shared" si="371"/>
        <v>15.4</v>
      </c>
      <c r="N1736" s="13">
        <f>N1737</f>
        <v>0</v>
      </c>
      <c r="O1736" s="85">
        <f t="shared" si="372"/>
        <v>15.4</v>
      </c>
      <c r="P1736" s="13">
        <f>P1737</f>
        <v>0</v>
      </c>
      <c r="Q1736" s="85">
        <f t="shared" si="378"/>
        <v>15.4</v>
      </c>
      <c r="R1736" s="13">
        <f>R1737</f>
        <v>0</v>
      </c>
      <c r="S1736" s="85">
        <f t="shared" si="374"/>
        <v>15.4</v>
      </c>
      <c r="T1736" s="13">
        <f>T1737</f>
        <v>0</v>
      </c>
      <c r="U1736" s="85">
        <f t="shared" si="375"/>
        <v>15.4</v>
      </c>
    </row>
    <row r="1737" spans="1:22" ht="33">
      <c r="A1737" s="61" t="str">
        <f t="shared" ca="1" si="381"/>
        <v>Иные закупки товаров, работ и услуг для обеспечения муниципальных нужд</v>
      </c>
      <c r="B1737" s="145">
        <v>840</v>
      </c>
      <c r="C1737" s="8" t="s">
        <v>217</v>
      </c>
      <c r="D1737" s="8" t="s">
        <v>221</v>
      </c>
      <c r="E1737" s="145" t="s">
        <v>306</v>
      </c>
      <c r="F1737" s="145">
        <v>240</v>
      </c>
      <c r="G1737" s="69">
        <f>G1738</f>
        <v>15.4</v>
      </c>
      <c r="H1737" s="69">
        <f>H1738</f>
        <v>0</v>
      </c>
      <c r="I1737" s="69">
        <f t="shared" si="366"/>
        <v>15.4</v>
      </c>
      <c r="J1737" s="69">
        <f>J1738</f>
        <v>0</v>
      </c>
      <c r="K1737" s="85">
        <f t="shared" si="376"/>
        <v>15.4</v>
      </c>
      <c r="L1737" s="13">
        <f>L1738</f>
        <v>0</v>
      </c>
      <c r="M1737" s="85">
        <f t="shared" si="371"/>
        <v>15.4</v>
      </c>
      <c r="N1737" s="13">
        <f>N1738</f>
        <v>0</v>
      </c>
      <c r="O1737" s="85">
        <f t="shared" si="372"/>
        <v>15.4</v>
      </c>
      <c r="P1737" s="13">
        <f>P1738</f>
        <v>0</v>
      </c>
      <c r="Q1737" s="85">
        <f t="shared" si="378"/>
        <v>15.4</v>
      </c>
      <c r="R1737" s="13">
        <f>R1738</f>
        <v>0</v>
      </c>
      <c r="S1737" s="85">
        <f t="shared" si="374"/>
        <v>15.4</v>
      </c>
      <c r="T1737" s="13">
        <f>T1738</f>
        <v>0</v>
      </c>
      <c r="U1737" s="85">
        <f t="shared" si="375"/>
        <v>15.4</v>
      </c>
    </row>
    <row r="1738" spans="1:22" ht="33">
      <c r="A1738" s="61" t="str">
        <f t="shared" ca="1" si="381"/>
        <v xml:space="preserve">Прочая закупка товаров, работ и услуг для обеспечения муниципальных нужд         </v>
      </c>
      <c r="B1738" s="145">
        <v>840</v>
      </c>
      <c r="C1738" s="8" t="s">
        <v>217</v>
      </c>
      <c r="D1738" s="8" t="s">
        <v>221</v>
      </c>
      <c r="E1738" s="145" t="s">
        <v>306</v>
      </c>
      <c r="F1738" s="145">
        <v>244</v>
      </c>
      <c r="G1738" s="69">
        <v>15.4</v>
      </c>
      <c r="H1738" s="69"/>
      <c r="I1738" s="69">
        <f t="shared" si="366"/>
        <v>15.4</v>
      </c>
      <c r="J1738" s="69"/>
      <c r="K1738" s="85">
        <f t="shared" si="376"/>
        <v>15.4</v>
      </c>
      <c r="L1738" s="13"/>
      <c r="M1738" s="85">
        <f t="shared" si="371"/>
        <v>15.4</v>
      </c>
      <c r="N1738" s="13"/>
      <c r="O1738" s="85">
        <f t="shared" si="372"/>
        <v>15.4</v>
      </c>
      <c r="P1738" s="13"/>
      <c r="Q1738" s="85">
        <f t="shared" si="378"/>
        <v>15.4</v>
      </c>
      <c r="R1738" s="13"/>
      <c r="S1738" s="85">
        <f t="shared" si="374"/>
        <v>15.4</v>
      </c>
      <c r="T1738" s="13"/>
      <c r="U1738" s="85">
        <f t="shared" si="375"/>
        <v>15.4</v>
      </c>
    </row>
    <row r="1739" spans="1:22">
      <c r="A1739" s="61" t="str">
        <f t="shared" ca="1" si="381"/>
        <v>Иные бюджетные ассигнования</v>
      </c>
      <c r="B1739" s="145">
        <v>840</v>
      </c>
      <c r="C1739" s="8" t="s">
        <v>217</v>
      </c>
      <c r="D1739" s="8" t="s">
        <v>221</v>
      </c>
      <c r="E1739" s="145" t="s">
        <v>306</v>
      </c>
      <c r="F1739" s="145">
        <v>800</v>
      </c>
      <c r="G1739" s="69">
        <f>G1740</f>
        <v>2</v>
      </c>
      <c r="H1739" s="69">
        <f>H1740</f>
        <v>0</v>
      </c>
      <c r="I1739" s="69">
        <f t="shared" si="366"/>
        <v>2</v>
      </c>
      <c r="J1739" s="69">
        <f>J1740</f>
        <v>0</v>
      </c>
      <c r="K1739" s="85">
        <f t="shared" si="376"/>
        <v>2</v>
      </c>
      <c r="L1739" s="13">
        <f>L1740</f>
        <v>0</v>
      </c>
      <c r="M1739" s="85">
        <f t="shared" si="371"/>
        <v>2</v>
      </c>
      <c r="N1739" s="13">
        <f>N1740</f>
        <v>0</v>
      </c>
      <c r="O1739" s="85">
        <f t="shared" si="372"/>
        <v>2</v>
      </c>
      <c r="P1739" s="13">
        <f>P1740</f>
        <v>0</v>
      </c>
      <c r="Q1739" s="85">
        <f t="shared" si="378"/>
        <v>2</v>
      </c>
      <c r="R1739" s="13">
        <f>R1740</f>
        <v>0</v>
      </c>
      <c r="S1739" s="85">
        <f t="shared" si="374"/>
        <v>2</v>
      </c>
      <c r="T1739" s="13">
        <f>T1740</f>
        <v>0</v>
      </c>
      <c r="U1739" s="85">
        <f t="shared" si="375"/>
        <v>2</v>
      </c>
    </row>
    <row r="1740" spans="1:22">
      <c r="A1740" s="61" t="str">
        <f t="shared" ca="1" si="381"/>
        <v>Уплата налогов, сборов и иных платежей</v>
      </c>
      <c r="B1740" s="145">
        <v>840</v>
      </c>
      <c r="C1740" s="8" t="s">
        <v>217</v>
      </c>
      <c r="D1740" s="8" t="s">
        <v>221</v>
      </c>
      <c r="E1740" s="145" t="s">
        <v>306</v>
      </c>
      <c r="F1740" s="145">
        <v>850</v>
      </c>
      <c r="G1740" s="69">
        <f>G1741</f>
        <v>2</v>
      </c>
      <c r="H1740" s="69">
        <f>H1741</f>
        <v>0</v>
      </c>
      <c r="I1740" s="69">
        <f t="shared" si="366"/>
        <v>2</v>
      </c>
      <c r="J1740" s="69">
        <f>J1741</f>
        <v>0</v>
      </c>
      <c r="K1740" s="85">
        <f t="shared" si="376"/>
        <v>2</v>
      </c>
      <c r="L1740" s="13">
        <f>L1741</f>
        <v>0</v>
      </c>
      <c r="M1740" s="85">
        <f t="shared" si="371"/>
        <v>2</v>
      </c>
      <c r="N1740" s="13">
        <f>N1741</f>
        <v>0</v>
      </c>
      <c r="O1740" s="85">
        <f t="shared" si="372"/>
        <v>2</v>
      </c>
      <c r="P1740" s="13">
        <f>P1741</f>
        <v>0</v>
      </c>
      <c r="Q1740" s="85">
        <f t="shared" si="378"/>
        <v>2</v>
      </c>
      <c r="R1740" s="13">
        <f>R1741</f>
        <v>0</v>
      </c>
      <c r="S1740" s="85">
        <f t="shared" si="374"/>
        <v>2</v>
      </c>
      <c r="T1740" s="13">
        <f>T1741</f>
        <v>0</v>
      </c>
      <c r="U1740" s="85">
        <f t="shared" si="375"/>
        <v>2</v>
      </c>
    </row>
    <row r="1741" spans="1:22">
      <c r="A1741" s="61" t="str">
        <f ca="1">IF(ISERROR(MATCH(F1741,Код_КВР,0)),"",INDIRECT(ADDRESS(MATCH(F1741,Код_КВР,0)+1,2,,,"КВР")))</f>
        <v>Уплата прочих налогов, сборов и иных платежей</v>
      </c>
      <c r="B1741" s="145">
        <v>840</v>
      </c>
      <c r="C1741" s="8" t="s">
        <v>217</v>
      </c>
      <c r="D1741" s="8" t="s">
        <v>221</v>
      </c>
      <c r="E1741" s="145" t="s">
        <v>306</v>
      </c>
      <c r="F1741" s="145">
        <v>852</v>
      </c>
      <c r="G1741" s="69">
        <v>2</v>
      </c>
      <c r="H1741" s="69"/>
      <c r="I1741" s="69">
        <f t="shared" si="366"/>
        <v>2</v>
      </c>
      <c r="J1741" s="69"/>
      <c r="K1741" s="85">
        <f t="shared" si="376"/>
        <v>2</v>
      </c>
      <c r="L1741" s="13"/>
      <c r="M1741" s="85">
        <f t="shared" si="371"/>
        <v>2</v>
      </c>
      <c r="N1741" s="13"/>
      <c r="O1741" s="85">
        <f t="shared" si="372"/>
        <v>2</v>
      </c>
      <c r="P1741" s="13"/>
      <c r="Q1741" s="85">
        <f t="shared" si="378"/>
        <v>2</v>
      </c>
      <c r="R1741" s="13"/>
      <c r="S1741" s="85">
        <f t="shared" si="374"/>
        <v>2</v>
      </c>
      <c r="T1741" s="13"/>
      <c r="U1741" s="85">
        <f t="shared" si="375"/>
        <v>2</v>
      </c>
    </row>
    <row r="1742" spans="1:22">
      <c r="A1742" s="61" t="s">
        <v>166</v>
      </c>
      <c r="B1742" s="143"/>
      <c r="C1742" s="143"/>
      <c r="D1742" s="143"/>
      <c r="E1742" s="145"/>
      <c r="F1742" s="145"/>
      <c r="G1742" s="64">
        <f>G21+G392+G414+G547+G572+G859+G908+G1194+G1288+G1483+G1713</f>
        <v>6670495.8999999994</v>
      </c>
      <c r="H1742" s="64">
        <f>H21+H392+H414+H547+H572+H859+H908+H1194+H1288+H1483+H1713</f>
        <v>-22308.3</v>
      </c>
      <c r="I1742" s="69">
        <f>G1742+H1742</f>
        <v>6648187.5999999996</v>
      </c>
      <c r="J1742" s="64">
        <f>J21+J392+J414+J547+J572+J859+J908+J1194+J1288+J1483+J1713+J1698</f>
        <v>0</v>
      </c>
      <c r="K1742" s="85">
        <f t="shared" si="376"/>
        <v>6648187.5999999996</v>
      </c>
      <c r="L1742" s="85">
        <f>L21+L392+L414+L547+L572+L859+L908+L1194+L1288+L1483+L1713+L1698</f>
        <v>-64999.999999999985</v>
      </c>
      <c r="M1742" s="85">
        <f t="shared" si="371"/>
        <v>6583187.5999999996</v>
      </c>
      <c r="N1742" s="85">
        <f>N21+N392+N414+N547+N572+N859+N908+N1194+N1288+N1483+N1713+N1698</f>
        <v>-939.59999999999991</v>
      </c>
      <c r="O1742" s="85">
        <f>M1742+N1742</f>
        <v>6582248</v>
      </c>
      <c r="P1742" s="85">
        <f>P21+P392+P414+P547+P572+P859+P908+P1194+P1288+P1483+P1713+P1698</f>
        <v>12800</v>
      </c>
      <c r="Q1742" s="85">
        <f t="shared" si="378"/>
        <v>6595048</v>
      </c>
      <c r="R1742" s="85">
        <f>R21+R392+R414+R547+R572+R859+R908+R1194+R1288+R1483+R1713+R1698</f>
        <v>393555.50000000006</v>
      </c>
      <c r="S1742" s="85">
        <f t="shared" si="374"/>
        <v>6988603.5</v>
      </c>
      <c r="T1742" s="85">
        <f>T21+T392+T414+T547+T572+T859+T908+T1194+T1288+T1483+T1713+T1698</f>
        <v>91688.900000000023</v>
      </c>
      <c r="U1742" s="85">
        <f>U21+U392+U414+U547+U572+U859+U908+U1194+U1288+U1483+U1713+U1698</f>
        <v>7080292.3999999994</v>
      </c>
    </row>
    <row r="1743" spans="1:22">
      <c r="E1743" s="89"/>
      <c r="F1743" s="57"/>
      <c r="G1743" s="70"/>
    </row>
    <row r="1744" spans="1:22">
      <c r="E1744" s="89"/>
      <c r="F1744" s="57"/>
      <c r="G1744" s="71"/>
      <c r="M1744" s="67"/>
      <c r="N1744" s="67"/>
      <c r="O1744" s="67"/>
      <c r="T1744" s="138"/>
      <c r="V1744" s="138"/>
    </row>
    <row r="1745" spans="1:22">
      <c r="E1745" s="89"/>
      <c r="F1745" s="57"/>
      <c r="G1745" s="71"/>
      <c r="M1745" s="67"/>
      <c r="N1745" s="67"/>
      <c r="O1745" s="67"/>
      <c r="T1745" s="138"/>
    </row>
    <row r="1746" spans="1:22">
      <c r="Q1746" s="20"/>
      <c r="R1746" s="20"/>
      <c r="S1746" s="108"/>
      <c r="T1746" s="138"/>
      <c r="V1746" s="138"/>
    </row>
    <row r="1747" spans="1:22">
      <c r="A1747" s="89"/>
      <c r="E1747" s="89"/>
      <c r="G1747" s="89"/>
      <c r="Q1747" s="20"/>
      <c r="R1747" s="20"/>
      <c r="S1747" s="108"/>
    </row>
    <row r="1748" spans="1:22">
      <c r="Q1748" s="20" t="s">
        <v>667</v>
      </c>
      <c r="R1748" s="20"/>
      <c r="S1748" s="108"/>
      <c r="T1748" s="138"/>
    </row>
    <row r="1749" spans="1:22">
      <c r="Q1749" s="19" t="s">
        <v>668</v>
      </c>
      <c r="V1749" s="138"/>
    </row>
    <row r="1750" spans="1:22">
      <c r="Q1750" s="19" t="s">
        <v>675</v>
      </c>
      <c r="R1750" s="67"/>
    </row>
    <row r="1751" spans="1:22">
      <c r="A1751" s="89"/>
      <c r="E1751" s="89"/>
      <c r="G1751" s="89"/>
      <c r="Q1751" s="89"/>
    </row>
    <row r="1752" spans="1:22">
      <c r="A1752" s="89"/>
      <c r="E1752" s="89"/>
      <c r="G1752" s="89"/>
      <c r="Q1752" s="89"/>
      <c r="R1752" s="67"/>
      <c r="S1752" s="130"/>
    </row>
  </sheetData>
  <autoFilter ref="A20:AD1742">
    <filterColumn colId="21">
      <filters blank="1"/>
    </filterColumn>
  </autoFilter>
  <mergeCells count="4">
    <mergeCell ref="A17:G17"/>
    <mergeCell ref="A16:G16"/>
    <mergeCell ref="T7:U7"/>
    <mergeCell ref="T1:U1"/>
  </mergeCells>
  <phoneticPr fontId="0" type="noConversion"/>
  <dataValidations count="4">
    <dataValidation type="list" allowBlank="1" showInputMessage="1" showErrorMessage="1" sqref="F21:F241 F243:F1742">
      <formula1>Код_КВР</formula1>
    </dataValidation>
    <dataValidation type="list" allowBlank="1" showInputMessage="1" showErrorMessage="1" sqref="B21:B1741">
      <formula1>Код_ППП</formula1>
    </dataValidation>
    <dataValidation type="list" allowBlank="1" showInputMessage="1" showErrorMessage="1" sqref="C21:C1741">
      <formula1>Код_Раздел</formula1>
    </dataValidation>
    <dataValidation type="list" allowBlank="1" showInputMessage="1" showErrorMessage="1" sqref="E21:E1742">
      <formula1>Код_КЦСР</formula1>
    </dataValidation>
  </dataValidations>
  <pageMargins left="1.1811023622047245" right="0.39370078740157483" top="0.78740157480314965" bottom="0.78740157480314965" header="0.39370078740157483" footer="0.39370078740157483"/>
  <pageSetup paperSize="9" scale="44" fitToHeight="35" orientation="portrait" r:id="rId1"/>
  <headerFooter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</vt:i4>
      </vt:variant>
    </vt:vector>
  </HeadingPairs>
  <TitlesOfParts>
    <vt:vector size="19" baseType="lpstr">
      <vt:lpstr>ППП</vt:lpstr>
      <vt:lpstr>Раздел</vt:lpstr>
      <vt:lpstr>КЦСР</vt:lpstr>
      <vt:lpstr>КВР</vt:lpstr>
      <vt:lpstr>прил.4</vt:lpstr>
      <vt:lpstr>прил. 5</vt:lpstr>
      <vt:lpstr>прил.6</vt:lpstr>
      <vt:lpstr>КВР!sub_3870</vt:lpstr>
      <vt:lpstr>'прил. 5'!Заголовки_для_печати</vt:lpstr>
      <vt:lpstr>прил.4!Заголовки_для_печати</vt:lpstr>
      <vt:lpstr>прил.6!Заголовки_для_печати</vt:lpstr>
      <vt:lpstr>Код_КВР</vt:lpstr>
      <vt:lpstr>Код_КЦСР</vt:lpstr>
      <vt:lpstr>Код_ППП</vt:lpstr>
      <vt:lpstr>Код_Раздел</vt:lpstr>
      <vt:lpstr>КВР!Область_печати</vt:lpstr>
      <vt:lpstr>'прил. 5'!Область_печати</vt:lpstr>
      <vt:lpstr>прил.4!Область_печати</vt:lpstr>
      <vt:lpstr>прил.6!Область_печати</vt:lpstr>
    </vt:vector>
  </TitlesOfParts>
  <Company>Финансовое управление мэрии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Budget_05_4</dc:creator>
  <cp:lastModifiedBy>Ильмендеева Е.А.</cp:lastModifiedBy>
  <cp:lastPrinted>2014-12-12T08:12:36Z</cp:lastPrinted>
  <dcterms:created xsi:type="dcterms:W3CDTF">2005-10-27T10:10:18Z</dcterms:created>
  <dcterms:modified xsi:type="dcterms:W3CDTF">2014-12-12T08:14:09Z</dcterms:modified>
</cp:coreProperties>
</file>